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2025-1-0431北京市海淀区双新村棚户区改造项目2603-003-1地块\P02\"/>
    </mc:Choice>
  </mc:AlternateContent>
  <xr:revisionPtr revIDLastSave="0" documentId="13_ncr:1_{009EDD63-3A82-4E1A-8B01-5B21C22FD97D}" xr6:coauthVersionLast="47" xr6:coauthVersionMax="47" xr10:uidLastSave="{00000000-0000-0000-0000-000000000000}"/>
  <bookViews>
    <workbookView xWindow="-120" yWindow="-120" windowWidth="29040" windowHeight="15840" tabRatio="899" firstSheet="12"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未售清单-住宅" sheetId="81" state="hidden" r:id="rId15"/>
    <sheet name="未售清单-仓储" sheetId="82" state="hidden" r:id="rId16"/>
    <sheet name="未售清单-车位" sheetId="83" state="hidden" r:id="rId17"/>
    <sheet name="新范围-住宅" sheetId="89" state="hidden" r:id="rId18"/>
    <sheet name="新范围-仓储" sheetId="90" state="hidden" r:id="rId19"/>
    <sheet name="新范围-车位" sheetId="91" state="hidden" r:id="rId20"/>
    <sheet name="最新范围-住宅" sheetId="92" r:id="rId21"/>
    <sheet name="最新范围-仓储" sheetId="94" r:id="rId22"/>
    <sheet name="最新范围-车位" sheetId="93" r:id="rId23"/>
    <sheet name="数据-汇总表" sheetId="6" r:id="rId24"/>
    <sheet name="数据-取费表" sheetId="1" r:id="rId25"/>
    <sheet name="估价对象房地状况" sheetId="20" state="hidden" r:id="rId26"/>
    <sheet name="系统读取表" sheetId="74" r:id="rId27"/>
    <sheet name="结果表" sheetId="9" r:id="rId28"/>
    <sheet name="成本法" sheetId="68" r:id="rId29"/>
    <sheet name="成本法 (元)" sheetId="69" state="hidden" r:id="rId30"/>
    <sheet name="土地比较法-住宅、综合" sheetId="39" r:id="rId31"/>
    <sheet name="土地案例" sheetId="84" r:id="rId32"/>
    <sheet name="假设开发法" sheetId="12" r:id="rId33"/>
    <sheet name="收益法" sheetId="15" state="hidden" r:id="rId34"/>
    <sheet name="收益法 (元)" sheetId="67" state="hidden" r:id="rId35"/>
    <sheet name="收益法-酒店模型" sheetId="77" state="hidden" r:id="rId36"/>
    <sheet name="收益法（汇总）" sheetId="70" state="hidden" r:id="rId37"/>
    <sheet name="项目成交情况" sheetId="85" r:id="rId38"/>
    <sheet name="比较法-住宅" sheetId="21" r:id="rId39"/>
    <sheet name="比较法-商业" sheetId="33" state="hidden" r:id="rId40"/>
    <sheet name="比较法-办公" sheetId="34" state="hidden" r:id="rId41"/>
    <sheet name="比较法-工业" sheetId="37" state="hidden" r:id="rId42"/>
    <sheet name="住宅案例" sheetId="86" r:id="rId43"/>
    <sheet name="比较法-车位" sheetId="35" r:id="rId44"/>
    <sheet name="车位案例" sheetId="87" r:id="rId45"/>
    <sheet name="比较法-仓储" sheetId="36" r:id="rId46"/>
    <sheet name="仓储案例" sheetId="88" r:id="rId47"/>
    <sheet name="土地比较法-工业" sheetId="40" state="hidden" r:id="rId48"/>
    <sheet name="典型户型修正" sheetId="31" state="hidden" r:id="rId49"/>
    <sheet name="基准地价（汇总）" sheetId="76" state="hidden" r:id="rId50"/>
    <sheet name="基准地价修正" sheetId="43" state="hidden" r:id="rId51"/>
    <sheet name="修正" sheetId="45" state="hidden" r:id="rId52"/>
    <sheet name="容积率修正" sheetId="46" state="hidden" r:id="rId53"/>
    <sheet name="成本法（废）" sheetId="11" state="hidden" r:id="rId54"/>
    <sheet name="因素修正幅度" sheetId="65" state="hidden" r:id="rId55"/>
    <sheet name="区片价（范围）" sheetId="75" state="hidden" r:id="rId56"/>
    <sheet name="地价-分区" sheetId="79" state="hidden" r:id="rId57"/>
    <sheet name="地价" sheetId="71" state="hidden" r:id="rId58"/>
    <sheet name="区片价" sheetId="44" state="hidden" r:id="rId59"/>
    <sheet name="存贷款利率" sheetId="73" state="hidden" r:id="rId60"/>
  </sheets>
  <externalReferences>
    <externalReference r:id="rId61"/>
    <externalReference r:id="rId62"/>
  </externalReferences>
  <definedNames>
    <definedName name="_xlnm._FilterDatabase" localSheetId="40" hidden="1">'比较法-办公'!$A$1:$L$50</definedName>
    <definedName name="_xlnm._FilterDatabase" localSheetId="45" hidden="1">'比较法-仓储'!$A$1:$L$37</definedName>
    <definedName name="_xlnm._FilterDatabase" localSheetId="43" hidden="1">'比较法-车位'!$A$1:$L$39</definedName>
    <definedName name="_xlnm._FilterDatabase" localSheetId="41" hidden="1">'比较法-工业'!$A$1:$L$43</definedName>
    <definedName name="_xlnm._FilterDatabase" localSheetId="39" hidden="1">'比较法-商业'!$A$1:$L$49</definedName>
    <definedName name="_xlnm._FilterDatabase" localSheetId="38" hidden="1">'比较法-住宅'!$A$1:$L$49</definedName>
    <definedName name="_xlnm._FilterDatabase" localSheetId="12" hidden="1">'数据-基础表'!$A$12:$AT$587</definedName>
    <definedName name="_xlnm._FilterDatabase" localSheetId="47" hidden="1">'土地比较法-工业'!$A$1:$L$43</definedName>
    <definedName name="_xlnm._FilterDatabase" localSheetId="30" hidden="1">'土地比较法-住宅、综合'!$A$1:$L$48</definedName>
    <definedName name="_xlnm._FilterDatabase" localSheetId="15" hidden="1">'未售清单-仓储'!$A$2:$P$454</definedName>
    <definedName name="_xlnm._FilterDatabase" localSheetId="16" hidden="1">'未售清单-车位'!$A$2:$P$432</definedName>
    <definedName name="_xlnm._FilterDatabase" localSheetId="14" hidden="1">'未售清单-住宅'!$A$2:$P$158</definedName>
    <definedName name="_xlnm._FilterDatabase" localSheetId="11" hidden="1">项目基本情况!$A$42:$N$42</definedName>
    <definedName name="_xlnm.Print_Area" localSheetId="40">'比较法-办公'!$A$1:$K$55,'比较法-办公'!$A$58:$M$132</definedName>
    <definedName name="_xlnm.Print_Area" localSheetId="45">'比较法-仓储'!$A$1:$K$42,'比较法-仓储'!$A$45:$M$96</definedName>
    <definedName name="_xlnm.Print_Area" localSheetId="43">'比较法-车位'!$A$1:$K$44,'比较法-车位'!$A$47:$M$102</definedName>
    <definedName name="_xlnm.Print_Area" localSheetId="41">'比较法-工业'!$A$1:$K$48,'比较法-工业'!$A$51:$M$113</definedName>
    <definedName name="_xlnm.Print_Area" localSheetId="39">'比较法-商业'!$A$1:$K$54,'比较法-商业'!$A$57:$M$131</definedName>
    <definedName name="_xlnm.Print_Area" localSheetId="38">'比较法-住宅'!$A$1:$K$54,'比较法-住宅'!$A$57:$M$131</definedName>
    <definedName name="_xlnm.Print_Area" localSheetId="28">成本法!$A$1:$G$57</definedName>
    <definedName name="_xlnm.Print_Area" localSheetId="29">'成本法 (元)'!$A$1:$G$57</definedName>
    <definedName name="_xlnm.Print_Area" localSheetId="25">估价对象房地状况!$A$1:$G$24</definedName>
    <definedName name="_xlnm.Print_Area" localSheetId="8">估价师及机构信息!$A$1:$G$22</definedName>
    <definedName name="_xlnm.Print_Area" localSheetId="49">'基准地价（汇总）'!$A$1:$E$13</definedName>
    <definedName name="_xlnm.Print_Area" localSheetId="50">基准地价修正!$A$1:$J$44,基准地价修正!$A$47:$H$101,基准地价修正!$R$1:$V$16</definedName>
    <definedName name="_xlnm.Print_Area" localSheetId="32">假设开发法!$A$1:$K$32</definedName>
    <definedName name="_xlnm.Print_Area" localSheetId="27">结果表!$A$1:$I$127</definedName>
    <definedName name="_xlnm.Print_Area" localSheetId="33">收益法!$A$1:$F$43,收益法!$H$3:$M$29,收益法!$A$46:$F$71,收益法!$I$46:$N$65</definedName>
    <definedName name="_xlnm.Print_Area" localSheetId="34">'收益法 (元)'!$A$1:$F$43,'收益法 (元)'!$H$3:$M$29,'收益法 (元)'!$A$45:$F$71,'收益法 (元)'!$I$46:$N$65</definedName>
    <definedName name="_xlnm.Print_Area" localSheetId="36">'收益法（汇总）'!$A$1:$F$13</definedName>
    <definedName name="_xlnm.Print_Area" localSheetId="23">'数据-汇总表'!$A$1:$P$32</definedName>
    <definedName name="_xlnm.Print_Area" localSheetId="47">'土地比较法-工业'!$A$1:$K$61,'土地比较法-工业'!$A$64:$M$121</definedName>
    <definedName name="_xlnm.Print_Area" localSheetId="30">'土地比较法-住宅、综合'!$A$1:$K$65,'土地比较法-住宅、综合'!$A$68:$M$131</definedName>
    <definedName name="_xlnm.Print_Area" localSheetId="26">系统读取表!$A$1:$I$26</definedName>
    <definedName name="_xlnm.Print_Area" localSheetId="11">项目基本情况!$A$1:$I$38</definedName>
    <definedName name="八级">区片价!$P$1:$P$44</definedName>
    <definedName name="办公层高" localSheetId="31">'[1]比较法-办公'!$B$119:$M$119</definedName>
    <definedName name="办公层高" localSheetId="37">'[1]比较法-办公'!$B$119:$M$119</definedName>
    <definedName name="办公层高">'比较法-办公'!$B$119:$M$119</definedName>
    <definedName name="办公朝向" localSheetId="31">'[1]比较法-办公'!$B$91:$M$91</definedName>
    <definedName name="办公朝向" localSheetId="37">'[1]比较法-办公'!$B$91:$M$91</definedName>
    <definedName name="办公朝向">'比较法-办公'!$B$91:$M$91</definedName>
    <definedName name="办公道路级别" localSheetId="31">'[1]比较法-办公'!$B$87:$M$87</definedName>
    <definedName name="办公道路级别" localSheetId="37">'[1]比较法-办公'!$B$87:$M$87</definedName>
    <definedName name="办公道路级别">'比较法-办公'!$B$87:$M$87</definedName>
    <definedName name="办公公共部分装修" localSheetId="31">'[1]比较法-办公'!$B$108:$M$108</definedName>
    <definedName name="办公公共部分装修" localSheetId="37">'[1]比较法-办公'!$B$108:$M$108</definedName>
    <definedName name="办公公共部分装修">'比较法-办公'!$B$108:$M$108</definedName>
    <definedName name="办公基础设施水平" localSheetId="31">'[1]比较法-办公'!$B$117:$M$117</definedName>
    <definedName name="办公基础设施水平" localSheetId="37">'[1]比较法-办公'!$B$117:$M$117</definedName>
    <definedName name="办公基础设施水平">'比较法-办公'!$B$117:$M$117</definedName>
    <definedName name="办公集聚程度" localSheetId="31">[1]定义!$M$1:$M$6</definedName>
    <definedName name="办公集聚程度" localSheetId="37">[1]定义!$M$1:$M$6</definedName>
    <definedName name="办公集聚程度">定义!$M$1:$M$6</definedName>
    <definedName name="办公建筑结构" localSheetId="31">'[1]比较法-办公'!$B$106:$M$106</definedName>
    <definedName name="办公建筑结构" localSheetId="37">'[1]比较法-办公'!$B$106:$M$106</definedName>
    <definedName name="办公建筑结构">'比较法-办公'!$B$106:$M$106</definedName>
    <definedName name="办公建筑类型" localSheetId="31">'[1]比较法-办公'!$B$101:$M$101</definedName>
    <definedName name="办公建筑类型" localSheetId="37">'[1]比较法-办公'!$B$101:$M$101</definedName>
    <definedName name="办公建筑类型">'比较法-办公'!$B$101:$M$101</definedName>
    <definedName name="办公交易情况" localSheetId="31">'[1]比较法-办公'!$A$62:$M$62</definedName>
    <definedName name="办公交易情况" localSheetId="37">'[1]比较法-办公'!$A$62:$M$62</definedName>
    <definedName name="办公交易情况">'比较法-办公'!$A$62:$M$62</definedName>
    <definedName name="办公楼层" localSheetId="31">'[1]比较法-办公'!$B$89:$M$89</definedName>
    <definedName name="办公楼层" localSheetId="37">'[1]比较法-办公'!$B$89:$M$89</definedName>
    <definedName name="办公楼层">'比较法-办公'!$B$89:$M$89</definedName>
    <definedName name="办公内部装修" localSheetId="31">'[1]比较法-办公'!$B$123:$M$123</definedName>
    <definedName name="办公内部装修" localSheetId="37">'[1]比较法-办公'!$B$123:$M$123</definedName>
    <definedName name="办公内部装修">'比较法-办公'!$B$123:$M$123</definedName>
    <definedName name="办公物业管理" localSheetId="31">'[1]比较法-办公'!$B$115:$M$115</definedName>
    <definedName name="办公物业管理" localSheetId="37">'[1]比较法-办公'!$B$115:$M$115</definedName>
    <definedName name="办公物业管理">'比较法-办公'!$B$115:$M$115</definedName>
    <definedName name="办公用途" localSheetId="31">'[1]比较法-办公'!$B$64:$M$64</definedName>
    <definedName name="办公用途" localSheetId="37">'[1]比较法-办公'!$B$64:$M$64</definedName>
    <definedName name="办公用途">'比较法-办公'!$B$64:$M$64</definedName>
    <definedName name="仓储公共部分装修" localSheetId="31">'[1]比较法-仓储'!$B$77:$M$77</definedName>
    <definedName name="仓储公共部分装修" localSheetId="37">'[1]比较法-仓储'!$B$77:$M$77</definedName>
    <definedName name="仓储公共部分装修">'比较法-仓储'!$B$77:$M$77</definedName>
    <definedName name="仓储交易情况" localSheetId="31">'[1]比较法-仓储'!$A$49:$M$49</definedName>
    <definedName name="仓储交易情况" localSheetId="37">'[1]比较法-仓储'!$A$49:$M$49</definedName>
    <definedName name="仓储交易情况">'比较法-仓储'!$A$49:$M$49</definedName>
    <definedName name="仓储楼层" localSheetId="31">'[1]比较法-仓储'!$B$69:$M$69</definedName>
    <definedName name="仓储楼层" localSheetId="37">'[1]比较法-仓储'!$B$69:$M$69</definedName>
    <definedName name="仓储楼层">'比较法-仓储'!$B$69:$M$69</definedName>
    <definedName name="仓储物业等级" localSheetId="31">'[1]比较法-仓储'!$B$82:$M$82</definedName>
    <definedName name="仓储物业等级" localSheetId="37">'[1]比较法-仓储'!$B$82:$M$82</definedName>
    <definedName name="仓储物业等级">'比较法-仓储'!$B$82:$M$82</definedName>
    <definedName name="仓储用途" localSheetId="31">'[1]比较法-仓储'!$B$51:$M$51</definedName>
    <definedName name="仓储用途" localSheetId="37">'[1]比较法-仓储'!$B$51:$M$51</definedName>
    <definedName name="仓储用途">'比较法-仓储'!$B$51:$M$51</definedName>
    <definedName name="产业集聚程度" localSheetId="31">[1]定义!$N$1:$N$6</definedName>
    <definedName name="产业集聚程度" localSheetId="37">[1]定义!$N$1:$N$6</definedName>
    <definedName name="产业集聚程度">定义!$N$1:$N$6</definedName>
    <definedName name="车位公共部分装修" localSheetId="31">'[1]比较法-车位'!$B$83:$M$83</definedName>
    <definedName name="车位公共部分装修" localSheetId="37">'[1]比较法-车位'!$B$83:$M$83</definedName>
    <definedName name="车位公共部分装修">'比较法-车位'!$B$83:$M$83</definedName>
    <definedName name="车位交易情况" localSheetId="31">'[1]比较法-车位'!$A$51:$M$51</definedName>
    <definedName name="车位交易情况" localSheetId="37">'[1]比较法-车位'!$A$51:$M$51</definedName>
    <definedName name="车位交易情况">'比较法-车位'!$A$51:$M$51</definedName>
    <definedName name="车位类型" localSheetId="31">'[1]比较法-车位'!$B$93:$M$93</definedName>
    <definedName name="车位类型" localSheetId="37">'[1]比较法-车位'!$B$93:$M$93</definedName>
    <definedName name="车位类型">'比较法-车位'!$B$93:$M$93</definedName>
    <definedName name="车位楼层" localSheetId="31">'[1]比较法-车位'!$B$71:$M$71</definedName>
    <definedName name="车位楼层" localSheetId="37">'[1]比较法-车位'!$B$71:$M$71</definedName>
    <definedName name="车位楼层">'比较法-车位'!$B$71:$M$71</definedName>
    <definedName name="车位配套类型" localSheetId="31">'[1]比较法-车位'!$B$79:$M$79</definedName>
    <definedName name="车位配套类型" localSheetId="37">'[1]比较法-车位'!$B$79:$M$79</definedName>
    <definedName name="车位配套类型">'比较法-车位'!$B$79:$M$79</definedName>
    <definedName name="车位物业等级" localSheetId="31">'[1]比较法-车位'!$B$88:$M$88</definedName>
    <definedName name="车位物业等级" localSheetId="37">'[1]比较法-车位'!$B$88:$M$88</definedName>
    <definedName name="车位物业等级">'比较法-车位'!$B$88:$M$88</definedName>
    <definedName name="车位用途" localSheetId="31">'[1]比较法-车位'!$B$53:$M$53</definedName>
    <definedName name="车位用途" localSheetId="37">'[1]比较法-车位'!$B$53:$M$53</definedName>
    <definedName name="车位用途">'比较法-车位'!$B$53:$M$53</definedName>
    <definedName name="城镇土地纳税等级分级范围" localSheetId="31">'[1]数据-取费表'!$A$53:$A$63</definedName>
    <definedName name="城镇土地纳税等级分级范围" localSheetId="37">'[1]数据-取费表'!$A$53:$A$63</definedName>
    <definedName name="城镇土地纳税等级分级范围">'数据-取费表'!$A$53:$A$63</definedName>
    <definedName name="单价内涵" localSheetId="31">[1]定义!$V$1:$V$3</definedName>
    <definedName name="单价内涵" localSheetId="37">[1]定义!$V$1:$V$3</definedName>
    <definedName name="单价内涵">定义!$V$1:$V$3</definedName>
    <definedName name="地类判定" localSheetId="31">[1]定义!$H$1:$H$9</definedName>
    <definedName name="地类判定" localSheetId="37">[1]定义!$H$1:$H$9</definedName>
    <definedName name="地类判定">定义!$H$1:$H$9</definedName>
    <definedName name="二级">区片价!$J$1:$J$21</definedName>
    <definedName name="二级分类" localSheetId="31">[1]修正!$C$19:$C$51</definedName>
    <definedName name="二级分类" localSheetId="37">[1]修正!$C$19:$C$51</definedName>
    <definedName name="二级分类">修正!$C$19:$C$51</definedName>
    <definedName name="法定最高年限" localSheetId="31">[1]定义!$G$1:$G$6</definedName>
    <definedName name="法定最高年限" localSheetId="37">[1]定义!$G$1:$G$6</definedName>
    <definedName name="法定最高年限">定义!$G$1:$G$6</definedName>
    <definedName name="工业公共部分装修" localSheetId="31">'[1]比较法-工业'!$B$95:$M$95</definedName>
    <definedName name="工业公共部分装修" localSheetId="37">'[1]比较法-工业'!$B$95:$M$95</definedName>
    <definedName name="工业公共部分装修">'比较法-工业'!$B$95:$M$95</definedName>
    <definedName name="工业基础设施水平" localSheetId="31">'[1]比较法-工业'!$B$102:$M$102</definedName>
    <definedName name="工业基础设施水平" localSheetId="37">'[1]比较法-工业'!$B$102:$M$102</definedName>
    <definedName name="工业基础设施水平">'比较法-工业'!$B$102:$M$102</definedName>
    <definedName name="工业建筑结构" localSheetId="31">'[1]比较法-工业'!$B$93:$M$93</definedName>
    <definedName name="工业建筑结构" localSheetId="37">'[1]比较法-工业'!$B$93:$M$93</definedName>
    <definedName name="工业建筑结构">'比较法-工业'!$B$93:$M$93</definedName>
    <definedName name="工业建筑类型" localSheetId="31">'[1]比较法-工业'!$B$88:$M$88</definedName>
    <definedName name="工业建筑类型" localSheetId="37">'[1]比较法-工业'!$B$88:$M$88</definedName>
    <definedName name="工业建筑类型">'比较法-工业'!$B$88:$M$88</definedName>
    <definedName name="工业交易情况" localSheetId="31">'[1]比较法-工业'!$A$55:$M$55</definedName>
    <definedName name="工业交易情况" localSheetId="37">'[1]比较法-工业'!$A$55:$M$55</definedName>
    <definedName name="工业交易情况">'比较法-工业'!$A$55:$M$55</definedName>
    <definedName name="工业内部装修" localSheetId="31">'[1]比较法-工业'!$B$104:$M$104</definedName>
    <definedName name="工业内部装修" localSheetId="37">'[1]比较法-工业'!$B$104:$M$104</definedName>
    <definedName name="工业内部装修">'比较法-工业'!$B$104:$M$104</definedName>
    <definedName name="工业物业管理" localSheetId="31">'[1]比较法-工业'!$B$100:$M$100</definedName>
    <definedName name="工业物业管理" localSheetId="37">'[1]比较法-工业'!$B$100:$M$100</definedName>
    <definedName name="工业物业管理">'比较法-工业'!$B$100:$M$100</definedName>
    <definedName name="工业用途" localSheetId="31">'[1]比较法-工业'!$B$57:$M$57</definedName>
    <definedName name="工业用途" localSheetId="37">'[1]比较法-工业'!$B$57:$M$57</definedName>
    <definedName name="工业用途">'比较法-工业'!$B$57:$M$57</definedName>
    <definedName name="公共配套设施" localSheetId="31">[1]定义!$Q$1:$Q$6</definedName>
    <definedName name="公共配套设施" localSheetId="37">[1]定义!$Q$1:$Q$6</definedName>
    <definedName name="公共配套设施">定义!$Q$1:$Q$6</definedName>
    <definedName name="估价范围判定" localSheetId="31">[1]定义!$D$1:$D$4</definedName>
    <definedName name="估价范围判定" localSheetId="37">[1]定义!$D$1:$D$4</definedName>
    <definedName name="估价范围判定">定义!$D$1:$D$4</definedName>
    <definedName name="估价方法" localSheetId="31">[1]定义!$B$1:$B$50</definedName>
    <definedName name="估价方法" localSheetId="37">[1]定义!$B$1:$B$50</definedName>
    <definedName name="估价方法">定义!$B$1:$B$50</definedName>
    <definedName name="环境" localSheetId="31">[1]定义!$S$1:$S$6</definedName>
    <definedName name="环境" localSheetId="37">[1]定义!$S$1:$S$6</definedName>
    <definedName name="环境">定义!$S$1:$S$6</definedName>
    <definedName name="基础设施水平" localSheetId="31">[1]定义!$R$1:$R$6</definedName>
    <definedName name="基础设施水平" localSheetId="37">[1]定义!$R$1:$R$6</definedName>
    <definedName name="基础设施水平">定义!$R$1:$R$6</definedName>
    <definedName name="季度">基准地价修正!$Q$19:$AD$19</definedName>
    <definedName name="价值类型2" localSheetId="31">[1]定义!$B$54:$B$56</definedName>
    <definedName name="价值类型2" localSheetId="37">[1]定义!$B$54:$B$56</definedName>
    <definedName name="价值类型2">定义!$B$54:$B$56</definedName>
    <definedName name="交通便捷度" localSheetId="31">[1]定义!$O$1:$O$6</definedName>
    <definedName name="交通便捷度" localSheetId="37">[1]定义!$O$1:$O$6</definedName>
    <definedName name="交通便捷度">定义!$O$1:$O$6</definedName>
    <definedName name="九级">区片价!$Q$1:$Q$51</definedName>
    <definedName name="居住社区成熟度" localSheetId="31">[1]定义!$K$1:$K$6</definedName>
    <definedName name="居住社区成熟度" localSheetId="37">[1]定义!$K$1:$K$6</definedName>
    <definedName name="居住社区成熟度">定义!$K$1:$K$6</definedName>
    <definedName name="类别" localSheetId="31">[1]定义!$J$1:$J$3</definedName>
    <definedName name="类别" localSheetId="37">[1]定义!$J$1:$J$3</definedName>
    <definedName name="类别">定义!$J$1:$J$3</definedName>
    <definedName name="临街状况" localSheetId="31">[1]定义!$T$1:$T$5</definedName>
    <definedName name="临街状况" localSheetId="37">[1]定义!$T$1:$T$5</definedName>
    <definedName name="临街状况">定义!$T$1:$T$5</definedName>
    <definedName name="六级">区片价!$N$1:$N$64</definedName>
    <definedName name="内部装修维护情况" localSheetId="31">[1]定义!$U$1:$U$6</definedName>
    <definedName name="内部装修维护情况" localSheetId="37">[1]定义!$U$1:$U$6</definedName>
    <definedName name="内部装修维护情况">定义!$U$1:$U$6</definedName>
    <definedName name="七级">区片价!$O$1:$O$45</definedName>
    <definedName name="七通一平" localSheetId="31">[1]修正!$A$8:$A$16</definedName>
    <definedName name="七通一平" localSheetId="37">[1]修正!$A$8:$A$16</definedName>
    <definedName name="七通一平">修正!$A$8:$A$16</definedName>
    <definedName name="区域土地利用方向" localSheetId="31">[1]定义!$P$1:$P$6</definedName>
    <definedName name="区域土地利用方向" localSheetId="37">[1]定义!$P$1:$P$6</definedName>
    <definedName name="区域土地利用方向">定义!$P$1:$P$6</definedName>
    <definedName name="三级">区片价!$K$1:$K$26</definedName>
    <definedName name="商业层高" localSheetId="31">'[1]比较法-商业'!$B$116:$M$116</definedName>
    <definedName name="商业层高" localSheetId="37">'[1]比较法-商业'!$B$116:$M$116</definedName>
    <definedName name="商业层高">'比较法-商业'!$B$116:$M$116</definedName>
    <definedName name="商业成新度">'比较法-商业'!$B$109:$M$109</definedName>
    <definedName name="商业繁华度" localSheetId="31">[1]定义!$L$1:$L$6</definedName>
    <definedName name="商业繁华度" localSheetId="37">[1]定义!$L$1:$L$6</definedName>
    <definedName name="商业繁华度">定义!$L$1:$L$6</definedName>
    <definedName name="商业公共部分装修" localSheetId="31">'[1]比较法-商业'!$B$107:$M$107</definedName>
    <definedName name="商业公共部分装修" localSheetId="37">'[1]比较法-商业'!$B$107:$M$107</definedName>
    <definedName name="商业公共部分装修">'比较法-商业'!$B$107:$M$107</definedName>
    <definedName name="商业基础设施水平" localSheetId="31">'[1]比较法-商业'!$B$112:$M$112</definedName>
    <definedName name="商业基础设施水平" localSheetId="37">'[1]比较法-商业'!$B$112:$M$112</definedName>
    <definedName name="商业基础设施水平">'比较法-商业'!$B$112:$M$112</definedName>
    <definedName name="商业建筑结构" localSheetId="31">'[1]比较法-商业'!$B$105:$M$105</definedName>
    <definedName name="商业建筑结构" localSheetId="37">'[1]比较法-商业'!$B$105:$M$105</definedName>
    <definedName name="商业建筑结构">'比较法-商业'!$B$105:$M$105</definedName>
    <definedName name="商业交易情况" localSheetId="31">'[1]比较法-商业'!$A$61:$M$61</definedName>
    <definedName name="商业交易情况" localSheetId="37">'[1]比较法-商业'!$A$61:$M$61</definedName>
    <definedName name="商业交易情况">'比较法-商业'!$A$61:$M$61</definedName>
    <definedName name="商业街名称" localSheetId="31">[1]修正!$C$71:$C$138</definedName>
    <definedName name="商业街名称" localSheetId="37">[1]修正!$C$71:$C$138</definedName>
    <definedName name="商业街名称">修正!$C$71:$C$138</definedName>
    <definedName name="商业进深比" localSheetId="31">'[1]比较法-商业'!$B$120:$M$120</definedName>
    <definedName name="商业进深比" localSheetId="37">'[1]比较法-商业'!$B$120:$M$120</definedName>
    <definedName name="商业进深比">'比较法-商业'!$B$120:$M$120</definedName>
    <definedName name="商业类型" localSheetId="31">'[1]比较法-商业'!$B$100:$M$100</definedName>
    <definedName name="商业类型" localSheetId="37">'[1]比较法-商业'!$B$100:$M$100</definedName>
    <definedName name="商业类型">'比较法-商业'!$B$100:$M$100</definedName>
    <definedName name="商业临街状况" localSheetId="31">'[1]比较法-商业'!$B$86:$M$86</definedName>
    <definedName name="商业临街状况" localSheetId="37">'[1]比较法-商业'!$B$86:$M$86</definedName>
    <definedName name="商业临街状况">'比较法-商业'!$B$86:$M$86</definedName>
    <definedName name="商业楼层" localSheetId="31">'[1]比较法-商业'!$B$92:$M$92</definedName>
    <definedName name="商业楼层" localSheetId="37">'[1]比较法-商业'!$B$92:$M$92</definedName>
    <definedName name="商业楼层">'比较法-商业'!$B$92:$M$92</definedName>
    <definedName name="商业内部装修" localSheetId="31">'[1]比较法-商业'!$B$122:$M$122</definedName>
    <definedName name="商业内部装修" localSheetId="37">'[1]比较法-商业'!$B$122:$M$122</definedName>
    <definedName name="商业内部装修">'比较法-商业'!$B$122:$M$122</definedName>
    <definedName name="商业人流量" localSheetId="31">'[1]比较法-商业'!$B$90:$M$90</definedName>
    <definedName name="商业人流量" localSheetId="37">'[1]比较法-商业'!$B$90:$M$90</definedName>
    <definedName name="商业人流量">'比较法-商业'!$B$90:$M$90</definedName>
    <definedName name="商业业态" localSheetId="31">'[1]比较法-商业'!$B$114:$M$114</definedName>
    <definedName name="商业业态" localSheetId="37">'[1]比较法-商业'!$B$114:$M$114</definedName>
    <definedName name="商业业态">'比较法-商业'!$B$114:$M$114</definedName>
    <definedName name="商业用途" localSheetId="31">'[1]比较法-商业'!$B$63:$M$63</definedName>
    <definedName name="商业用途" localSheetId="3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1">'[1]比较法-仓储'!$B$89:$M$89</definedName>
    <definedName name="是否封闭" localSheetId="37">'[1]比较法-仓储'!$B$89:$M$89</definedName>
    <definedName name="是否封闭">'比较法-仓储'!$B$89:$M$89</definedName>
    <definedName name="是否直接入户" localSheetId="31">'[1]比较法-车位'!$B$95:$M$95</definedName>
    <definedName name="是否直接入户" localSheetId="37">'[1]比较法-车位'!$B$95:$M$95</definedName>
    <definedName name="是否直接入户">'比较法-车位'!$B$95:$M$95</definedName>
    <definedName name="四级">区片价!$L$1:$L$33</definedName>
    <definedName name="套工道路等级" localSheetId="31">'[1]土地比较法-工业'!$B$97:$M$97</definedName>
    <definedName name="套工道路等级" localSheetId="37">'[1]土地比较法-工业'!$B$97:$M$97</definedName>
    <definedName name="套工道路等级">'土地比较法-工业'!$B$97:$M$97</definedName>
    <definedName name="套工地质条件" localSheetId="31">'[1]土地比较法-工业'!$B$114:$M$114</definedName>
    <definedName name="套工地质条件" localSheetId="37">'[1]土地比较法-工业'!$B$114:$M$114</definedName>
    <definedName name="套工地质条件">'土地比较法-工业'!$B$114:$M$114</definedName>
    <definedName name="套工交易情况" localSheetId="31">'[1]土地比较法-住宅、综合'!$A$72:$M$72</definedName>
    <definedName name="套工交易情况" localSheetId="37">'[1]土地比较法-住宅、综合'!$A$72:$M$72</definedName>
    <definedName name="套工交易情况">'土地比较法-住宅、综合'!$A$72:$M$72</definedName>
    <definedName name="套工土地级别" localSheetId="31">'[1]土地比较法-工业'!$B$99:$M$99</definedName>
    <definedName name="套工土地级别" localSheetId="37">'[1]土地比较法-工业'!$B$99:$M$99</definedName>
    <definedName name="套工土地级别">'土地比较法-工业'!$B$99:$M$99</definedName>
    <definedName name="套工用途" localSheetId="31">'[1]土地比较法-工业'!$B$70:$M$70</definedName>
    <definedName name="套工用途" localSheetId="37">'[1]土地比较法-工业'!$B$70:$M$70</definedName>
    <definedName name="套工用途">'土地比较法-工业'!$B$70:$M$70</definedName>
    <definedName name="套工宗地开发程度" localSheetId="31">'[1]土地比较法-工业'!$B$112:$M$112</definedName>
    <definedName name="套工宗地开发程度" localSheetId="37">'[1]土地比较法-工业'!$B$112:$M$112</definedName>
    <definedName name="套工宗地开发程度">'土地比较法-工业'!$B$112:$M$112</definedName>
    <definedName name="套工宗地形状" localSheetId="31">'[1]土地比较法-工业'!$B$110:$M$110</definedName>
    <definedName name="套工宗地形状" localSheetId="37">'[1]土地比较法-工业'!$B$110:$M$110</definedName>
    <definedName name="套工宗地形状">'土地比较法-工业'!$B$110:$M$110</definedName>
    <definedName name="套综道路等级" localSheetId="31">'[1]土地比较法-住宅、综合'!$B$105:$M$105</definedName>
    <definedName name="套综道路等级" localSheetId="37">'[1]土地比较法-住宅、综合'!$B$105:$M$105</definedName>
    <definedName name="套综道路等级">'土地比较法-住宅、综合'!$B$105:$M$105</definedName>
    <definedName name="套综工程地质条件" localSheetId="31">'[1]土地比较法-住宅、综合'!$B$124:$M$124</definedName>
    <definedName name="套综工程地质条件" localSheetId="37">'[1]土地比较法-住宅、综合'!$B$124:$M$124</definedName>
    <definedName name="套综工程地质条件">'土地比较法-住宅、综合'!$B$124:$M$124</definedName>
    <definedName name="套综交易情况" localSheetId="31">'[1]土地比较法-住宅、综合'!$A$72:$M$72</definedName>
    <definedName name="套综交易情况" localSheetId="37">'[1]土地比较法-住宅、综合'!$A$72:$M$72</definedName>
    <definedName name="套综交易情况">'土地比较法-住宅、综合'!$A$72:$M$72</definedName>
    <definedName name="套综临街宽度及深度" localSheetId="31">'[1]土地比较法-住宅、综合'!$B$120:$M$120</definedName>
    <definedName name="套综临街宽度及深度" localSheetId="37">'[1]土地比较法-住宅、综合'!$B$120:$M$120</definedName>
    <definedName name="套综临街宽度及深度">'土地比较法-住宅、综合'!$B$120:$M$120</definedName>
    <definedName name="套综土地级别" localSheetId="31">'[1]土地比较法-住宅、综合'!$B$107:$M$107</definedName>
    <definedName name="套综土地级别" localSheetId="37">'[1]土地比较法-住宅、综合'!$B$107:$M$107</definedName>
    <definedName name="套综土地级别">'土地比较法-住宅、综合'!$B$107:$M$107</definedName>
    <definedName name="套综用途" localSheetId="31">'[1]土地比较法-住宅、综合'!$B$74:$M$74</definedName>
    <definedName name="套综用途" localSheetId="37">'[1]土地比较法-住宅、综合'!$B$74:$M$74</definedName>
    <definedName name="套综用途">'土地比较法-住宅、综合'!$B$74:$M$74</definedName>
    <definedName name="套综宗地内开发程度" localSheetId="31">'[1]土地比较法-住宅、综合'!$B$122:$M$122</definedName>
    <definedName name="套综宗地内开发程度" localSheetId="37">'[1]土地比较法-住宅、综合'!$B$122:$M$122</definedName>
    <definedName name="套综宗地内开发程度">'土地比较法-住宅、综合'!$B$122:$M$122</definedName>
    <definedName name="套综宗地形状" localSheetId="31">'[1]土地比较法-住宅、综合'!$B$118:$M$118</definedName>
    <definedName name="套综宗地形状" localSheetId="37">'[1]土地比较法-住宅、综合'!$B$118:$M$118</definedName>
    <definedName name="套综宗地形状">'土地比较法-住宅、综合'!$B$118:$M$118</definedName>
    <definedName name="土地估价师">估价师及机构信息!$D$3:$D$24</definedName>
    <definedName name="土地级别" localSheetId="31">[1]定义!$C$1:$C$14</definedName>
    <definedName name="土地级别" localSheetId="37">[1]定义!$C$1:$C$14</definedName>
    <definedName name="土地级别">定义!$C$1:$C$14</definedName>
    <definedName name="土地利用方向">定义!$P$1:$P$6</definedName>
    <definedName name="土地年限区间">定义!$I$1:$I$16</definedName>
    <definedName name="位置" localSheetId="31">[1]定义!$E$2:$E$4</definedName>
    <definedName name="位置" localSheetId="37">[1]定义!$E$2:$E$4</definedName>
    <definedName name="位置">定义!$E$2:$E$4</definedName>
    <definedName name="五等判定" localSheetId="31">[1]定义!$W$1:$W$6</definedName>
    <definedName name="五等判定" localSheetId="37">[1]定义!$W$1:$W$6</definedName>
    <definedName name="五等判定">定义!$W$1:$W$6</definedName>
    <definedName name="五级">区片价!$M$1:$M$41</definedName>
    <definedName name="项目类型" localSheetId="35">'[2]数据-汇总表'!$C$17:$C$26</definedName>
    <definedName name="项目类型" localSheetId="31">'[1]数据-汇总表'!$C$17:$C$26</definedName>
    <definedName name="项目类型" localSheetId="37">'[1]数据-汇总表'!$C$17:$C$26</definedName>
    <definedName name="项目类型">'数据-汇总表'!$C$17:$C$26</definedName>
    <definedName name="写字楼等级" localSheetId="31">'[1]比较法-办公'!$B$113:$M$113</definedName>
    <definedName name="写字楼等级" localSheetId="37">'[1]比较法-办公'!$B$113:$M$113</definedName>
    <definedName name="写字楼等级">'比较法-办公'!$B$113:$M$113</definedName>
    <definedName name="一级">区片价!$I$1:$I$6</definedName>
    <definedName name="一修多修正项2" localSheetId="31">[1]典型户型修正!$5:$5</definedName>
    <definedName name="一修多修正项2" localSheetId="37">[1]典型户型修正!$5:$5</definedName>
    <definedName name="一修多修正项2">典型户型修正!$5:$5</definedName>
    <definedName name="一修多修正项3" localSheetId="31">[1]典型户型修正!$7:$7</definedName>
    <definedName name="一修多修正项3" localSheetId="37">[1]典型户型修正!$7:$7</definedName>
    <definedName name="一修多修正项3">典型户型修正!$7:$7</definedName>
    <definedName name="一修多修正项4" localSheetId="31">[1]典型户型修正!$9:$9</definedName>
    <definedName name="一修多修正项4" localSheetId="37">[1]典型户型修正!$9:$9</definedName>
    <definedName name="一修多修正项4">典型户型修正!$9:$9</definedName>
    <definedName name="一修多修正项5" localSheetId="31">[1]典型户型修正!$11:$11</definedName>
    <definedName name="一修多修正项5" localSheetId="37">[1]典型户型修正!$11:$11</definedName>
    <definedName name="一修多修正项5">典型户型修正!$11:$11</definedName>
    <definedName name="一修多修正项6" localSheetId="31">[1]典型户型修正!$13:$13</definedName>
    <definedName name="一修多修正项6" localSheetId="37">[1]典型户型修正!$13:$13</definedName>
    <definedName name="一修多修正项6">典型户型修正!$13:$13</definedName>
    <definedName name="一修多修正项7" localSheetId="31">[1]典型户型修正!$15:$15</definedName>
    <definedName name="一修多修正项7" localSheetId="37">[1]典型户型修正!$15:$15</definedName>
    <definedName name="一修多修正项7">典型户型修正!$15:$15</definedName>
    <definedName name="一修多修正项8" localSheetId="31">[1]典型户型修正!$17:$17</definedName>
    <definedName name="一修多修正项8" localSheetId="37">[1]典型户型修正!$17:$17</definedName>
    <definedName name="一修多修正项8">典型户型修正!$17:$17</definedName>
    <definedName name="用途明细" localSheetId="31">[1]定义!$A$1:$A$50</definedName>
    <definedName name="用途明细" localSheetId="37">[1]定义!$A$1:$A$50</definedName>
    <definedName name="用途明细">定义!$A$1:$A$50</definedName>
    <definedName name="有无电梯" localSheetId="31">'[1]比较法-仓储'!$B$84:$M$84</definedName>
    <definedName name="有无电梯" localSheetId="37">'[1]比较法-仓储'!$B$84:$M$84</definedName>
    <definedName name="有无电梯">'比较法-仓储'!$B$84:$M$84</definedName>
    <definedName name="主用途" localSheetId="31">[1]定义!$F$1:$F$12</definedName>
    <definedName name="主用途" localSheetId="37">[1]定义!$F$1:$F$12</definedName>
    <definedName name="主用途">定义!$F$1:$F$12</definedName>
    <definedName name="住宅朝向" localSheetId="31">'[1]比较法-住宅'!$B$88:$M$88</definedName>
    <definedName name="住宅朝向" localSheetId="37">'[1]比较法-住宅'!$B$88:$M$88</definedName>
    <definedName name="住宅朝向">'比较法-住宅'!$B$88:$M$88</definedName>
    <definedName name="住宅房型" localSheetId="31">'[1]比较法-住宅'!$B$118:$M$118</definedName>
    <definedName name="住宅房型" localSheetId="37">'[1]比较法-住宅'!$B$118:$M$118</definedName>
    <definedName name="住宅房型">'比较法-住宅'!$B$118:$M$118</definedName>
    <definedName name="住宅公共部分装修" localSheetId="31">'[1]比较法-住宅'!$B$109:$M$109</definedName>
    <definedName name="住宅公共部分装修" localSheetId="37">'[1]比较法-住宅'!$B$109:$M$109</definedName>
    <definedName name="住宅公共部分装修">'比较法-住宅'!$B$109:$M$109</definedName>
    <definedName name="住宅基础设施水平" localSheetId="31">'[1]比较法-住宅'!$B$116:$M$116</definedName>
    <definedName name="住宅基础设施水平" localSheetId="37">'[1]比较法-住宅'!$B$116:$M$116</definedName>
    <definedName name="住宅基础设施水平">'比较法-住宅'!$B$116:$M$116</definedName>
    <definedName name="住宅建筑结构" localSheetId="31">'[1]比较法-住宅'!$B$105:$M$105</definedName>
    <definedName name="住宅建筑结构" localSheetId="37">'[1]比较法-住宅'!$B$105:$M$105</definedName>
    <definedName name="住宅建筑结构">'比较法-住宅'!$B$105:$M$105</definedName>
    <definedName name="住宅建筑类型" localSheetId="31">'[1]比较法-住宅'!$B$100:$M$100</definedName>
    <definedName name="住宅建筑类型" localSheetId="37">'[1]比较法-住宅'!$B$100:$M$100</definedName>
    <definedName name="住宅建筑类型">'比较法-住宅'!$B$100:$M$100</definedName>
    <definedName name="住宅建筑品质" localSheetId="31">'[1]比较法-住宅'!$B$107:$M$107</definedName>
    <definedName name="住宅建筑品质" localSheetId="37">'[1]比较法-住宅'!$B$107:$M$107</definedName>
    <definedName name="住宅建筑品质">'比较法-住宅'!$B$107:$M$107</definedName>
    <definedName name="住宅交易情况" localSheetId="31">'[1]比较法-住宅'!$A$61:$M$61</definedName>
    <definedName name="住宅交易情况" localSheetId="37">'[1]比较法-住宅'!$A$61:$M$61</definedName>
    <definedName name="住宅交易情况">'比较法-住宅'!$A$61:$M$61</definedName>
    <definedName name="住宅楼层" localSheetId="31">'[1]比较法-住宅'!$B$86:$M$86</definedName>
    <definedName name="住宅楼层" localSheetId="37">'[1]比较法-住宅'!$B$86:$M$86</definedName>
    <definedName name="住宅楼层">'比较法-住宅'!$B$86:$M$86</definedName>
    <definedName name="住宅内部装修" localSheetId="31">'[1]比较法-住宅'!$B$122:$M$122</definedName>
    <definedName name="住宅内部装修" localSheetId="37">'[1]比较法-住宅'!$B$122:$M$122</definedName>
    <definedName name="住宅内部装修">'比较法-住宅'!$B$122:$M$122</definedName>
    <definedName name="住宅物业管理" localSheetId="31">'[1]比较法-住宅'!$B$114:$M$114</definedName>
    <definedName name="住宅物业管理" localSheetId="37">'[1]比较法-住宅'!$B$114:$M$114</definedName>
    <definedName name="住宅物业管理">'比较法-住宅'!$B$114:$M$114</definedName>
    <definedName name="住宅用途" localSheetId="31">'[1]比较法-住宅'!$B$63:$M$63</definedName>
    <definedName name="住宅用途" localSheetId="37">'[1]比较法-住宅'!$B$63:$M$63</definedName>
    <definedName name="住宅用途">'比较法-住宅'!$B$63:$M$63</definedName>
    <definedName name="住宅主力户型面积">'比较法-住宅'!$B$120:$M$120</definedName>
    <definedName name="注册房地产估价师" localSheetId="31">[1]估价师及机构信息!$A$3:$A$16</definedName>
    <definedName name="注册房地产估价师" localSheetId="37">[1]估价师及机构信息!$A$3:$A$16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H34" i="9" l="1"/>
  <c r="G40" i="80" l="1"/>
  <c r="H428" i="93"/>
  <c r="H427" i="93"/>
  <c r="H426" i="93"/>
  <c r="H425" i="93"/>
  <c r="H424" i="93"/>
  <c r="H423" i="93"/>
  <c r="H422" i="93"/>
  <c r="H421" i="93"/>
  <c r="H420" i="93"/>
  <c r="H419" i="93"/>
  <c r="H418" i="93"/>
  <c r="H417" i="93"/>
  <c r="H416" i="93"/>
  <c r="H415" i="93"/>
  <c r="H414" i="93"/>
  <c r="H413" i="93"/>
  <c r="H412" i="93"/>
  <c r="H411" i="93"/>
  <c r="H410" i="93"/>
  <c r="H409" i="93"/>
  <c r="H408" i="93"/>
  <c r="H407" i="93"/>
  <c r="H406" i="93"/>
  <c r="H405" i="93"/>
  <c r="H404" i="93"/>
  <c r="H403" i="93"/>
  <c r="H402" i="93"/>
  <c r="H401" i="93"/>
  <c r="H400" i="93"/>
  <c r="H399" i="93"/>
  <c r="H398" i="93"/>
  <c r="H397" i="93"/>
  <c r="H396" i="93"/>
  <c r="H395" i="93"/>
  <c r="H394" i="93"/>
  <c r="H393" i="93"/>
  <c r="H392" i="93"/>
  <c r="H391" i="93"/>
  <c r="H390" i="93"/>
  <c r="H389" i="93"/>
  <c r="H388" i="93"/>
  <c r="H387" i="93"/>
  <c r="H386" i="93"/>
  <c r="H385" i="93"/>
  <c r="H384" i="93"/>
  <c r="H383" i="93"/>
  <c r="H382" i="93"/>
  <c r="H381" i="93"/>
  <c r="H380" i="93"/>
  <c r="H379" i="93"/>
  <c r="H378" i="93"/>
  <c r="H377" i="93"/>
  <c r="H376" i="93"/>
  <c r="H375" i="93"/>
  <c r="H374" i="93"/>
  <c r="H373" i="93"/>
  <c r="H372" i="93"/>
  <c r="H371" i="93"/>
  <c r="H370" i="93"/>
  <c r="H369" i="93"/>
  <c r="H368" i="93"/>
  <c r="H367" i="93"/>
  <c r="H366" i="93"/>
  <c r="H365" i="93"/>
  <c r="H364" i="93"/>
  <c r="H363" i="93"/>
  <c r="H362" i="93"/>
  <c r="H361" i="93"/>
  <c r="H360" i="93"/>
  <c r="H359" i="93"/>
  <c r="H358" i="93"/>
  <c r="H357" i="93"/>
  <c r="H356" i="93"/>
  <c r="H355" i="93"/>
  <c r="H354" i="93"/>
  <c r="H353" i="93"/>
  <c r="H352" i="93"/>
  <c r="H351" i="93"/>
  <c r="H350" i="93"/>
  <c r="H349" i="93"/>
  <c r="H348" i="93"/>
  <c r="H347" i="93"/>
  <c r="H346" i="93"/>
  <c r="H345" i="93"/>
  <c r="H344" i="93"/>
  <c r="H343" i="93"/>
  <c r="H342" i="93"/>
  <c r="H341" i="93"/>
  <c r="H340" i="93"/>
  <c r="H339" i="93"/>
  <c r="H338" i="93"/>
  <c r="H337" i="93"/>
  <c r="H336" i="93"/>
  <c r="H335" i="93"/>
  <c r="H334" i="93"/>
  <c r="H333" i="93"/>
  <c r="H332" i="93"/>
  <c r="H331" i="93"/>
  <c r="H330" i="93"/>
  <c r="H329" i="93"/>
  <c r="H328" i="93"/>
  <c r="H327" i="93"/>
  <c r="H326" i="93"/>
  <c r="H325" i="93"/>
  <c r="H324" i="93"/>
  <c r="H323" i="93"/>
  <c r="H322" i="93"/>
  <c r="H321" i="93"/>
  <c r="H320" i="93"/>
  <c r="H319" i="93"/>
  <c r="H318" i="93"/>
  <c r="H317" i="93"/>
  <c r="H316" i="93"/>
  <c r="H315" i="93"/>
  <c r="H314" i="93"/>
  <c r="H313" i="93"/>
  <c r="H312" i="93"/>
  <c r="H311" i="93"/>
  <c r="H310" i="93"/>
  <c r="H309" i="93"/>
  <c r="H308" i="93"/>
  <c r="H307" i="93"/>
  <c r="H306" i="93"/>
  <c r="H305" i="93"/>
  <c r="H304" i="93"/>
  <c r="H303" i="93"/>
  <c r="H302" i="93"/>
  <c r="H301" i="93"/>
  <c r="H300" i="93"/>
  <c r="H299" i="93"/>
  <c r="H298" i="93"/>
  <c r="H297" i="93"/>
  <c r="H296" i="93"/>
  <c r="H295" i="93"/>
  <c r="H294" i="93"/>
  <c r="H293" i="93"/>
  <c r="H292" i="93"/>
  <c r="H291" i="93"/>
  <c r="H290" i="93"/>
  <c r="H289" i="93"/>
  <c r="H288" i="93"/>
  <c r="H287" i="93"/>
  <c r="H286" i="93"/>
  <c r="H285" i="93"/>
  <c r="H284" i="93"/>
  <c r="H283" i="93"/>
  <c r="H282" i="93"/>
  <c r="H281" i="93"/>
  <c r="H280" i="93"/>
  <c r="H279" i="93"/>
  <c r="H278" i="93"/>
  <c r="H277" i="93"/>
  <c r="H276" i="93"/>
  <c r="H275" i="93"/>
  <c r="H274" i="93"/>
  <c r="H273" i="93"/>
  <c r="H272" i="93"/>
  <c r="H271" i="93"/>
  <c r="H270" i="93"/>
  <c r="H269" i="93"/>
  <c r="H268" i="93"/>
  <c r="H267" i="93"/>
  <c r="H266" i="93"/>
  <c r="H265" i="93"/>
  <c r="H264" i="93"/>
  <c r="H263" i="93"/>
  <c r="H262" i="93"/>
  <c r="H261" i="93"/>
  <c r="H260" i="93"/>
  <c r="H259" i="93"/>
  <c r="H258" i="93"/>
  <c r="H257" i="93"/>
  <c r="H256" i="93"/>
  <c r="H255" i="93"/>
  <c r="H254" i="93"/>
  <c r="H253" i="93"/>
  <c r="H252" i="93"/>
  <c r="H251" i="93"/>
  <c r="H250" i="93"/>
  <c r="H249" i="93"/>
  <c r="H248" i="93"/>
  <c r="H247" i="93"/>
  <c r="H246" i="93"/>
  <c r="H245" i="93"/>
  <c r="H244" i="93"/>
  <c r="H243" i="93"/>
  <c r="H242" i="93"/>
  <c r="H241" i="93"/>
  <c r="H240" i="93"/>
  <c r="H239" i="93"/>
  <c r="H238" i="93"/>
  <c r="H237" i="93"/>
  <c r="H236" i="93"/>
  <c r="H235" i="93"/>
  <c r="H234" i="93"/>
  <c r="H233" i="93"/>
  <c r="H232" i="93"/>
  <c r="H231" i="93"/>
  <c r="H230" i="93"/>
  <c r="H229" i="93"/>
  <c r="H228" i="93"/>
  <c r="H227" i="93"/>
  <c r="H226" i="93"/>
  <c r="H225" i="93"/>
  <c r="H224" i="93"/>
  <c r="H223" i="93"/>
  <c r="H222" i="93"/>
  <c r="H221" i="93"/>
  <c r="H220" i="93"/>
  <c r="H219" i="93"/>
  <c r="H218" i="93"/>
  <c r="H217" i="93"/>
  <c r="H216" i="93"/>
  <c r="H215" i="93"/>
  <c r="H214" i="93"/>
  <c r="H213" i="93"/>
  <c r="H212" i="93"/>
  <c r="H211" i="93"/>
  <c r="H210" i="93"/>
  <c r="H209" i="93"/>
  <c r="H208" i="93"/>
  <c r="H207" i="93"/>
  <c r="H206" i="93"/>
  <c r="H205" i="93"/>
  <c r="H204" i="93"/>
  <c r="H203" i="93"/>
  <c r="H202" i="93"/>
  <c r="H201" i="93"/>
  <c r="H200" i="93"/>
  <c r="H199" i="93"/>
  <c r="H198" i="93"/>
  <c r="H197" i="93"/>
  <c r="H196" i="93"/>
  <c r="H195" i="93"/>
  <c r="H194" i="93"/>
  <c r="H193" i="93"/>
  <c r="H192" i="93"/>
  <c r="H191" i="93"/>
  <c r="H190" i="93"/>
  <c r="H189" i="93"/>
  <c r="H188" i="93"/>
  <c r="H187" i="93"/>
  <c r="H186" i="93"/>
  <c r="H185" i="93"/>
  <c r="H184" i="93"/>
  <c r="H183" i="93"/>
  <c r="H182" i="93"/>
  <c r="H181" i="93"/>
  <c r="H180" i="93"/>
  <c r="H179" i="93"/>
  <c r="H178" i="93"/>
  <c r="H177" i="93"/>
  <c r="H176" i="93"/>
  <c r="H175" i="93"/>
  <c r="H174" i="93"/>
  <c r="H173" i="93"/>
  <c r="H172" i="93"/>
  <c r="H171" i="93"/>
  <c r="H170" i="93"/>
  <c r="H169" i="93"/>
  <c r="H168" i="93"/>
  <c r="H167" i="93"/>
  <c r="H166" i="93"/>
  <c r="H165" i="93"/>
  <c r="H164" i="93"/>
  <c r="H163" i="93"/>
  <c r="H162" i="93"/>
  <c r="H161" i="93"/>
  <c r="H160" i="93"/>
  <c r="H159" i="93"/>
  <c r="H158" i="93"/>
  <c r="H157" i="93"/>
  <c r="H156" i="93"/>
  <c r="H155" i="93"/>
  <c r="H154" i="93"/>
  <c r="H153" i="93"/>
  <c r="H152" i="93"/>
  <c r="H151" i="93"/>
  <c r="H150" i="93"/>
  <c r="H149" i="93"/>
  <c r="H148" i="93"/>
  <c r="H147" i="93"/>
  <c r="H146" i="93"/>
  <c r="H145" i="93"/>
  <c r="H144" i="93"/>
  <c r="H143" i="93"/>
  <c r="H142" i="93"/>
  <c r="H141" i="93"/>
  <c r="H140" i="93"/>
  <c r="H139" i="93"/>
  <c r="H138" i="93"/>
  <c r="H137" i="93"/>
  <c r="H136" i="93"/>
  <c r="H135" i="93"/>
  <c r="H134" i="93"/>
  <c r="H133" i="93"/>
  <c r="H132" i="93"/>
  <c r="H131" i="93"/>
  <c r="H130" i="93"/>
  <c r="H129" i="93"/>
  <c r="H128" i="93"/>
  <c r="H127" i="93"/>
  <c r="H126" i="93"/>
  <c r="H125" i="93"/>
  <c r="H124" i="93"/>
  <c r="H123" i="93"/>
  <c r="H122" i="93"/>
  <c r="H121" i="93"/>
  <c r="H120" i="93"/>
  <c r="H119" i="93"/>
  <c r="H118" i="93"/>
  <c r="H117" i="93"/>
  <c r="H116" i="93"/>
  <c r="H115" i="93"/>
  <c r="H114" i="93"/>
  <c r="H113" i="93"/>
  <c r="H112" i="93"/>
  <c r="H111" i="93"/>
  <c r="H110" i="93"/>
  <c r="H109" i="93"/>
  <c r="H108" i="93"/>
  <c r="H107" i="93"/>
  <c r="H106" i="93"/>
  <c r="H105" i="93"/>
  <c r="H104" i="93"/>
  <c r="H103" i="93"/>
  <c r="H102" i="93"/>
  <c r="H101" i="93"/>
  <c r="H100" i="93"/>
  <c r="H99" i="93"/>
  <c r="H98" i="93"/>
  <c r="H97" i="93"/>
  <c r="H96" i="93"/>
  <c r="H95" i="93"/>
  <c r="H94" i="93"/>
  <c r="H93" i="93"/>
  <c r="H92" i="93"/>
  <c r="H91" i="93"/>
  <c r="H90" i="93"/>
  <c r="H89" i="93"/>
  <c r="H88" i="93"/>
  <c r="H87" i="93"/>
  <c r="H86" i="93"/>
  <c r="H85" i="93"/>
  <c r="H84" i="93"/>
  <c r="H83" i="93"/>
  <c r="H82" i="93"/>
  <c r="H81" i="93"/>
  <c r="H80" i="93"/>
  <c r="H79" i="93"/>
  <c r="H78" i="93"/>
  <c r="H77" i="93"/>
  <c r="H76" i="93"/>
  <c r="H75" i="93"/>
  <c r="H74" i="93"/>
  <c r="H73" i="93"/>
  <c r="H72" i="93"/>
  <c r="H71" i="93"/>
  <c r="H70" i="93"/>
  <c r="H69" i="93"/>
  <c r="H68" i="93"/>
  <c r="H67" i="93"/>
  <c r="H66" i="93"/>
  <c r="H65" i="93"/>
  <c r="H64" i="93"/>
  <c r="H63" i="93"/>
  <c r="H62" i="93"/>
  <c r="H61" i="93"/>
  <c r="H60" i="93"/>
  <c r="H59" i="93"/>
  <c r="H58" i="93"/>
  <c r="H57" i="93"/>
  <c r="H56" i="93"/>
  <c r="H55" i="93"/>
  <c r="H54" i="93"/>
  <c r="H53" i="93"/>
  <c r="H52" i="93"/>
  <c r="H51" i="93"/>
  <c r="H50" i="93"/>
  <c r="H49" i="93"/>
  <c r="H48" i="93"/>
  <c r="H47" i="93"/>
  <c r="H46" i="93"/>
  <c r="H45" i="93"/>
  <c r="H44" i="93"/>
  <c r="H43" i="93"/>
  <c r="H42" i="93"/>
  <c r="H41" i="93"/>
  <c r="H40" i="93"/>
  <c r="H39" i="93"/>
  <c r="H38" i="93"/>
  <c r="H37" i="93"/>
  <c r="H36" i="93"/>
  <c r="H35" i="93"/>
  <c r="H34" i="93"/>
  <c r="H33" i="93"/>
  <c r="H32" i="93"/>
  <c r="H31" i="93"/>
  <c r="H30" i="93"/>
  <c r="H29" i="93"/>
  <c r="H28" i="93"/>
  <c r="H27" i="93"/>
  <c r="H26" i="93"/>
  <c r="H25" i="93"/>
  <c r="H24" i="93"/>
  <c r="H23" i="93"/>
  <c r="H22" i="93"/>
  <c r="H21" i="93"/>
  <c r="H20" i="93"/>
  <c r="H19" i="93"/>
  <c r="H18" i="93"/>
  <c r="H17" i="93"/>
  <c r="H16" i="93"/>
  <c r="H15" i="93"/>
  <c r="H14" i="93"/>
  <c r="H13" i="93"/>
  <c r="H12" i="93"/>
  <c r="H11" i="93"/>
  <c r="H10" i="93"/>
  <c r="H9" i="93"/>
  <c r="H8" i="93"/>
  <c r="H7" i="93"/>
  <c r="H6" i="93"/>
  <c r="H5" i="93"/>
  <c r="H4" i="93"/>
  <c r="H3" i="93"/>
  <c r="H2" i="93"/>
  <c r="H429" i="93" s="1"/>
  <c r="H172" i="92" s="1"/>
  <c r="H434" i="94"/>
  <c r="H433" i="94"/>
  <c r="H432" i="94"/>
  <c r="H431" i="94"/>
  <c r="H430" i="94"/>
  <c r="H429" i="94"/>
  <c r="H428" i="94"/>
  <c r="H427" i="94"/>
  <c r="H426" i="94"/>
  <c r="H425" i="94"/>
  <c r="H424" i="94"/>
  <c r="H423" i="94"/>
  <c r="H422" i="94"/>
  <c r="H421" i="94"/>
  <c r="H420" i="94"/>
  <c r="H419" i="94"/>
  <c r="H418" i="94"/>
  <c r="H417" i="94"/>
  <c r="H416" i="94"/>
  <c r="H415" i="94"/>
  <c r="H414" i="94"/>
  <c r="H413" i="94"/>
  <c r="H412" i="94"/>
  <c r="H411" i="94"/>
  <c r="H410" i="94"/>
  <c r="H409" i="94"/>
  <c r="H408" i="94"/>
  <c r="H407" i="94"/>
  <c r="H406" i="94"/>
  <c r="H405" i="94"/>
  <c r="H404" i="94"/>
  <c r="H403" i="94"/>
  <c r="H402" i="94"/>
  <c r="H401" i="94"/>
  <c r="H400" i="94"/>
  <c r="H399" i="94"/>
  <c r="H398" i="94"/>
  <c r="H397" i="94"/>
  <c r="H396" i="94"/>
  <c r="H395" i="94"/>
  <c r="H394" i="94"/>
  <c r="H393" i="94"/>
  <c r="H392" i="94"/>
  <c r="H391" i="94"/>
  <c r="H390" i="94"/>
  <c r="H389" i="94"/>
  <c r="H388" i="94"/>
  <c r="H387" i="94"/>
  <c r="H386" i="94"/>
  <c r="H385" i="94"/>
  <c r="H384" i="94"/>
  <c r="H383" i="94"/>
  <c r="H382" i="94"/>
  <c r="H381" i="94"/>
  <c r="H380" i="94"/>
  <c r="H379" i="94"/>
  <c r="H378" i="94"/>
  <c r="H377" i="94"/>
  <c r="H376" i="94"/>
  <c r="H375" i="94"/>
  <c r="H374" i="94"/>
  <c r="H373" i="94"/>
  <c r="H372" i="94"/>
  <c r="H371" i="94"/>
  <c r="H370" i="94"/>
  <c r="H369" i="94"/>
  <c r="H368" i="94"/>
  <c r="H367" i="94"/>
  <c r="H366" i="94"/>
  <c r="H365" i="94"/>
  <c r="H364" i="94"/>
  <c r="H363" i="94"/>
  <c r="H362" i="94"/>
  <c r="H361" i="94"/>
  <c r="H360" i="94"/>
  <c r="H359" i="94"/>
  <c r="H358" i="94"/>
  <c r="H357" i="94"/>
  <c r="H356" i="94"/>
  <c r="H355" i="94"/>
  <c r="H354" i="94"/>
  <c r="H353" i="94"/>
  <c r="H352" i="94"/>
  <c r="H351" i="94"/>
  <c r="H350" i="94"/>
  <c r="H349" i="94"/>
  <c r="H348" i="94"/>
  <c r="H347" i="94"/>
  <c r="H346" i="94"/>
  <c r="H345" i="94"/>
  <c r="H344" i="94"/>
  <c r="H343" i="94"/>
  <c r="H342" i="94"/>
  <c r="H341" i="94"/>
  <c r="H340" i="94"/>
  <c r="H339" i="94"/>
  <c r="H338" i="94"/>
  <c r="H337" i="94"/>
  <c r="H336" i="94"/>
  <c r="H335" i="94"/>
  <c r="H334" i="94"/>
  <c r="H333" i="94"/>
  <c r="H332" i="94"/>
  <c r="H331" i="94"/>
  <c r="H330" i="94"/>
  <c r="H329" i="94"/>
  <c r="H328" i="94"/>
  <c r="H327" i="94"/>
  <c r="H326" i="94"/>
  <c r="H325" i="94"/>
  <c r="H324" i="94"/>
  <c r="H323" i="94"/>
  <c r="H322" i="94"/>
  <c r="H321" i="94"/>
  <c r="H320" i="94"/>
  <c r="H319" i="94"/>
  <c r="H318" i="94"/>
  <c r="H317" i="94"/>
  <c r="H316" i="94"/>
  <c r="H315" i="94"/>
  <c r="H314" i="94"/>
  <c r="H313" i="94"/>
  <c r="H312" i="94"/>
  <c r="H311" i="94"/>
  <c r="H310" i="94"/>
  <c r="H309" i="94"/>
  <c r="H308" i="94"/>
  <c r="H307" i="94"/>
  <c r="H306" i="94"/>
  <c r="H305" i="94"/>
  <c r="H304" i="94"/>
  <c r="H303" i="94"/>
  <c r="H302" i="94"/>
  <c r="H301" i="94"/>
  <c r="H300" i="94"/>
  <c r="H299" i="94"/>
  <c r="H298" i="94"/>
  <c r="H297" i="94"/>
  <c r="H296" i="94"/>
  <c r="H295" i="94"/>
  <c r="H294" i="94"/>
  <c r="H293" i="94"/>
  <c r="H292" i="94"/>
  <c r="H291" i="94"/>
  <c r="H290" i="94"/>
  <c r="H289" i="94"/>
  <c r="H288" i="94"/>
  <c r="H287" i="94"/>
  <c r="H286" i="94"/>
  <c r="H285" i="94"/>
  <c r="H284" i="94"/>
  <c r="H283" i="94"/>
  <c r="H282" i="94"/>
  <c r="H281" i="94"/>
  <c r="H280" i="94"/>
  <c r="H279" i="94"/>
  <c r="H278" i="94"/>
  <c r="H277" i="94"/>
  <c r="H276" i="94"/>
  <c r="H275" i="94"/>
  <c r="H274" i="94"/>
  <c r="H273" i="94"/>
  <c r="H272" i="94"/>
  <c r="H271" i="94"/>
  <c r="H270" i="94"/>
  <c r="H269" i="94"/>
  <c r="H268" i="94"/>
  <c r="H267" i="94"/>
  <c r="H266" i="94"/>
  <c r="H265" i="94"/>
  <c r="H264" i="94"/>
  <c r="H263" i="94"/>
  <c r="H262" i="94"/>
  <c r="H261" i="94"/>
  <c r="H260" i="94"/>
  <c r="H259" i="94"/>
  <c r="H258" i="94"/>
  <c r="H257" i="94"/>
  <c r="H256" i="94"/>
  <c r="H255" i="94"/>
  <c r="H254" i="94"/>
  <c r="H253" i="94"/>
  <c r="H252" i="94"/>
  <c r="H251" i="94"/>
  <c r="H250" i="94"/>
  <c r="H249" i="94"/>
  <c r="H248" i="94"/>
  <c r="H247" i="94"/>
  <c r="H246" i="94"/>
  <c r="H245" i="94"/>
  <c r="H244" i="94"/>
  <c r="H243" i="94"/>
  <c r="H242" i="94"/>
  <c r="H241" i="94"/>
  <c r="H240" i="94"/>
  <c r="H239" i="94"/>
  <c r="H238" i="94"/>
  <c r="H237" i="94"/>
  <c r="H236" i="94"/>
  <c r="H235" i="94"/>
  <c r="H234" i="94"/>
  <c r="H233" i="94"/>
  <c r="H232" i="94"/>
  <c r="H231" i="94"/>
  <c r="H230" i="94"/>
  <c r="H229" i="94"/>
  <c r="H228" i="94"/>
  <c r="H227" i="94"/>
  <c r="H226" i="94"/>
  <c r="H225" i="94"/>
  <c r="H224" i="94"/>
  <c r="H223" i="94"/>
  <c r="H222" i="94"/>
  <c r="H221" i="94"/>
  <c r="H220" i="94"/>
  <c r="H219" i="94"/>
  <c r="H218" i="94"/>
  <c r="H217" i="94"/>
  <c r="H216" i="94"/>
  <c r="H215" i="94"/>
  <c r="H214" i="94"/>
  <c r="H213" i="94"/>
  <c r="H212" i="94"/>
  <c r="H211" i="94"/>
  <c r="H210" i="94"/>
  <c r="H209" i="94"/>
  <c r="H208" i="94"/>
  <c r="H207" i="94"/>
  <c r="H206" i="94"/>
  <c r="H205" i="94"/>
  <c r="H204" i="94"/>
  <c r="H203" i="94"/>
  <c r="H202" i="94"/>
  <c r="H201" i="94"/>
  <c r="H200" i="94"/>
  <c r="H199" i="94"/>
  <c r="H198" i="94"/>
  <c r="H197" i="94"/>
  <c r="H196" i="94"/>
  <c r="H195" i="94"/>
  <c r="H194" i="94"/>
  <c r="H193" i="94"/>
  <c r="H192" i="94"/>
  <c r="H191" i="94"/>
  <c r="H190" i="94"/>
  <c r="H189" i="94"/>
  <c r="H188" i="94"/>
  <c r="H187" i="94"/>
  <c r="H186" i="94"/>
  <c r="H185" i="94"/>
  <c r="H184" i="94"/>
  <c r="H183" i="94"/>
  <c r="H182" i="94"/>
  <c r="H181" i="94"/>
  <c r="H180" i="94"/>
  <c r="H179" i="94"/>
  <c r="H178" i="94"/>
  <c r="H177" i="94"/>
  <c r="H176" i="94"/>
  <c r="H175" i="94"/>
  <c r="H174" i="94"/>
  <c r="H173" i="94"/>
  <c r="H172" i="94"/>
  <c r="H171" i="94"/>
  <c r="H170" i="94"/>
  <c r="H169" i="94"/>
  <c r="H168" i="94"/>
  <c r="H167" i="94"/>
  <c r="H166" i="94"/>
  <c r="H165" i="94"/>
  <c r="H164" i="94"/>
  <c r="H163" i="94"/>
  <c r="H162" i="94"/>
  <c r="H161" i="94"/>
  <c r="H160" i="94"/>
  <c r="H159" i="94"/>
  <c r="H158" i="94"/>
  <c r="H157" i="94"/>
  <c r="H156" i="94"/>
  <c r="H155" i="94"/>
  <c r="H154" i="94"/>
  <c r="H153" i="94"/>
  <c r="H152" i="94"/>
  <c r="H151" i="94"/>
  <c r="H150" i="94"/>
  <c r="H149" i="94"/>
  <c r="H148" i="94"/>
  <c r="H147" i="94"/>
  <c r="H146" i="94"/>
  <c r="H145" i="94"/>
  <c r="H144" i="94"/>
  <c r="H143" i="94"/>
  <c r="H142" i="94"/>
  <c r="H141" i="94"/>
  <c r="H140" i="94"/>
  <c r="H139" i="94"/>
  <c r="H138" i="94"/>
  <c r="H137" i="94"/>
  <c r="H136" i="94"/>
  <c r="H135" i="94"/>
  <c r="H134" i="94"/>
  <c r="H133" i="94"/>
  <c r="H132" i="94"/>
  <c r="H131" i="94"/>
  <c r="H130" i="94"/>
  <c r="H129" i="94"/>
  <c r="H128" i="94"/>
  <c r="H127" i="94"/>
  <c r="H126" i="94"/>
  <c r="H125" i="94"/>
  <c r="H124" i="94"/>
  <c r="H123" i="94"/>
  <c r="H122" i="94"/>
  <c r="H121" i="94"/>
  <c r="H120" i="94"/>
  <c r="H119" i="94"/>
  <c r="H118" i="94"/>
  <c r="H117" i="94"/>
  <c r="H116" i="94"/>
  <c r="H115" i="94"/>
  <c r="H114" i="94"/>
  <c r="H113" i="94"/>
  <c r="H112" i="94"/>
  <c r="H111" i="94"/>
  <c r="H110" i="94"/>
  <c r="H109" i="94"/>
  <c r="H108" i="94"/>
  <c r="H107" i="94"/>
  <c r="H106" i="94"/>
  <c r="H105" i="94"/>
  <c r="H104" i="94"/>
  <c r="H103" i="94"/>
  <c r="H102" i="94"/>
  <c r="H101" i="94"/>
  <c r="H100" i="94"/>
  <c r="H99" i="94"/>
  <c r="H98" i="94"/>
  <c r="H97" i="94"/>
  <c r="H96" i="94"/>
  <c r="H95" i="94"/>
  <c r="H94" i="94"/>
  <c r="H93" i="94"/>
  <c r="H92" i="94"/>
  <c r="H91" i="94"/>
  <c r="H90" i="94"/>
  <c r="H89" i="94"/>
  <c r="H88" i="94"/>
  <c r="H87" i="94"/>
  <c r="H86" i="94"/>
  <c r="H85" i="94"/>
  <c r="H84" i="94"/>
  <c r="H83" i="94"/>
  <c r="H82" i="94"/>
  <c r="H81" i="94"/>
  <c r="H80" i="94"/>
  <c r="H79" i="94"/>
  <c r="H78" i="94"/>
  <c r="H77" i="94"/>
  <c r="H76" i="94"/>
  <c r="H75" i="94"/>
  <c r="H74" i="94"/>
  <c r="H73" i="94"/>
  <c r="H72" i="94"/>
  <c r="H71" i="94"/>
  <c r="H70" i="94"/>
  <c r="H69" i="94"/>
  <c r="H68" i="94"/>
  <c r="H67" i="94"/>
  <c r="H66" i="94"/>
  <c r="H65" i="94"/>
  <c r="H64" i="94"/>
  <c r="H63" i="94"/>
  <c r="H62" i="94"/>
  <c r="H61" i="94"/>
  <c r="H60" i="94"/>
  <c r="H59" i="94"/>
  <c r="H58" i="94"/>
  <c r="H57" i="94"/>
  <c r="H56" i="94"/>
  <c r="H55" i="94"/>
  <c r="H54" i="94"/>
  <c r="H53" i="94"/>
  <c r="H52" i="94"/>
  <c r="H51" i="94"/>
  <c r="H50" i="94"/>
  <c r="H49" i="94"/>
  <c r="H48" i="94"/>
  <c r="H47" i="94"/>
  <c r="H46" i="94"/>
  <c r="H45" i="94"/>
  <c r="H44" i="94"/>
  <c r="H43" i="94"/>
  <c r="H42" i="94"/>
  <c r="H41" i="94"/>
  <c r="H40" i="94"/>
  <c r="H39" i="94"/>
  <c r="H38" i="94"/>
  <c r="H37" i="94"/>
  <c r="H36" i="94"/>
  <c r="H35" i="94"/>
  <c r="H34" i="94"/>
  <c r="H33" i="94"/>
  <c r="H32" i="94"/>
  <c r="H31" i="94"/>
  <c r="H30" i="94"/>
  <c r="H29" i="94"/>
  <c r="H28" i="94"/>
  <c r="H27" i="94"/>
  <c r="H26" i="94"/>
  <c r="H25" i="94"/>
  <c r="H24" i="94"/>
  <c r="H23" i="94"/>
  <c r="H22" i="94"/>
  <c r="H21" i="94"/>
  <c r="H20" i="94"/>
  <c r="H19" i="94"/>
  <c r="H18" i="94"/>
  <c r="H17" i="94"/>
  <c r="H16" i="94"/>
  <c r="H15" i="94"/>
  <c r="H14" i="94"/>
  <c r="H13" i="94"/>
  <c r="H12" i="94"/>
  <c r="H11" i="94"/>
  <c r="H10" i="94"/>
  <c r="H9" i="94"/>
  <c r="H8" i="94"/>
  <c r="H7" i="94"/>
  <c r="H6" i="94"/>
  <c r="H5" i="94"/>
  <c r="H4" i="94"/>
  <c r="H3" i="94"/>
  <c r="H2" i="94"/>
  <c r="H435" i="94" s="1"/>
  <c r="H171" i="92" s="1"/>
  <c r="H3" i="92"/>
  <c r="H4" i="92"/>
  <c r="H5" i="92"/>
  <c r="H6" i="92"/>
  <c r="H7" i="92"/>
  <c r="H8" i="92"/>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88" i="92"/>
  <c r="H89" i="92"/>
  <c r="H90" i="92"/>
  <c r="H91" i="92"/>
  <c r="H92" i="92"/>
  <c r="H93" i="92"/>
  <c r="H94" i="92"/>
  <c r="H95" i="92"/>
  <c r="H96" i="92"/>
  <c r="H97" i="92"/>
  <c r="H98" i="92"/>
  <c r="H99" i="92"/>
  <c r="H100" i="92"/>
  <c r="H101" i="92"/>
  <c r="H102" i="92"/>
  <c r="H103" i="92"/>
  <c r="H104" i="92"/>
  <c r="H105" i="92"/>
  <c r="H106" i="92"/>
  <c r="H107" i="92"/>
  <c r="H108" i="92"/>
  <c r="H109" i="92"/>
  <c r="H110" i="92"/>
  <c r="H111" i="92"/>
  <c r="H112" i="92"/>
  <c r="H113" i="92"/>
  <c r="H114" i="92"/>
  <c r="H115" i="92"/>
  <c r="H116" i="92"/>
  <c r="H117" i="92"/>
  <c r="H118" i="92"/>
  <c r="H119" i="92"/>
  <c r="H120" i="92"/>
  <c r="H121" i="92"/>
  <c r="H122" i="92"/>
  <c r="H123" i="92"/>
  <c r="H124" i="92"/>
  <c r="H125" i="92"/>
  <c r="H126" i="92"/>
  <c r="H127" i="92"/>
  <c r="H128" i="92"/>
  <c r="H129" i="92"/>
  <c r="H130" i="92"/>
  <c r="H131" i="92"/>
  <c r="H132" i="92"/>
  <c r="H133" i="92"/>
  <c r="H134" i="92"/>
  <c r="H135" i="92"/>
  <c r="H136" i="92"/>
  <c r="H137" i="92"/>
  <c r="H138" i="92"/>
  <c r="H139" i="92"/>
  <c r="H140" i="92"/>
  <c r="H141" i="92"/>
  <c r="H142" i="92"/>
  <c r="H143" i="92"/>
  <c r="H144" i="92"/>
  <c r="H145" i="92"/>
  <c r="H146" i="92"/>
  <c r="H147" i="92"/>
  <c r="H148" i="92"/>
  <c r="H149" i="92"/>
  <c r="H150" i="92"/>
  <c r="H151" i="92"/>
  <c r="H152" i="92"/>
  <c r="H153" i="92"/>
  <c r="H154" i="92"/>
  <c r="H155" i="92"/>
  <c r="H156" i="92"/>
  <c r="H157" i="92"/>
  <c r="H158" i="92"/>
  <c r="H159" i="92"/>
  <c r="H160" i="92"/>
  <c r="H161" i="92"/>
  <c r="H162" i="92"/>
  <c r="H163" i="92"/>
  <c r="H164" i="92"/>
  <c r="H165" i="92"/>
  <c r="H166" i="92"/>
  <c r="H167" i="92"/>
  <c r="H168" i="92"/>
  <c r="H169" i="92"/>
  <c r="H2" i="92"/>
  <c r="H170" i="92" s="1"/>
  <c r="H173" i="92" l="1"/>
  <c r="G172" i="92"/>
  <c r="F1068" i="80"/>
  <c r="H41" i="80"/>
  <c r="G41" i="80" s="1"/>
  <c r="AH8" i="1"/>
  <c r="G435" i="94"/>
  <c r="G171" i="92" s="1"/>
  <c r="F435" i="94"/>
  <c r="K14" i="3" s="1"/>
  <c r="G170" i="92"/>
  <c r="G173" i="92" s="1"/>
  <c r="F170" i="92"/>
  <c r="I13" i="3" s="1"/>
  <c r="G429" i="93"/>
  <c r="F429" i="93"/>
  <c r="F172" i="92" s="1"/>
  <c r="O20" i="80"/>
  <c r="P20" i="80" s="1"/>
  <c r="Q21" i="80" s="1"/>
  <c r="O21" i="80"/>
  <c r="P21" i="80"/>
  <c r="K22" i="80"/>
  <c r="P22" i="80" s="1"/>
  <c r="O22" i="80"/>
  <c r="O23" i="80"/>
  <c r="B2" i="80"/>
  <c r="B3" i="80"/>
  <c r="B4" i="80"/>
  <c r="B5" i="80"/>
  <c r="B6" i="80"/>
  <c r="B7" i="80"/>
  <c r="B8" i="80"/>
  <c r="B9" i="80"/>
  <c r="B10" i="80"/>
  <c r="B11" i="80"/>
  <c r="B12" i="80"/>
  <c r="B13" i="80"/>
  <c r="B14" i="80"/>
  <c r="B15" i="80"/>
  <c r="B16" i="80"/>
  <c r="B17" i="80"/>
  <c r="B18" i="80"/>
  <c r="B19" i="80"/>
  <c r="B20" i="80"/>
  <c r="B21" i="80"/>
  <c r="B22" i="80"/>
  <c r="B23" i="80"/>
  <c r="B24" i="80"/>
  <c r="B25" i="80"/>
  <c r="B26" i="80"/>
  <c r="G26" i="80"/>
  <c r="C27" i="80"/>
  <c r="D27" i="80"/>
  <c r="K23" i="80" s="1"/>
  <c r="E27" i="80"/>
  <c r="L435" i="90"/>
  <c r="M170" i="89" s="1"/>
  <c r="J435" i="90"/>
  <c r="J436" i="90" s="1"/>
  <c r="L430" i="91"/>
  <c r="M171" i="89" s="1"/>
  <c r="J430" i="91"/>
  <c r="J431" i="91" s="1"/>
  <c r="B430" i="91"/>
  <c r="J170" i="89"/>
  <c r="J171" i="89" s="1"/>
  <c r="L170" i="89"/>
  <c r="I193" i="81"/>
  <c r="M172" i="89" l="1"/>
  <c r="P23" i="80"/>
  <c r="P25" i="80" s="1"/>
  <c r="K33" i="80"/>
  <c r="M15" i="3"/>
  <c r="F27" i="80"/>
  <c r="K32" i="80"/>
  <c r="F171" i="92"/>
  <c r="F173" i="92"/>
  <c r="C31" i="35"/>
  <c r="J26" i="80"/>
  <c r="L26" i="80" s="1"/>
  <c r="N26" i="80" s="1"/>
  <c r="H42" i="80"/>
  <c r="G42" i="80" s="1"/>
  <c r="Q23" i="80"/>
  <c r="Q24" i="80" s="1"/>
  <c r="T104" i="85"/>
  <c r="L27" i="80" l="1"/>
  <c r="H43" i="80"/>
  <c r="G43" i="80" s="1"/>
  <c r="H471" i="82"/>
  <c r="H453" i="83"/>
  <c r="H44" i="80" l="1"/>
  <c r="G44" i="80" s="1"/>
  <c r="I37" i="35"/>
  <c r="I31" i="35"/>
  <c r="G37" i="35"/>
  <c r="G31" i="35"/>
  <c r="E37" i="35"/>
  <c r="E31" i="35"/>
  <c r="C11" i="21"/>
  <c r="S102" i="87"/>
  <c r="S101" i="87"/>
  <c r="S62" i="87"/>
  <c r="S61" i="87"/>
  <c r="S20" i="87"/>
  <c r="S19" i="87"/>
  <c r="C11" i="39"/>
  <c r="C71" i="39"/>
  <c r="D71" i="39"/>
  <c r="N7" i="1"/>
  <c r="N8" i="1" s="1"/>
  <c r="H452" i="83"/>
  <c r="H195" i="81" s="1"/>
  <c r="H470" i="82"/>
  <c r="H472" i="82" s="1"/>
  <c r="H193" i="81"/>
  <c r="J193" i="81" s="1"/>
  <c r="G14" i="73"/>
  <c r="F14" i="73"/>
  <c r="E14" i="73"/>
  <c r="H454" i="83" l="1"/>
  <c r="H45" i="80"/>
  <c r="G45" i="80" s="1"/>
  <c r="H194" i="81"/>
  <c r="H196" i="81" s="1"/>
  <c r="C33" i="21"/>
  <c r="G20" i="6"/>
  <c r="I12" i="79"/>
  <c r="H46" i="80" l="1"/>
  <c r="G46" i="80" s="1"/>
  <c r="G21" i="6"/>
  <c r="F19" i="6"/>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H47" i="80" l="1"/>
  <c r="G47" i="80"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H48" i="80" l="1"/>
  <c r="G48" i="80" s="1"/>
  <c r="AR7" i="79"/>
  <c r="AD33" i="79"/>
  <c r="AR34" i="79"/>
  <c r="AR35" i="79" s="1"/>
  <c r="AR36" i="79" s="1"/>
  <c r="AR8" i="79"/>
  <c r="AD35" i="79"/>
  <c r="C60" i="78"/>
  <c r="D60" i="78" s="1"/>
  <c r="B55" i="78"/>
  <c r="D55" i="78" s="1"/>
  <c r="D53" i="78"/>
  <c r="D52" i="78"/>
  <c r="B51" i="78"/>
  <c r="B56" i="78" s="1"/>
  <c r="H49" i="80" l="1"/>
  <c r="G49" i="80" s="1"/>
  <c r="D51" i="78"/>
  <c r="C51" i="78"/>
  <c r="C56" i="78" s="1"/>
  <c r="C58" i="78" s="1"/>
  <c r="B62" i="78"/>
  <c r="B54" i="78"/>
  <c r="D54" i="78" s="1"/>
  <c r="D56" i="78" s="1"/>
  <c r="H50" i="80" l="1"/>
  <c r="G50" i="80" s="1"/>
  <c r="D58" i="78"/>
  <c r="D62" i="78" s="1"/>
  <c r="C62" i="78" s="1"/>
  <c r="H51" i="80" l="1"/>
  <c r="G51" i="80" s="1"/>
  <c r="G15" i="73"/>
  <c r="F15" i="73"/>
  <c r="E15" i="73"/>
  <c r="H52" i="80" l="1"/>
  <c r="G52" i="80" s="1"/>
  <c r="AB36" i="79"/>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H53" i="80" l="1"/>
  <c r="G53" i="80" s="1"/>
  <c r="AR37" i="79"/>
  <c r="AR38" i="79" s="1"/>
  <c r="P36" i="79"/>
  <c r="AR10" i="79"/>
  <c r="G16" i="73"/>
  <c r="F16" i="73"/>
  <c r="E16" i="73"/>
  <c r="G17" i="73"/>
  <c r="F17" i="73"/>
  <c r="E17" i="73"/>
  <c r="H54" i="80" l="1"/>
  <c r="G54" i="80" s="1"/>
  <c r="AB38" i="79"/>
  <c r="AA38" i="79"/>
  <c r="Z38" i="79"/>
  <c r="N38" i="79"/>
  <c r="M38" i="79"/>
  <c r="L38" i="79"/>
  <c r="I38" i="79"/>
  <c r="AC10" i="79"/>
  <c r="AB10" i="79"/>
  <c r="AA10" i="79"/>
  <c r="AD10" i="79" s="1"/>
  <c r="Z10" i="79"/>
  <c r="Y10" i="79"/>
  <c r="O10" i="79"/>
  <c r="N10" i="79"/>
  <c r="M10" i="79"/>
  <c r="P10" i="79" s="1"/>
  <c r="L10" i="79"/>
  <c r="K10" i="79"/>
  <c r="I10" i="79"/>
  <c r="AR11" i="79" s="1"/>
  <c r="H55" i="80" l="1"/>
  <c r="G55" i="80" s="1"/>
  <c r="AR39" i="79"/>
  <c r="P38" i="79"/>
  <c r="I13" i="79"/>
  <c r="H56" i="80" l="1"/>
  <c r="G56" i="80" s="1"/>
  <c r="I41" i="79"/>
  <c r="I40" i="79"/>
  <c r="N40" i="79"/>
  <c r="M40" i="79"/>
  <c r="P40" i="79" s="1"/>
  <c r="L40" i="79"/>
  <c r="N41" i="79"/>
  <c r="M41" i="79"/>
  <c r="L41" i="79"/>
  <c r="O12" i="79"/>
  <c r="N12" i="79"/>
  <c r="M12" i="79"/>
  <c r="P12" i="79" s="1"/>
  <c r="L12" i="79"/>
  <c r="K12" i="79"/>
  <c r="O13" i="79"/>
  <c r="N13" i="79"/>
  <c r="M13" i="79"/>
  <c r="P13" i="79" s="1"/>
  <c r="L13" i="79"/>
  <c r="K13" i="79"/>
  <c r="H57" i="80" l="1"/>
  <c r="G57" i="80" s="1"/>
  <c r="P41" i="79"/>
  <c r="H58" i="80" l="1"/>
  <c r="G58" i="80" s="1"/>
  <c r="G18" i="73"/>
  <c r="F18" i="73"/>
  <c r="E18" i="73"/>
  <c r="H59" i="80" l="1"/>
  <c r="G59" i="80" s="1"/>
  <c r="L42" i="79"/>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H60" i="80" l="1"/>
  <c r="G60" i="80" s="1"/>
  <c r="P44" i="79"/>
  <c r="B10" i="74"/>
  <c r="H61" i="80" l="1"/>
  <c r="G61" i="80"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62" i="80" l="1"/>
  <c r="G62" i="80" s="1"/>
  <c r="C7" i="78"/>
  <c r="C6" i="78"/>
  <c r="C5" i="78"/>
  <c r="F13" i="1"/>
  <c r="D13" i="1"/>
  <c r="D12" i="1"/>
  <c r="D11" i="1"/>
  <c r="D10" i="1"/>
  <c r="D9" i="1"/>
  <c r="D8" i="1"/>
  <c r="D7" i="1"/>
  <c r="D6" i="1"/>
  <c r="H63" i="80" l="1"/>
  <c r="G63" i="80" s="1"/>
  <c r="I2" i="43"/>
  <c r="M1" i="43" s="1"/>
  <c r="H64" i="80" l="1"/>
  <c r="G64" i="80" s="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H65" i="80" l="1"/>
  <c r="G65" i="80" s="1"/>
  <c r="S20" i="79"/>
  <c r="AG20" i="79" s="1"/>
  <c r="T22" i="79"/>
  <c r="W22" i="79" s="1"/>
  <c r="AK22" i="79" s="1"/>
  <c r="AD38" i="79"/>
  <c r="AD37" i="79"/>
  <c r="AD36" i="79"/>
  <c r="AR40" i="79"/>
  <c r="AR41" i="79" s="1"/>
  <c r="AR42" i="79" s="1"/>
  <c r="AR43" i="79" s="1"/>
  <c r="AR44" i="79" s="1"/>
  <c r="AR45" i="79" s="1"/>
  <c r="AR46" i="79" s="1"/>
  <c r="AR47" i="79" s="1"/>
  <c r="AR48" i="79" s="1"/>
  <c r="AR49" i="79" s="1"/>
  <c r="AR50" i="79" s="1"/>
  <c r="AR51" i="79" s="1"/>
  <c r="AR52" i="79" s="1"/>
  <c r="S33" i="79"/>
  <c r="AG33" i="79" s="1"/>
  <c r="S35" i="79"/>
  <c r="AG35"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Z3"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H66" i="80" l="1"/>
  <c r="G66" i="80" s="1"/>
  <c r="AH22" i="79"/>
  <c r="W39" i="79"/>
  <c r="AK39" i="79"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AH34" i="79"/>
  <c r="W34" i="79"/>
  <c r="AK34" i="79" s="1"/>
  <c r="W40" i="79"/>
  <c r="AK40" i="79" s="1"/>
  <c r="AH40" i="79"/>
  <c r="W11" i="79"/>
  <c r="AK11" i="79" s="1"/>
  <c r="AH11" i="79"/>
  <c r="W17" i="79"/>
  <c r="AK17" i="79" s="1"/>
  <c r="AH17" i="79"/>
  <c r="W10" i="79"/>
  <c r="AK10" i="79" s="1"/>
  <c r="AH10" i="79"/>
  <c r="W18" i="79"/>
  <c r="AK18" i="79" s="1"/>
  <c r="AH18" i="79"/>
  <c r="W20" i="79"/>
  <c r="AK20" i="79" s="1"/>
  <c r="AH20"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H67" i="80" l="1"/>
  <c r="G67" i="80" s="1"/>
  <c r="G21" i="73"/>
  <c r="F21" i="73"/>
  <c r="E21" i="73"/>
  <c r="H68" i="80" l="1"/>
  <c r="G68" i="80" s="1"/>
  <c r="G22" i="73"/>
  <c r="F22" i="73"/>
  <c r="E22" i="73"/>
  <c r="H69" i="80" l="1"/>
  <c r="G69" i="80" s="1"/>
  <c r="G13" i="73"/>
  <c r="F13" i="73"/>
  <c r="H70" i="80" l="1"/>
  <c r="G70" i="80" s="1"/>
  <c r="AH8" i="71"/>
  <c r="AG8" i="71"/>
  <c r="AE8" i="71"/>
  <c r="AF8" i="71" s="1"/>
  <c r="AD8" i="71"/>
  <c r="Q8" i="71"/>
  <c r="P8" i="71"/>
  <c r="O8" i="71"/>
  <c r="N8" i="71"/>
  <c r="H71" i="80" l="1"/>
  <c r="G71" i="80" s="1"/>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H72" i="80" l="1"/>
  <c r="G72" i="80" s="1"/>
  <c r="D11" i="77"/>
  <c r="E11" i="77"/>
  <c r="E7" i="77" s="1"/>
  <c r="C27" i="77" s="1"/>
  <c r="D7" i="77"/>
  <c r="C26" i="77" s="1"/>
  <c r="R14" i="77"/>
  <c r="R24" i="77" s="1"/>
  <c r="D29" i="77"/>
  <c r="E23" i="77"/>
  <c r="D26" i="77"/>
  <c r="D32" i="77" s="1"/>
  <c r="C29" i="77"/>
  <c r="R35" i="77"/>
  <c r="U34" i="77" s="1"/>
  <c r="AH9" i="71"/>
  <c r="AG9" i="71"/>
  <c r="AE9" i="71"/>
  <c r="AF9" i="71" s="1"/>
  <c r="AD9" i="71"/>
  <c r="Q9" i="71"/>
  <c r="P9" i="71"/>
  <c r="O9" i="71"/>
  <c r="N9" i="71"/>
  <c r="H73" i="80" l="1"/>
  <c r="G73" i="80" s="1"/>
  <c r="C32" i="77"/>
  <c r="C38" i="77" s="1"/>
  <c r="C39" i="77" s="1"/>
  <c r="R25" i="77"/>
  <c r="R19" i="77"/>
  <c r="E26" i="77"/>
  <c r="E38" i="77"/>
  <c r="E39" i="77" s="1"/>
  <c r="C40" i="77" s="1"/>
  <c r="B2" i="77" s="1"/>
  <c r="E29" i="77"/>
  <c r="AH10" i="71"/>
  <c r="AG10" i="71"/>
  <c r="AE10" i="71"/>
  <c r="AF10" i="71" s="1"/>
  <c r="AD10" i="71"/>
  <c r="Q10" i="71"/>
  <c r="P10" i="71"/>
  <c r="O10" i="71"/>
  <c r="N10" i="71"/>
  <c r="H74" i="80" l="1"/>
  <c r="G74" i="80" s="1"/>
  <c r="R5" i="77"/>
  <c r="U5" i="77" s="1"/>
  <c r="E32" i="77"/>
  <c r="B3" i="77"/>
  <c r="C41" i="77"/>
  <c r="H75" i="80" l="1"/>
  <c r="G75" i="80" s="1"/>
  <c r="E24" i="43"/>
  <c r="H76" i="80" l="1"/>
  <c r="G76" i="80" s="1"/>
  <c r="Q32" i="43"/>
  <c r="P32" i="43"/>
  <c r="O32" i="43"/>
  <c r="N32" i="43"/>
  <c r="M32" i="43"/>
  <c r="AH11" i="71"/>
  <c r="AG11" i="71"/>
  <c r="AE11" i="71"/>
  <c r="AF11" i="71" s="1"/>
  <c r="AD11" i="71"/>
  <c r="Q11" i="71"/>
  <c r="P11" i="71"/>
  <c r="O11" i="71"/>
  <c r="N11" i="71"/>
  <c r="H77" i="80" l="1"/>
  <c r="G77" i="80" s="1"/>
  <c r="AH12" i="71"/>
  <c r="AG12" i="71"/>
  <c r="AE12" i="71"/>
  <c r="AF12" i="71" s="1"/>
  <c r="AD12" i="71"/>
  <c r="Q12" i="71"/>
  <c r="P12" i="71"/>
  <c r="O12" i="71"/>
  <c r="N12" i="71"/>
  <c r="H82" i="80" l="1"/>
  <c r="G82" i="80" s="1"/>
  <c r="AH13" i="71"/>
  <c r="AG13" i="71"/>
  <c r="AE13" i="71"/>
  <c r="AF13" i="71" s="1"/>
  <c r="AD13" i="71"/>
  <c r="Q13" i="71"/>
  <c r="P13" i="71"/>
  <c r="O13" i="71"/>
  <c r="N13" i="71"/>
  <c r="H83" i="80" l="1"/>
  <c r="G83" i="80" s="1"/>
  <c r="H16" i="49"/>
  <c r="D16" i="49"/>
  <c r="D15" i="49"/>
  <c r="B2" i="49"/>
  <c r="F15" i="49" s="1"/>
  <c r="H15" i="49" s="1"/>
  <c r="H84" i="80" l="1"/>
  <c r="G84" i="80"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H85" i="80" l="1"/>
  <c r="G85" i="80" s="1"/>
  <c r="K42" i="40"/>
  <c r="K47" i="39"/>
  <c r="K36" i="36"/>
  <c r="E59" i="9"/>
  <c r="H86" i="80" l="1"/>
  <c r="G86" i="80" s="1"/>
  <c r="K38" i="35"/>
  <c r="K42" i="37"/>
  <c r="K49" i="34"/>
  <c r="K48" i="33"/>
  <c r="K48" i="21"/>
  <c r="H104" i="9"/>
  <c r="F59" i="9"/>
  <c r="H87" i="80" l="1"/>
  <c r="G87" i="80" s="1"/>
  <c r="AH14" i="71"/>
  <c r="AG14" i="71"/>
  <c r="AE14" i="71"/>
  <c r="AF14" i="71" s="1"/>
  <c r="AD14" i="71"/>
  <c r="Q14" i="71"/>
  <c r="P14" i="71"/>
  <c r="O14" i="71"/>
  <c r="N14" i="71"/>
  <c r="H78" i="80" l="1"/>
  <c r="G78" i="80" s="1"/>
  <c r="AH15" i="71"/>
  <c r="AG15" i="71"/>
  <c r="AE15" i="71"/>
  <c r="AF15" i="71" s="1"/>
  <c r="AD15" i="71"/>
  <c r="Q15" i="71"/>
  <c r="P15" i="71"/>
  <c r="O15" i="71"/>
  <c r="N15" i="71"/>
  <c r="H79" i="80" l="1"/>
  <c r="G79" i="80" s="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E75" i="71" s="1"/>
  <c r="E74"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B71" i="71" s="1"/>
  <c r="B70" i="71" s="1"/>
  <c r="Q71" i="71"/>
  <c r="P71" i="71"/>
  <c r="O71" i="71"/>
  <c r="N71" i="71"/>
  <c r="Q70" i="71"/>
  <c r="P70" i="71"/>
  <c r="O70" i="71"/>
  <c r="N70" i="71"/>
  <c r="Q69" i="71"/>
  <c r="P69" i="71"/>
  <c r="O69" i="71"/>
  <c r="N69" i="71"/>
  <c r="D69" i="71"/>
  <c r="F68" i="71"/>
  <c r="V68" i="71" s="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O37" i="71"/>
  <c r="N37" i="71"/>
  <c r="B38" i="71" s="1"/>
  <c r="B39" i="71" s="1"/>
  <c r="B40" i="71" s="1"/>
  <c r="S40" i="71" s="1"/>
  <c r="D37" i="71"/>
  <c r="Q36" i="71"/>
  <c r="P36" i="71"/>
  <c r="O36" i="71"/>
  <c r="N36" i="71"/>
  <c r="Q35" i="71"/>
  <c r="P35" i="71"/>
  <c r="AA35" i="71" s="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C28" i="71" s="1"/>
  <c r="T28" i="71" s="1"/>
  <c r="N28" i="71"/>
  <c r="B28" i="71" s="1"/>
  <c r="B30" i="71"/>
  <c r="B31" i="71"/>
  <c r="E30" i="71"/>
  <c r="C30" i="71"/>
  <c r="C31" i="71" s="1"/>
  <c r="C38" i="71"/>
  <c r="D38" i="71" s="1"/>
  <c r="Y37" i="71"/>
  <c r="Z37" i="71" s="1"/>
  <c r="P28" i="71"/>
  <c r="E28" i="71" s="1"/>
  <c r="E55" i="71"/>
  <c r="E56" i="71" s="1"/>
  <c r="U56" i="71" s="1"/>
  <c r="E59" i="71"/>
  <c r="E60" i="71"/>
  <c r="U60" i="71" s="1"/>
  <c r="E67" i="71"/>
  <c r="E66" i="71" s="1"/>
  <c r="Q28" i="71"/>
  <c r="O68" i="71"/>
  <c r="C71" i="71"/>
  <c r="C70" i="71" s="1"/>
  <c r="D70" i="71" s="1"/>
  <c r="D72" i="71"/>
  <c r="C75" i="71"/>
  <c r="D75" i="71" s="1"/>
  <c r="D76" i="71"/>
  <c r="C79" i="71"/>
  <c r="D79" i="71" s="1"/>
  <c r="C83" i="71"/>
  <c r="D83" i="71" s="1"/>
  <c r="F28" i="71"/>
  <c r="F27" i="7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H19" i="21" s="1"/>
  <c r="G20" i="20"/>
  <c r="C25" i="40" s="1"/>
  <c r="C22" i="20"/>
  <c r="B100" i="43" s="1"/>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S21" i="33" s="1"/>
  <c r="H1" i="69"/>
  <c r="AC25" i="40"/>
  <c r="U29" i="39"/>
  <c r="U21" i="37"/>
  <c r="J21" i="37"/>
  <c r="W21" i="37" s="1"/>
  <c r="J21" i="34"/>
  <c r="W21" i="34" s="1"/>
  <c r="J21" i="33"/>
  <c r="W21" i="33" s="1"/>
  <c r="H21" i="21"/>
  <c r="U21" i="21" s="1"/>
  <c r="F38" i="69"/>
  <c r="E37" i="69"/>
  <c r="F36" i="69"/>
  <c r="F35" i="69"/>
  <c r="F21" i="69"/>
  <c r="F40" i="69" s="1"/>
  <c r="F20" i="69"/>
  <c r="F39" i="69" s="1"/>
  <c r="E10" i="69"/>
  <c r="E9" i="69"/>
  <c r="C7"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A493" i="3" s="1"/>
  <c r="BD493" i="3"/>
  <c r="BE493" i="3"/>
  <c r="BF493" i="3"/>
  <c r="BG493" i="3"/>
  <c r="BH493" i="3"/>
  <c r="BI493" i="3"/>
  <c r="BJ493" i="3"/>
  <c r="BK493" i="3"/>
  <c r="BM493" i="3"/>
  <c r="BN493" i="3"/>
  <c r="BO493" i="3"/>
  <c r="BP493" i="3"/>
  <c r="BL493" i="3" s="1"/>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E5" i="3" s="1"/>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A511" i="3" s="1"/>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A516" i="3" s="1"/>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L528" i="3" s="1"/>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A532" i="3" s="1"/>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L536" i="3" s="1"/>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I554" i="3"/>
  <c r="BJ554" i="3"/>
  <c r="BK554" i="3"/>
  <c r="BM554" i="3"/>
  <c r="BL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L555" i="3" s="1"/>
  <c r="BN555" i="3"/>
  <c r="BO555" i="3"/>
  <c r="BP555" i="3"/>
  <c r="BR555" i="3"/>
  <c r="BS555" i="3"/>
  <c r="BT555" i="3"/>
  <c r="H556" i="3"/>
  <c r="AC556" i="3"/>
  <c r="BB556" i="3"/>
  <c r="BC556" i="3"/>
  <c r="BD556" i="3"/>
  <c r="BE556" i="3"/>
  <c r="BF556" i="3"/>
  <c r="BG556" i="3"/>
  <c r="BH556" i="3"/>
  <c r="BI556" i="3"/>
  <c r="BJ556" i="3"/>
  <c r="BK556" i="3"/>
  <c r="BM556" i="3"/>
  <c r="BN556" i="3"/>
  <c r="BL556" i="3" s="1"/>
  <c r="AZ556" i="3" s="1"/>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A558" i="3" s="1"/>
  <c r="AZ558" i="3" s="1"/>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A562" i="3" s="1"/>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A565" i="3" s="1"/>
  <c r="AZ565" i="3" s="1"/>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L578" i="3" s="1"/>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J35" i="39" s="1"/>
  <c r="AC35" i="39" s="1"/>
  <c r="B111" i="39"/>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F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F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F23" i="39" s="1"/>
  <c r="D94" i="39"/>
  <c r="E94" i="39" s="1"/>
  <c r="F94" i="39" s="1"/>
  <c r="D92" i="39"/>
  <c r="E92" i="39" s="1"/>
  <c r="F92" i="39" s="1"/>
  <c r="G92" i="39" s="1"/>
  <c r="D90" i="39"/>
  <c r="E90" i="39" s="1"/>
  <c r="F90" i="39" s="1"/>
  <c r="G90" i="39" s="1"/>
  <c r="D88" i="39"/>
  <c r="E88" i="39" s="1"/>
  <c r="F88" i="39" s="1"/>
  <c r="G88" i="39" s="1"/>
  <c r="B85" i="39"/>
  <c r="H14" i="39" s="1"/>
  <c r="B83" i="39"/>
  <c r="H13" i="39" s="1"/>
  <c r="B81" i="39"/>
  <c r="H12" i="39" s="1"/>
  <c r="U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s="1"/>
  <c r="G73" i="37" s="1"/>
  <c r="D71" i="37"/>
  <c r="H15" i="37"/>
  <c r="AB15" i="37" s="1"/>
  <c r="B68" i="37"/>
  <c r="F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H26" i="37"/>
  <c r="AB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AB22" i="36" s="1"/>
  <c r="D68" i="36"/>
  <c r="E68" i="36" s="1"/>
  <c r="F68" i="36" s="1"/>
  <c r="G68" i="36" s="1"/>
  <c r="D64" i="36"/>
  <c r="D62" i="36"/>
  <c r="E62" i="36" s="1"/>
  <c r="F62" i="36" s="1"/>
  <c r="G62" i="36" s="1"/>
  <c r="B59" i="36"/>
  <c r="H13" i="36" s="1"/>
  <c r="AB13" i="36" s="1"/>
  <c r="B57" i="36"/>
  <c r="B55" i="36"/>
  <c r="F11" i="36" s="1"/>
  <c r="AA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AB36" i="35" s="1"/>
  <c r="B99" i="35"/>
  <c r="B97" i="35"/>
  <c r="H34" i="35" s="1"/>
  <c r="B77" i="35"/>
  <c r="J25" i="35" s="1"/>
  <c r="B75" i="35"/>
  <c r="J24" i="35" s="1"/>
  <c r="AC24" i="35" s="1"/>
  <c r="B73" i="35"/>
  <c r="J23" i="35" s="1"/>
  <c r="AC23" i="35" s="1"/>
  <c r="H23" i="35"/>
  <c r="U23" i="35" s="1"/>
  <c r="B57" i="35"/>
  <c r="F11" i="35" s="1"/>
  <c r="S11" i="35" s="1"/>
  <c r="B61" i="35"/>
  <c r="H13" i="35" s="1"/>
  <c r="U13" i="35" s="1"/>
  <c r="B59" i="35"/>
  <c r="F12" i="35" s="1"/>
  <c r="B131" i="34"/>
  <c r="F47" i="34" s="1"/>
  <c r="B129" i="34"/>
  <c r="J46" i="34" s="1"/>
  <c r="B127" i="34"/>
  <c r="J45" i="34" s="1"/>
  <c r="B99" i="34"/>
  <c r="B97" i="34"/>
  <c r="H31" i="34" s="1"/>
  <c r="B95" i="34"/>
  <c r="B93" i="34"/>
  <c r="H29" i="34" s="1"/>
  <c r="AB29" i="34" s="1"/>
  <c r="B75" i="34"/>
  <c r="B73" i="34"/>
  <c r="J13" i="34" s="1"/>
  <c r="W13" i="34" s="1"/>
  <c r="B71" i="34"/>
  <c r="F12" i="34" s="1"/>
  <c r="S12" i="34" s="1"/>
  <c r="B130" i="33"/>
  <c r="H46" i="33" s="1"/>
  <c r="AB46" i="33" s="1"/>
  <c r="B128" i="33"/>
  <c r="B126" i="33"/>
  <c r="F44" i="33" s="1"/>
  <c r="B98" i="33"/>
  <c r="F31" i="33" s="1"/>
  <c r="B96" i="33"/>
  <c r="H30" i="33" s="1"/>
  <c r="AB30" i="33" s="1"/>
  <c r="B94" i="33"/>
  <c r="B74" i="33"/>
  <c r="J14" i="33" s="1"/>
  <c r="AC14" i="33" s="1"/>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H14" i="35" s="1"/>
  <c r="U14" i="35" s="1"/>
  <c r="C53" i="35"/>
  <c r="P39" i="35"/>
  <c r="P38" i="35"/>
  <c r="V37" i="35"/>
  <c r="T37" i="35"/>
  <c r="R37" i="35"/>
  <c r="P37" i="35"/>
  <c r="Q36" i="35"/>
  <c r="Z36" i="35" s="1"/>
  <c r="Q35" i="35"/>
  <c r="Z35" i="35" s="1"/>
  <c r="Q34" i="35"/>
  <c r="Z34" i="35" s="1"/>
  <c r="Q33" i="35"/>
  <c r="Z33" i="35" s="1"/>
  <c r="Q32" i="35"/>
  <c r="Z32" i="35"/>
  <c r="H32" i="35"/>
  <c r="F32" i="35"/>
  <c r="AA32" i="35" s="1"/>
  <c r="Q31" i="35"/>
  <c r="Z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H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s="1"/>
  <c r="J39" i="33"/>
  <c r="AC39" i="33"/>
  <c r="Q38" i="33"/>
  <c r="Z38" i="33" s="1"/>
  <c r="J38" i="33"/>
  <c r="AC38" i="33" s="1"/>
  <c r="H38" i="33"/>
  <c r="AB38" i="33" s="1"/>
  <c r="F38" i="33"/>
  <c r="AA38" i="33" s="1"/>
  <c r="Q37" i="33"/>
  <c r="Z37" i="33" s="1"/>
  <c r="Q36" i="33"/>
  <c r="Z36" i="33" s="1"/>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79"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E81" i="21"/>
  <c r="F81" i="21" s="1"/>
  <c r="G81" i="21" s="1"/>
  <c r="D77" i="21"/>
  <c r="E77" i="21" s="1"/>
  <c r="F15" i="21" s="1"/>
  <c r="B130" i="21"/>
  <c r="J46" i="21" s="1"/>
  <c r="B128" i="21"/>
  <c r="H45" i="21" s="1"/>
  <c r="U45" i="21" s="1"/>
  <c r="B126" i="21"/>
  <c r="B98" i="21"/>
  <c r="H31" i="21" s="1"/>
  <c r="AB31" i="21" s="1"/>
  <c r="B96" i="21"/>
  <c r="F30" i="21" s="1"/>
  <c r="S30" i="21" s="1"/>
  <c r="B94" i="21"/>
  <c r="J29" i="21" s="1"/>
  <c r="AC29" i="21" s="1"/>
  <c r="B92" i="21"/>
  <c r="B90" i="21"/>
  <c r="H27" i="21" s="1"/>
  <c r="B74" i="21"/>
  <c r="J14" i="21" s="1"/>
  <c r="W14" i="21" s="1"/>
  <c r="B72" i="21"/>
  <c r="H13" i="21" s="1"/>
  <c r="AB13" i="21" s="1"/>
  <c r="B70" i="21"/>
  <c r="F12" i="21" s="1"/>
  <c r="C19" i="21"/>
  <c r="C17" i="21"/>
  <c r="C23" i="21"/>
  <c r="Q9" i="21"/>
  <c r="Z9" i="2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F35" i="39"/>
  <c r="W31" i="37"/>
  <c r="F103" i="37"/>
  <c r="G103" i="37" s="1"/>
  <c r="H103" i="37" s="1"/>
  <c r="I103" i="37" s="1"/>
  <c r="J103" i="37" s="1"/>
  <c r="K103" i="37" s="1"/>
  <c r="L103" i="37" s="1"/>
  <c r="M103" i="37" s="1"/>
  <c r="F29" i="36"/>
  <c r="AA29" i="36" s="1"/>
  <c r="F16" i="36"/>
  <c r="AA16" i="36" s="1"/>
  <c r="H22" i="35"/>
  <c r="AB22" i="35" s="1"/>
  <c r="AC27" i="35"/>
  <c r="F36" i="34"/>
  <c r="S36" i="34" s="1"/>
  <c r="J35" i="34"/>
  <c r="AC35" i="34" s="1"/>
  <c r="H39" i="33"/>
  <c r="AB39" i="33" s="1"/>
  <c r="U35" i="33"/>
  <c r="W39" i="33"/>
  <c r="S27" i="35"/>
  <c r="F11" i="40"/>
  <c r="AA11" i="40"/>
  <c r="H11" i="40"/>
  <c r="AB11" i="40" s="1"/>
  <c r="W8" i="40"/>
  <c r="F42" i="39"/>
  <c r="AA42" i="39" s="1"/>
  <c r="F41" i="39"/>
  <c r="S41" i="39" s="1"/>
  <c r="H40" i="39"/>
  <c r="AB40" i="39" s="1"/>
  <c r="H39" i="39"/>
  <c r="U39" i="39" s="1"/>
  <c r="H34" i="39"/>
  <c r="U34" i="39" s="1"/>
  <c r="E100" i="39"/>
  <c r="H19" i="39"/>
  <c r="AB19" i="39" s="1"/>
  <c r="F19" i="39"/>
  <c r="H17" i="39"/>
  <c r="AB17" i="39" s="1"/>
  <c r="F17" i="39"/>
  <c r="AA17" i="39" s="1"/>
  <c r="J23" i="40"/>
  <c r="AC23" i="40" s="1"/>
  <c r="F21" i="40"/>
  <c r="AA21" i="40" s="1"/>
  <c r="J21" i="40"/>
  <c r="W21" i="40" s="1"/>
  <c r="H42" i="39"/>
  <c r="J34" i="39"/>
  <c r="AC34" i="39" s="1"/>
  <c r="F100" i="39"/>
  <c r="G100" i="39" s="1"/>
  <c r="H27" i="39"/>
  <c r="U27" i="39" s="1"/>
  <c r="J19" i="39"/>
  <c r="AC19" i="39" s="1"/>
  <c r="J17" i="39"/>
  <c r="W17" i="39" s="1"/>
  <c r="J27" i="39"/>
  <c r="AC27" i="39" s="1"/>
  <c r="F27" i="39"/>
  <c r="S27" i="39" s="1"/>
  <c r="F11" i="21"/>
  <c r="S11" i="21" s="1"/>
  <c r="H32" i="33"/>
  <c r="AB32" i="33" s="1"/>
  <c r="H11" i="21"/>
  <c r="U11" i="21" s="1"/>
  <c r="J11" i="21"/>
  <c r="W11" i="21" s="1"/>
  <c r="H37" i="40"/>
  <c r="U37" i="40" s="1"/>
  <c r="H36" i="40"/>
  <c r="AB36" i="40" s="1"/>
  <c r="F35" i="40"/>
  <c r="AA35" i="40" s="1"/>
  <c r="H23" i="40"/>
  <c r="AB23" i="40" s="1"/>
  <c r="H17" i="40"/>
  <c r="U17" i="40" s="1"/>
  <c r="J15" i="40"/>
  <c r="W15" i="40" s="1"/>
  <c r="J11" i="40"/>
  <c r="AC11" i="40" s="1"/>
  <c r="W11" i="40"/>
  <c r="W32" i="40"/>
  <c r="F37" i="39"/>
  <c r="AA37" i="39" s="1"/>
  <c r="U30" i="36"/>
  <c r="J30" i="35"/>
  <c r="W30" i="35" s="1"/>
  <c r="H30" i="35"/>
  <c r="AB30" i="35" s="1"/>
  <c r="F22" i="35"/>
  <c r="AA22" i="35" s="1"/>
  <c r="H10" i="35"/>
  <c r="U10" i="35" s="1"/>
  <c r="W30" i="36"/>
  <c r="E85" i="36"/>
  <c r="F85" i="36" s="1"/>
  <c r="G85" i="36" s="1"/>
  <c r="H85" i="36" s="1"/>
  <c r="I85" i="36" s="1"/>
  <c r="J85" i="36" s="1"/>
  <c r="K85" i="36" s="1"/>
  <c r="L85" i="36" s="1"/>
  <c r="M85" i="36" s="1"/>
  <c r="J29" i="36"/>
  <c r="AC29" i="36" s="1"/>
  <c r="F14" i="35"/>
  <c r="AA14" i="35" s="1"/>
  <c r="F23" i="35"/>
  <c r="AA23" i="35" s="1"/>
  <c r="J32" i="35"/>
  <c r="AC32" i="35" s="1"/>
  <c r="J16" i="35"/>
  <c r="AC16" i="35" s="1"/>
  <c r="H16" i="35"/>
  <c r="AB16" i="35" s="1"/>
  <c r="J29" i="35"/>
  <c r="AC29" i="35" s="1"/>
  <c r="H33" i="35"/>
  <c r="F35" i="37"/>
  <c r="S35" i="37" s="1"/>
  <c r="J34" i="37"/>
  <c r="W34" i="37" s="1"/>
  <c r="AB34" i="37"/>
  <c r="J33" i="37"/>
  <c r="AC33" i="37" s="1"/>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W23" i="34" s="1"/>
  <c r="F19" i="34"/>
  <c r="H17" i="34"/>
  <c r="AB17" i="34" s="1"/>
  <c r="F15" i="34"/>
  <c r="AA15" i="34" s="1"/>
  <c r="J15" i="34"/>
  <c r="AC15" i="34" s="1"/>
  <c r="H15" i="34"/>
  <c r="AB15" i="34" s="1"/>
  <c r="W8" i="34"/>
  <c r="F41" i="33"/>
  <c r="AA41" i="33"/>
  <c r="E113" i="33"/>
  <c r="F32" i="33"/>
  <c r="AA32" i="33"/>
  <c r="J19" i="33"/>
  <c r="J15" i="33"/>
  <c r="AC15" i="33" s="1"/>
  <c r="F11" i="33"/>
  <c r="AA11" i="33" s="1"/>
  <c r="U40" i="33"/>
  <c r="F37" i="40"/>
  <c r="AA37" i="40" s="1"/>
  <c r="F36" i="40"/>
  <c r="AA36" i="40"/>
  <c r="H28" i="40"/>
  <c r="U28" i="40" s="1"/>
  <c r="F23" i="40"/>
  <c r="AA23" i="40" s="1"/>
  <c r="F17" i="40"/>
  <c r="J17" i="40"/>
  <c r="W17" i="40"/>
  <c r="F15" i="40"/>
  <c r="S15" i="40" s="1"/>
  <c r="H15" i="40"/>
  <c r="AB15" i="40" s="1"/>
  <c r="F29" i="35"/>
  <c r="S29" i="35" s="1"/>
  <c r="H29" i="35"/>
  <c r="AB29" i="35" s="1"/>
  <c r="H33" i="37"/>
  <c r="F33" i="37"/>
  <c r="AA33" i="37" s="1"/>
  <c r="U34" i="37"/>
  <c r="S34" i="37"/>
  <c r="AA34" i="37"/>
  <c r="J43" i="34"/>
  <c r="J40" i="34"/>
  <c r="W40" i="34" s="1"/>
  <c r="H38" i="34"/>
  <c r="AB38" i="34" s="1"/>
  <c r="J36" i="34"/>
  <c r="W36" i="34"/>
  <c r="H37" i="34"/>
  <c r="U37" i="34" s="1"/>
  <c r="H25" i="34"/>
  <c r="AB25" i="34" s="1"/>
  <c r="J25" i="34"/>
  <c r="AC25" i="34"/>
  <c r="F23" i="34"/>
  <c r="AA23" i="34" s="1"/>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s="1"/>
  <c r="H42" i="21"/>
  <c r="U42" i="21" s="1"/>
  <c r="J44" i="34"/>
  <c r="F44" i="34"/>
  <c r="S44" i="34" s="1"/>
  <c r="J10" i="35"/>
  <c r="AC10" i="35" s="1"/>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F28" i="36"/>
  <c r="AA28" i="36" s="1"/>
  <c r="H29" i="21"/>
  <c r="U29" i="21" s="1"/>
  <c r="J13" i="33"/>
  <c r="W13" i="33" s="1"/>
  <c r="H13" i="33"/>
  <c r="U13" i="33" s="1"/>
  <c r="F13" i="33"/>
  <c r="S13" i="33" s="1"/>
  <c r="J29" i="33"/>
  <c r="H29" i="33"/>
  <c r="AB29" i="33" s="1"/>
  <c r="F29" i="33"/>
  <c r="S29" i="33" s="1"/>
  <c r="J31" i="33"/>
  <c r="W31" i="33" s="1"/>
  <c r="H31" i="33"/>
  <c r="H45" i="33"/>
  <c r="U45" i="33" s="1"/>
  <c r="J45" i="33"/>
  <c r="W45" i="33" s="1"/>
  <c r="F45" i="33"/>
  <c r="AA45" i="33"/>
  <c r="J14" i="34"/>
  <c r="W14" i="34" s="1"/>
  <c r="F14" i="34"/>
  <c r="H14" i="34"/>
  <c r="AB14" i="34" s="1"/>
  <c r="H30" i="34"/>
  <c r="AB30" i="34" s="1"/>
  <c r="F30" i="34"/>
  <c r="S30" i="34" s="1"/>
  <c r="J30" i="34"/>
  <c r="H32" i="34"/>
  <c r="F32" i="34"/>
  <c r="AA32" i="34" s="1"/>
  <c r="J32" i="34"/>
  <c r="W32" i="34" s="1"/>
  <c r="H46" i="34"/>
  <c r="U46" i="34" s="1"/>
  <c r="F46" i="34"/>
  <c r="H11" i="35"/>
  <c r="AB11" i="35" s="1"/>
  <c r="J11" i="35"/>
  <c r="W11" i="35" s="1"/>
  <c r="J26" i="36"/>
  <c r="W26" i="36" s="1"/>
  <c r="H28" i="36"/>
  <c r="U28" i="36" s="1"/>
  <c r="H32" i="36"/>
  <c r="AB32" i="36" s="1"/>
  <c r="J32" i="36"/>
  <c r="W32" i="36" s="1"/>
  <c r="H11" i="36"/>
  <c r="U11"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c r="H40" i="37"/>
  <c r="U40" i="37" s="1"/>
  <c r="J40" i="37"/>
  <c r="W40" i="37" s="1"/>
  <c r="F40" i="37"/>
  <c r="AA40" i="37" s="1"/>
  <c r="F14" i="33"/>
  <c r="AA14" i="33" s="1"/>
  <c r="F30" i="33"/>
  <c r="S30" i="33" s="1"/>
  <c r="H44" i="33"/>
  <c r="U44" i="33" s="1"/>
  <c r="F46" i="33"/>
  <c r="AA46" i="33" s="1"/>
  <c r="H13" i="34"/>
  <c r="U13" i="34" s="1"/>
  <c r="F13" i="34"/>
  <c r="AA13" i="34" s="1"/>
  <c r="F29" i="34"/>
  <c r="S29" i="34" s="1"/>
  <c r="J31" i="34"/>
  <c r="W31" i="34" s="1"/>
  <c r="F31" i="34"/>
  <c r="S31" i="34" s="1"/>
  <c r="W45" i="34"/>
  <c r="H47" i="34"/>
  <c r="U47" i="34" s="1"/>
  <c r="J47" i="34"/>
  <c r="AC47" i="34" s="1"/>
  <c r="J13" i="35"/>
  <c r="W25" i="35"/>
  <c r="F25" i="35"/>
  <c r="H25" i="35"/>
  <c r="AB25" i="35" s="1"/>
  <c r="J35" i="35"/>
  <c r="AC35" i="35" s="1"/>
  <c r="F35" i="35"/>
  <c r="AA35" i="35" s="1"/>
  <c r="H35" i="35"/>
  <c r="J25" i="36"/>
  <c r="W25" i="36" s="1"/>
  <c r="F25" i="36"/>
  <c r="H25" i="36"/>
  <c r="AB25" i="36" s="1"/>
  <c r="H13" i="37"/>
  <c r="AB13" i="37" s="1"/>
  <c r="J13" i="37"/>
  <c r="W13" i="37" s="1"/>
  <c r="F28" i="37"/>
  <c r="AA28" i="37" s="1"/>
  <c r="J28" i="37"/>
  <c r="AC28" i="37" s="1"/>
  <c r="H28" i="37"/>
  <c r="H38" i="37"/>
  <c r="AB38" i="37" s="1"/>
  <c r="J14" i="39"/>
  <c r="AC14" i="39" s="1"/>
  <c r="F14" i="39"/>
  <c r="AA14" i="39" s="1"/>
  <c r="F12" i="40"/>
  <c r="S12" i="40" s="1"/>
  <c r="H12" i="40"/>
  <c r="AB12" i="40" s="1"/>
  <c r="H30" i="40"/>
  <c r="AB30" i="40" s="1"/>
  <c r="J35" i="40"/>
  <c r="AC35" i="40" s="1"/>
  <c r="J37" i="40"/>
  <c r="AC37" i="40" s="1"/>
  <c r="H13" i="40"/>
  <c r="U13" i="40" s="1"/>
  <c r="J13" i="40"/>
  <c r="W13" i="40" s="1"/>
  <c r="F13" i="40"/>
  <c r="AA13" i="40" s="1"/>
  <c r="F27" i="37"/>
  <c r="AA27" i="37" s="1"/>
  <c r="F14" i="40"/>
  <c r="J36" i="37"/>
  <c r="AC36" i="37" s="1"/>
  <c r="J10" i="36"/>
  <c r="AC10" i="36" s="1"/>
  <c r="S45" i="33"/>
  <c r="F17" i="21"/>
  <c r="AA17" i="21" s="1"/>
  <c r="J41" i="39"/>
  <c r="W41" i="39" s="1"/>
  <c r="G544" i="3"/>
  <c r="G540" i="3"/>
  <c r="G535" i="3"/>
  <c r="G532" i="3"/>
  <c r="G527" i="3"/>
  <c r="G510" i="3"/>
  <c r="G496" i="3"/>
  <c r="G576" i="3"/>
  <c r="G564" i="3"/>
  <c r="G550" i="3"/>
  <c r="BL560" i="3"/>
  <c r="BL534" i="3"/>
  <c r="BL498" i="3"/>
  <c r="BL562" i="3"/>
  <c r="BL552" i="3"/>
  <c r="G533" i="3"/>
  <c r="G525" i="3"/>
  <c r="BL496" i="3"/>
  <c r="BA574" i="3"/>
  <c r="BA564" i="3"/>
  <c r="BA560" i="3"/>
  <c r="AZ560" i="3" s="1"/>
  <c r="BA556" i="3"/>
  <c r="BA552" i="3"/>
  <c r="AZ552" i="3" s="1"/>
  <c r="BA538" i="3"/>
  <c r="BA524" i="3"/>
  <c r="BA567" i="3"/>
  <c r="BA563" i="3"/>
  <c r="BA559" i="3"/>
  <c r="BA553" i="3"/>
  <c r="BA537" i="3"/>
  <c r="BA519" i="3"/>
  <c r="BA501" i="3"/>
  <c r="G577" i="3"/>
  <c r="G575" i="3"/>
  <c r="G573" i="3"/>
  <c r="G567" i="3"/>
  <c r="G565" i="3"/>
  <c r="G563" i="3"/>
  <c r="BL558" i="3"/>
  <c r="AC557" i="3"/>
  <c r="G557" i="3" s="1"/>
  <c r="BQ557" i="3"/>
  <c r="BQ583" i="3"/>
  <c r="BQ581" i="3"/>
  <c r="BQ579" i="3"/>
  <c r="BQ577" i="3"/>
  <c r="BQ575" i="3"/>
  <c r="BQ573" i="3"/>
  <c r="BQ571" i="3"/>
  <c r="BQ569" i="3"/>
  <c r="BQ567" i="3"/>
  <c r="BQ565" i="3"/>
  <c r="BL565" i="3" s="1"/>
  <c r="BQ563" i="3"/>
  <c r="BQ561" i="3"/>
  <c r="BL561" i="3" s="1"/>
  <c r="BQ559" i="3"/>
  <c r="G559" i="3"/>
  <c r="G553" i="3"/>
  <c r="G547" i="3"/>
  <c r="G543" i="3"/>
  <c r="G541" i="3"/>
  <c r="BQ555" i="3"/>
  <c r="BQ553" i="3"/>
  <c r="BL553" i="3" s="1"/>
  <c r="AZ553" i="3" s="1"/>
  <c r="BQ551" i="3"/>
  <c r="BQ549" i="3"/>
  <c r="BQ547" i="3"/>
  <c r="BQ545" i="3"/>
  <c r="BQ543" i="3"/>
  <c r="BQ541" i="3"/>
  <c r="BQ539" i="3"/>
  <c r="BQ537" i="3"/>
  <c r="BQ535" i="3"/>
  <c r="BQ533" i="3"/>
  <c r="BQ531" i="3"/>
  <c r="BQ529" i="3"/>
  <c r="BQ527" i="3"/>
  <c r="BQ525" i="3"/>
  <c r="BQ523" i="3"/>
  <c r="BL523" i="3" s="1"/>
  <c r="AC521" i="3"/>
  <c r="G521" i="3" s="1"/>
  <c r="BQ521" i="3"/>
  <c r="G519" i="3"/>
  <c r="G515" i="3"/>
  <c r="G513" i="3"/>
  <c r="BQ519" i="3"/>
  <c r="BQ517" i="3"/>
  <c r="BQ515" i="3"/>
  <c r="BQ513" i="3"/>
  <c r="BQ511" i="3"/>
  <c r="BL511" i="3" s="1"/>
  <c r="AC509" i="3"/>
  <c r="BQ509" i="3"/>
  <c r="G507" i="3"/>
  <c r="G501" i="3"/>
  <c r="G499" i="3"/>
  <c r="G497"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H17" i="37"/>
  <c r="U17" i="37" s="1"/>
  <c r="AB27" i="37"/>
  <c r="F39" i="33"/>
  <c r="AA39" i="33" s="1"/>
  <c r="E123" i="33"/>
  <c r="F123" i="33" s="1"/>
  <c r="G123" i="33" s="1"/>
  <c r="H123" i="33" s="1"/>
  <c r="I123" i="33" s="1"/>
  <c r="J123" i="33" s="1"/>
  <c r="K123" i="33" s="1"/>
  <c r="L123" i="33" s="1"/>
  <c r="M123" i="33" s="1"/>
  <c r="F42" i="33"/>
  <c r="AA42" i="33" s="1"/>
  <c r="H28" i="34"/>
  <c r="AB28" i="34" s="1"/>
  <c r="F22" i="36"/>
  <c r="F26" i="36"/>
  <c r="S26" i="36" s="1"/>
  <c r="H27" i="34"/>
  <c r="AB27" i="34" s="1"/>
  <c r="H35" i="34"/>
  <c r="U35" i="34" s="1"/>
  <c r="F41" i="34"/>
  <c r="H41" i="34"/>
  <c r="U41" i="34" s="1"/>
  <c r="J41" i="34"/>
  <c r="AC41" i="34" s="1"/>
  <c r="F10" i="35"/>
  <c r="S10" i="35" s="1"/>
  <c r="H24" i="35"/>
  <c r="U24" i="35" s="1"/>
  <c r="H23" i="37"/>
  <c r="J32" i="37"/>
  <c r="AC32" i="37" s="1"/>
  <c r="F36" i="37"/>
  <c r="AA36" i="37" s="1"/>
  <c r="F37" i="37"/>
  <c r="AA37" i="37"/>
  <c r="H31" i="40"/>
  <c r="U31" i="40" s="1"/>
  <c r="F32" i="40"/>
  <c r="S32" i="40" s="1"/>
  <c r="H32" i="40"/>
  <c r="AB32" i="40" s="1"/>
  <c r="J36" i="40"/>
  <c r="H19" i="37"/>
  <c r="AB19" i="37" s="1"/>
  <c r="H42" i="33"/>
  <c r="J43" i="33"/>
  <c r="AC43" i="33" s="1"/>
  <c r="S28" i="31"/>
  <c r="S27" i="31"/>
  <c r="S26" i="31"/>
  <c r="W23" i="35"/>
  <c r="U26" i="37"/>
  <c r="AC36" i="34"/>
  <c r="U19" i="21"/>
  <c r="F43" i="33"/>
  <c r="AA43" i="33" s="1"/>
  <c r="W15" i="34"/>
  <c r="W16" i="35"/>
  <c r="H19" i="34"/>
  <c r="AB19" i="34" s="1"/>
  <c r="F36" i="35"/>
  <c r="S36" i="35" s="1"/>
  <c r="J9" i="37"/>
  <c r="W9" i="37" s="1"/>
  <c r="H9" i="37"/>
  <c r="U9" i="37" s="1"/>
  <c r="F9" i="37"/>
  <c r="S9" i="37" s="1"/>
  <c r="J12" i="37"/>
  <c r="W12" i="37" s="1"/>
  <c r="H12" i="37"/>
  <c r="AB12" i="37" s="1"/>
  <c r="F12" i="37"/>
  <c r="S12" i="37" s="1"/>
  <c r="E71" i="37"/>
  <c r="F71" i="37" s="1"/>
  <c r="G71" i="37" s="1"/>
  <c r="F15" i="37"/>
  <c r="S15" i="37" s="1"/>
  <c r="AA15" i="37"/>
  <c r="F31" i="37"/>
  <c r="S31" i="37" s="1"/>
  <c r="J42" i="39"/>
  <c r="AC42" i="39" s="1"/>
  <c r="H21" i="40"/>
  <c r="AB21" i="40" s="1"/>
  <c r="H31" i="37"/>
  <c r="U31" i="37" s="1"/>
  <c r="J15" i="37"/>
  <c r="W15" i="37" s="1"/>
  <c r="AT6" i="3"/>
  <c r="H19" i="40"/>
  <c r="U19" i="40" s="1"/>
  <c r="F19" i="40"/>
  <c r="S19" i="40" s="1"/>
  <c r="AC13" i="40"/>
  <c r="U45" i="39"/>
  <c r="AB45" i="39"/>
  <c r="H37" i="39"/>
  <c r="AB37" i="39" s="1"/>
  <c r="W37" i="39"/>
  <c r="H25" i="39"/>
  <c r="AB25" i="39" s="1"/>
  <c r="J25" i="39"/>
  <c r="W25" i="39" s="1"/>
  <c r="F25" i="39"/>
  <c r="AA25" i="39" s="1"/>
  <c r="F15" i="39"/>
  <c r="AA15" i="39" s="1"/>
  <c r="H15" i="39"/>
  <c r="U15" i="39" s="1"/>
  <c r="J15" i="39"/>
  <c r="W15" i="39" s="1"/>
  <c r="H41" i="39"/>
  <c r="AB41" i="39" s="1"/>
  <c r="S42" i="39"/>
  <c r="W8" i="39"/>
  <c r="J19" i="40"/>
  <c r="AC19" i="40" s="1"/>
  <c r="J50" i="40"/>
  <c r="H103" i="9"/>
  <c r="D8" i="53" s="1"/>
  <c r="B16" i="53"/>
  <c r="B33" i="72" s="1"/>
  <c r="C7" i="37"/>
  <c r="C52" i="37" s="1"/>
  <c r="D52" i="37" s="1"/>
  <c r="C7" i="34"/>
  <c r="C7" i="36"/>
  <c r="W35" i="40"/>
  <c r="F11" i="39"/>
  <c r="S11" i="39" s="1"/>
  <c r="G4" i="4"/>
  <c r="I4" i="4"/>
  <c r="A2" i="9"/>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12" i="3"/>
  <c r="G506" i="3"/>
  <c r="G498"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BL311" i="3"/>
  <c r="AZ311" i="3" s="1"/>
  <c r="G312" i="3"/>
  <c r="BA314" i="3"/>
  <c r="BL315" i="3"/>
  <c r="G316" i="3"/>
  <c r="BA318" i="3"/>
  <c r="AZ318" i="3" s="1"/>
  <c r="BL319" i="3"/>
  <c r="G320" i="3"/>
  <c r="BA322" i="3"/>
  <c r="AZ322" i="3" s="1"/>
  <c r="BL323" i="3"/>
  <c r="G324" i="3"/>
  <c r="BA326" i="3"/>
  <c r="AZ326" i="3" s="1"/>
  <c r="BL327" i="3"/>
  <c r="G328" i="3"/>
  <c r="BA330" i="3"/>
  <c r="BL331" i="3"/>
  <c r="G332" i="3"/>
  <c r="BA334" i="3"/>
  <c r="BL335" i="3"/>
  <c r="G336" i="3"/>
  <c r="BA338" i="3"/>
  <c r="BL339" i="3"/>
  <c r="G340" i="3"/>
  <c r="BL343" i="3"/>
  <c r="G344" i="3"/>
  <c r="G348" i="3"/>
  <c r="G355" i="3"/>
  <c r="AZ218" i="3"/>
  <c r="G342" i="3"/>
  <c r="BL345" i="3"/>
  <c r="G346" i="3"/>
  <c r="BL349" i="3"/>
  <c r="BL352" i="3"/>
  <c r="G353" i="3"/>
  <c r="BA357" i="3"/>
  <c r="BL358" i="3"/>
  <c r="G359" i="3"/>
  <c r="BA361" i="3"/>
  <c r="AZ361" i="3" s="1"/>
  <c r="BL362" i="3"/>
  <c r="G363" i="3"/>
  <c r="BA365" i="3"/>
  <c r="BL366" i="3"/>
  <c r="G367" i="3"/>
  <c r="BA369" i="3"/>
  <c r="BL370" i="3"/>
  <c r="G371" i="3"/>
  <c r="BA373" i="3"/>
  <c r="AZ373" i="3" s="1"/>
  <c r="BL374" i="3"/>
  <c r="G375" i="3"/>
  <c r="BA377" i="3"/>
  <c r="AZ377" i="3" s="1"/>
  <c r="BA379" i="3"/>
  <c r="BL380" i="3"/>
  <c r="G381" i="3"/>
  <c r="BA383" i="3"/>
  <c r="BL384" i="3"/>
  <c r="G385" i="3"/>
  <c r="BA387" i="3"/>
  <c r="BL388" i="3"/>
  <c r="G389" i="3"/>
  <c r="BA391" i="3"/>
  <c r="BL392" i="3"/>
  <c r="G393" i="3"/>
  <c r="BF5" i="3"/>
  <c r="G520" i="3"/>
  <c r="G17" i="3"/>
  <c r="U36" i="40"/>
  <c r="F83" i="43"/>
  <c r="H85" i="43" s="1"/>
  <c r="F50" i="43"/>
  <c r="H54" i="43" s="1"/>
  <c r="F72" i="43"/>
  <c r="H75" i="43" s="1"/>
  <c r="W37" i="37"/>
  <c r="W44" i="34"/>
  <c r="AC44" i="34"/>
  <c r="U12" i="40"/>
  <c r="J37" i="33"/>
  <c r="W37" i="33" s="1"/>
  <c r="J34" i="33"/>
  <c r="W34" i="33" s="1"/>
  <c r="F33" i="34"/>
  <c r="S33" i="34" s="1"/>
  <c r="H20" i="36"/>
  <c r="U20" i="36" s="1"/>
  <c r="J27" i="36"/>
  <c r="W27" i="36" s="1"/>
  <c r="F111" i="40"/>
  <c r="G111" i="40" s="1"/>
  <c r="H111" i="40" s="1"/>
  <c r="I111" i="40" s="1"/>
  <c r="J111" i="40" s="1"/>
  <c r="K111" i="40" s="1"/>
  <c r="L111" i="40" s="1"/>
  <c r="M111" i="40" s="1"/>
  <c r="H35" i="40"/>
  <c r="AB35" i="40" s="1"/>
  <c r="H35" i="37"/>
  <c r="U35" i="37" s="1"/>
  <c r="H20" i="35"/>
  <c r="U20" i="35" s="1"/>
  <c r="U29" i="36"/>
  <c r="H32" i="37"/>
  <c r="AB32" i="37" s="1"/>
  <c r="H27" i="40"/>
  <c r="AB27" i="40" s="1"/>
  <c r="J27" i="40"/>
  <c r="AC27" i="40" s="1"/>
  <c r="F27" i="40"/>
  <c r="AA27" i="40" s="1"/>
  <c r="J30" i="40"/>
  <c r="AC30" i="40"/>
  <c r="F30" i="40"/>
  <c r="S30" i="40" s="1"/>
  <c r="AC21"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F43" i="34"/>
  <c r="H44" i="34"/>
  <c r="U44" i="34" s="1"/>
  <c r="F39" i="39"/>
  <c r="S39" i="39" s="1"/>
  <c r="H27" i="36"/>
  <c r="U27" i="36" s="1"/>
  <c r="F27" i="36"/>
  <c r="AA27" i="36" s="1"/>
  <c r="H33" i="34"/>
  <c r="F32" i="37"/>
  <c r="AA32" i="37" s="1"/>
  <c r="G96" i="37"/>
  <c r="H96" i="37" s="1"/>
  <c r="I96" i="37" s="1"/>
  <c r="J96" i="37" s="1"/>
  <c r="K96" i="37" s="1"/>
  <c r="L96" i="37" s="1"/>
  <c r="M96" i="37" s="1"/>
  <c r="J33" i="34"/>
  <c r="K9" i="1"/>
  <c r="M9" i="1" s="1"/>
  <c r="D93" i="9"/>
  <c r="W27" i="34"/>
  <c r="AC27" i="34"/>
  <c r="AC39" i="40"/>
  <c r="W39" i="40"/>
  <c r="W12" i="33"/>
  <c r="S32" i="36"/>
  <c r="BL14" i="3"/>
  <c r="F12" i="33"/>
  <c r="S12" i="33" s="1"/>
  <c r="F39" i="40"/>
  <c r="AA39" i="40" s="1"/>
  <c r="B12" i="1"/>
  <c r="E12" i="1" s="1"/>
  <c r="B10" i="1"/>
  <c r="E10" i="1" s="1"/>
  <c r="K12" i="1"/>
  <c r="M12" i="1" s="1"/>
  <c r="S13" i="1"/>
  <c r="AR13" i="1" s="1"/>
  <c r="R13" i="1"/>
  <c r="J51" i="67"/>
  <c r="C42" i="1"/>
  <c r="C24" i="12" s="1"/>
  <c r="B41" i="1"/>
  <c r="F48" i="9" s="1"/>
  <c r="O52" i="9" s="1"/>
  <c r="AB37" i="40"/>
  <c r="S35" i="40"/>
  <c r="U35" i="40"/>
  <c r="AA32" i="40"/>
  <c r="S23" i="40"/>
  <c r="AC17" i="40"/>
  <c r="AC15" i="40"/>
  <c r="S28" i="40"/>
  <c r="AB19" i="40"/>
  <c r="S37" i="39"/>
  <c r="F32" i="39"/>
  <c r="S32" i="39" s="1"/>
  <c r="F106" i="39"/>
  <c r="G106" i="39" s="1"/>
  <c r="H106" i="39" s="1"/>
  <c r="I106" i="39" s="1"/>
  <c r="J106" i="39" s="1"/>
  <c r="K106" i="39" s="1"/>
  <c r="L106" i="39" s="1"/>
  <c r="M106" i="39" s="1"/>
  <c r="J21" i="39"/>
  <c r="W21" i="39" s="1"/>
  <c r="F21" i="39"/>
  <c r="AA21" i="39" s="1"/>
  <c r="G94" i="39"/>
  <c r="H21" i="39"/>
  <c r="U21" i="39" s="1"/>
  <c r="S17" i="39"/>
  <c r="S9" i="39"/>
  <c r="AC26" i="36"/>
  <c r="U22" i="36"/>
  <c r="U24" i="36"/>
  <c r="U23" i="36"/>
  <c r="AB13" i="35"/>
  <c r="U29" i="35"/>
  <c r="AB27" i="35"/>
  <c r="S28" i="35"/>
  <c r="S22" i="35"/>
  <c r="AA11" i="35"/>
  <c r="AC12" i="35"/>
  <c r="H9" i="35"/>
  <c r="U9" i="35" s="1"/>
  <c r="AB40" i="37"/>
  <c r="AC29" i="37"/>
  <c r="W30" i="37"/>
  <c r="W38" i="37"/>
  <c r="AC35" i="37"/>
  <c r="S30" i="37"/>
  <c r="S37" i="37"/>
  <c r="AC15" i="37"/>
  <c r="J17" i="37"/>
  <c r="W17" i="37"/>
  <c r="F17" i="37"/>
  <c r="AB17" i="37"/>
  <c r="F19" i="37"/>
  <c r="S19" i="37" s="1"/>
  <c r="F79" i="37"/>
  <c r="G79" i="37" s="1"/>
  <c r="F23" i="37"/>
  <c r="S23" i="37" s="1"/>
  <c r="U15" i="37"/>
  <c r="H10" i="37"/>
  <c r="AB10" i="37" s="1"/>
  <c r="F63" i="37"/>
  <c r="G63" i="37" s="1"/>
  <c r="H63" i="37" s="1"/>
  <c r="I63" i="37" s="1"/>
  <c r="J63" i="37" s="1"/>
  <c r="K63" i="37" s="1"/>
  <c r="L63" i="37" s="1"/>
  <c r="M63" i="37" s="1"/>
  <c r="F11" i="37"/>
  <c r="S11" i="37" s="1"/>
  <c r="W25" i="34"/>
  <c r="AB8" i="34"/>
  <c r="AA33" i="34"/>
  <c r="U43" i="34"/>
  <c r="AB35" i="34"/>
  <c r="AB41" i="34"/>
  <c r="AA25" i="34"/>
  <c r="S17" i="34"/>
  <c r="S23" i="34"/>
  <c r="H10" i="34"/>
  <c r="AB10" i="34" s="1"/>
  <c r="F11" i="34"/>
  <c r="S11" i="34" s="1"/>
  <c r="W42" i="33"/>
  <c r="S32" i="33"/>
  <c r="AA29" i="33"/>
  <c r="W38" i="33"/>
  <c r="H41" i="33"/>
  <c r="AB4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F87" i="33"/>
  <c r="G87" i="33" s="1"/>
  <c r="H87" i="33" s="1"/>
  <c r="I87" i="33" s="1"/>
  <c r="J87" i="33" s="1"/>
  <c r="K87" i="33" s="1"/>
  <c r="L87" i="33" s="1"/>
  <c r="M87" i="33" s="1"/>
  <c r="H25" i="33"/>
  <c r="AB25" i="33" s="1"/>
  <c r="F25" i="33"/>
  <c r="AA25" i="33" s="1"/>
  <c r="J23" i="33"/>
  <c r="AC23" i="33" s="1"/>
  <c r="F85" i="33"/>
  <c r="G85" i="33" s="1"/>
  <c r="H23" i="33"/>
  <c r="U23" i="33" s="1"/>
  <c r="F81" i="33"/>
  <c r="G81" i="33" s="1"/>
  <c r="F19" i="33"/>
  <c r="S19" i="33" s="1"/>
  <c r="J17" i="33"/>
  <c r="AC17" i="33" s="1"/>
  <c r="S15" i="33"/>
  <c r="W15" i="33"/>
  <c r="J10" i="33"/>
  <c r="W10" i="33" s="1"/>
  <c r="H10" i="33"/>
  <c r="U10" i="33" s="1"/>
  <c r="AC11" i="33"/>
  <c r="AA38" i="21"/>
  <c r="F77" i="21"/>
  <c r="G77" i="21" s="1"/>
  <c r="F23" i="21"/>
  <c r="S23" i="21" s="1"/>
  <c r="C18" i="9"/>
  <c r="D18" i="9" s="1"/>
  <c r="F34" i="67"/>
  <c r="F62" i="67" s="1"/>
  <c r="M20" i="67"/>
  <c r="F34" i="15"/>
  <c r="F62" i="15" s="1"/>
  <c r="G13" i="3"/>
  <c r="J56" i="9"/>
  <c r="J57" i="9" s="1"/>
  <c r="J59" i="9" s="1"/>
  <c r="J61" i="9" s="1"/>
  <c r="A24" i="51"/>
  <c r="B18" i="72" s="1"/>
  <c r="E32" i="6"/>
  <c r="E19" i="69"/>
  <c r="E1" i="73"/>
  <c r="G22" i="69"/>
  <c r="G22" i="68"/>
  <c r="G26" i="12"/>
  <c r="G22" i="11"/>
  <c r="C6" i="43"/>
  <c r="B19" i="53"/>
  <c r="B37" i="72" s="1"/>
  <c r="C7" i="39"/>
  <c r="C67" i="39" s="1"/>
  <c r="C7" i="35"/>
  <c r="E7" i="35" s="1"/>
  <c r="G7" i="35" s="1"/>
  <c r="I7" i="35" s="1"/>
  <c r="C7" i="33"/>
  <c r="C7" i="21"/>
  <c r="E7" i="21" s="1"/>
  <c r="G7" i="21" s="1"/>
  <c r="I7" i="21" s="1"/>
  <c r="C7" i="40"/>
  <c r="C63" i="40" s="1"/>
  <c r="M47" i="9"/>
  <c r="G23" i="43"/>
  <c r="C23" i="43" s="1"/>
  <c r="A4" i="51"/>
  <c r="B6" i="72" s="1"/>
  <c r="C48" i="35"/>
  <c r="D48" i="35" s="1"/>
  <c r="L20" i="6"/>
  <c r="B6" i="1"/>
  <c r="E6" i="1" s="1"/>
  <c r="K11" i="1"/>
  <c r="M11" i="1" s="1"/>
  <c r="O11" i="1" s="1"/>
  <c r="B9" i="1"/>
  <c r="E9" i="1" s="1"/>
  <c r="G1" i="15"/>
  <c r="W23" i="40"/>
  <c r="AB31" i="40"/>
  <c r="AB28" i="40"/>
  <c r="W34" i="40"/>
  <c r="W19" i="40"/>
  <c r="W27" i="40"/>
  <c r="S36" i="40"/>
  <c r="W37" i="40"/>
  <c r="AA15" i="40"/>
  <c r="U11" i="40"/>
  <c r="AB13" i="40"/>
  <c r="U8" i="40"/>
  <c r="S8" i="40"/>
  <c r="AC41" i="39"/>
  <c r="AC17" i="39"/>
  <c r="AC25" i="36"/>
  <c r="W29" i="36"/>
  <c r="AC25" i="35"/>
  <c r="S35" i="35"/>
  <c r="AA35" i="37"/>
  <c r="S28" i="37"/>
  <c r="W32" i="37"/>
  <c r="U36" i="37"/>
  <c r="AB37" i="37"/>
  <c r="AC34" i="37"/>
  <c r="AB35" i="37"/>
  <c r="AA31" i="37"/>
  <c r="AA29" i="37"/>
  <c r="U8" i="37"/>
  <c r="AB40" i="34"/>
  <c r="AC45" i="34"/>
  <c r="AA30" i="34"/>
  <c r="U25" i="34"/>
  <c r="AC14" i="34"/>
  <c r="AC32" i="34"/>
  <c r="W46" i="34"/>
  <c r="AC46" i="34"/>
  <c r="S32" i="34"/>
  <c r="U30" i="34"/>
  <c r="S37" i="34"/>
  <c r="AC40" i="34"/>
  <c r="AA19" i="34"/>
  <c r="S19" i="34"/>
  <c r="AA36" i="34"/>
  <c r="AA8" i="34"/>
  <c r="S8" i="34"/>
  <c r="U9" i="34"/>
  <c r="S46" i="34"/>
  <c r="AA46" i="34"/>
  <c r="U32" i="34"/>
  <c r="AB32" i="34"/>
  <c r="AC43" i="34"/>
  <c r="W43" i="34"/>
  <c r="AC23" i="34"/>
  <c r="W35" i="34"/>
  <c r="AB28" i="33"/>
  <c r="AC37" i="33"/>
  <c r="U39" i="33"/>
  <c r="U38" i="33"/>
  <c r="S33" i="33"/>
  <c r="AB44" i="33"/>
  <c r="AA30" i="33"/>
  <c r="W14" i="33"/>
  <c r="S31" i="33"/>
  <c r="AA31" i="33"/>
  <c r="AC13" i="33"/>
  <c r="U15" i="33"/>
  <c r="S11" i="33"/>
  <c r="U37" i="33"/>
  <c r="AC28" i="33"/>
  <c r="S28" i="33"/>
  <c r="W8" i="33"/>
  <c r="F33" i="21"/>
  <c r="AA33" i="21" s="1"/>
  <c r="J33" i="21"/>
  <c r="AC33" i="21" s="1"/>
  <c r="H33" i="21"/>
  <c r="AB33" i="21" s="1"/>
  <c r="U13" i="21"/>
  <c r="J17" i="21"/>
  <c r="AC17" i="21" s="1"/>
  <c r="F29" i="21"/>
  <c r="AA29" i="21" s="1"/>
  <c r="H32" i="21"/>
  <c r="U32" i="21" s="1"/>
  <c r="H9" i="21"/>
  <c r="AB9" i="21" s="1"/>
  <c r="J9" i="21"/>
  <c r="W9" i="21" s="1"/>
  <c r="F32" i="21"/>
  <c r="AA32" i="21" s="1"/>
  <c r="AA9" i="21"/>
  <c r="K141" i="21"/>
  <c r="K144" i="21"/>
  <c r="K143" i="21"/>
  <c r="F10" i="21"/>
  <c r="AA10" i="21" s="1"/>
  <c r="K145" i="21"/>
  <c r="W25" i="21"/>
  <c r="AB36" i="21"/>
  <c r="W30" i="40"/>
  <c r="C19" i="39"/>
  <c r="C15" i="40"/>
  <c r="C23" i="40"/>
  <c r="U30" i="40"/>
  <c r="B56" i="43"/>
  <c r="B67" i="43"/>
  <c r="B51" i="43"/>
  <c r="B54" i="43"/>
  <c r="B62" i="43"/>
  <c r="B65" i="43"/>
  <c r="D23" i="15"/>
  <c r="E4" i="4"/>
  <c r="B5" i="62" s="1"/>
  <c r="B73" i="72" s="1"/>
  <c r="C4" i="4"/>
  <c r="F30" i="68"/>
  <c r="F48" i="68" s="1"/>
  <c r="F52" i="9"/>
  <c r="F32" i="15"/>
  <c r="F60" i="15" s="1"/>
  <c r="S39" i="40"/>
  <c r="F54" i="9"/>
  <c r="J32" i="39"/>
  <c r="AC32" i="39" s="1"/>
  <c r="H32" i="39"/>
  <c r="AB32" i="39" s="1"/>
  <c r="AA32" i="39"/>
  <c r="AC17" i="37"/>
  <c r="J19" i="37"/>
  <c r="W19" i="37" s="1"/>
  <c r="J23" i="37"/>
  <c r="AC23" i="37" s="1"/>
  <c r="J10" i="37"/>
  <c r="W10" i="37" s="1"/>
  <c r="H11" i="37"/>
  <c r="AB11" i="37" s="1"/>
  <c r="H11" i="34"/>
  <c r="U11" i="34" s="1"/>
  <c r="J10" i="34"/>
  <c r="AC10" i="34" s="1"/>
  <c r="J36" i="33"/>
  <c r="W36" i="33" s="1"/>
  <c r="H36" i="33"/>
  <c r="U36" i="33" s="1"/>
  <c r="S36" i="33"/>
  <c r="U25" i="33"/>
  <c r="J25" i="33"/>
  <c r="AB23" i="33"/>
  <c r="F23" i="33"/>
  <c r="AA19" i="33"/>
  <c r="H19" i="33"/>
  <c r="AB19" i="33" s="1"/>
  <c r="H17" i="33"/>
  <c r="U17" i="33" s="1"/>
  <c r="F17" i="33"/>
  <c r="S17" i="33" s="1"/>
  <c r="J23" i="21"/>
  <c r="W23" i="21" s="1"/>
  <c r="H23" i="21"/>
  <c r="U23" i="21" s="1"/>
  <c r="AP7" i="1"/>
  <c r="J11" i="37"/>
  <c r="AC11" i="37" s="1"/>
  <c r="J11" i="34"/>
  <c r="W11" i="34" s="1"/>
  <c r="W25" i="33"/>
  <c r="AC25"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9" i="76"/>
  <c r="B10" i="76"/>
  <c r="F3" i="73"/>
  <c r="E7" i="76"/>
  <c r="E12" i="76"/>
  <c r="E10" i="76"/>
  <c r="E2" i="69"/>
  <c r="B9" i="76"/>
  <c r="E13" i="76"/>
  <c r="E8" i="76"/>
  <c r="F36" i="15"/>
  <c r="F16" i="15"/>
  <c r="F26" i="15"/>
  <c r="M6" i="15"/>
  <c r="E2" i="68"/>
  <c r="F42" i="15"/>
  <c r="J15" i="15"/>
  <c r="F37" i="15"/>
  <c r="F4" i="73"/>
  <c r="F8" i="15"/>
  <c r="L47" i="15"/>
  <c r="B11" i="76"/>
  <c r="F7" i="73"/>
  <c r="M24" i="15"/>
  <c r="AO13" i="1"/>
  <c r="F20" i="31"/>
  <c r="F6" i="73"/>
  <c r="M8" i="15"/>
  <c r="B7" i="76"/>
  <c r="F5" i="73"/>
  <c r="M29" i="15"/>
  <c r="B8" i="76"/>
  <c r="B13" i="76"/>
  <c r="B12" i="76"/>
  <c r="E11" i="76"/>
  <c r="C76" i="15"/>
  <c r="D6" i="73"/>
  <c r="F43" i="15"/>
  <c r="AB14" i="39" l="1"/>
  <c r="U14" i="39"/>
  <c r="S47" i="34"/>
  <c r="AA47" i="34"/>
  <c r="AB34" i="35"/>
  <c r="U34" i="35"/>
  <c r="AB9" i="33"/>
  <c r="U9" i="33"/>
  <c r="AZ511" i="3"/>
  <c r="AZ561" i="3"/>
  <c r="G586" i="3"/>
  <c r="W23" i="37"/>
  <c r="W17" i="33"/>
  <c r="J27" i="33"/>
  <c r="W35" i="33"/>
  <c r="B69" i="43"/>
  <c r="C21" i="40"/>
  <c r="J32" i="21"/>
  <c r="W32" i="21" s="1"/>
  <c r="F13" i="21"/>
  <c r="AA13" i="21" s="1"/>
  <c r="AA31" i="34"/>
  <c r="W35" i="35"/>
  <c r="W22" i="36"/>
  <c r="U15" i="40"/>
  <c r="S13" i="40"/>
  <c r="S37" i="40"/>
  <c r="J15" i="21"/>
  <c r="W15" i="21" s="1"/>
  <c r="S39" i="33"/>
  <c r="S13" i="34"/>
  <c r="U28" i="34"/>
  <c r="U39" i="34"/>
  <c r="S32" i="35"/>
  <c r="W28" i="37"/>
  <c r="F20" i="36"/>
  <c r="AA20" i="36" s="1"/>
  <c r="E96" i="39"/>
  <c r="F96" i="39" s="1"/>
  <c r="G96" i="39" s="1"/>
  <c r="J20" i="36"/>
  <c r="W20" i="36" s="1"/>
  <c r="AC17" i="34"/>
  <c r="U13" i="37"/>
  <c r="AZ391" i="3"/>
  <c r="AZ380" i="3"/>
  <c r="AZ357" i="3"/>
  <c r="AZ356" i="3"/>
  <c r="AZ344" i="3"/>
  <c r="AZ329" i="3"/>
  <c r="AA41" i="39"/>
  <c r="U11" i="33"/>
  <c r="W47" i="34"/>
  <c r="AB24" i="35"/>
  <c r="U32" i="33"/>
  <c r="BL547" i="3"/>
  <c r="BL563" i="3"/>
  <c r="AZ563" i="3" s="1"/>
  <c r="BL557" i="3"/>
  <c r="U46" i="33"/>
  <c r="F13" i="35"/>
  <c r="F45" i="34"/>
  <c r="AC31" i="34"/>
  <c r="J29" i="34"/>
  <c r="J44" i="33"/>
  <c r="S14" i="33"/>
  <c r="AC40" i="37"/>
  <c r="U29" i="33"/>
  <c r="U34" i="34"/>
  <c r="H35" i="21"/>
  <c r="AB35" i="21" s="1"/>
  <c r="J9" i="36"/>
  <c r="J23" i="39"/>
  <c r="AC23" i="39" s="1"/>
  <c r="J31" i="40"/>
  <c r="G582" i="3"/>
  <c r="G552" i="3"/>
  <c r="BL551" i="3"/>
  <c r="S25" i="33"/>
  <c r="AA12" i="33"/>
  <c r="AC34" i="33"/>
  <c r="F32" i="67"/>
  <c r="F60" i="67" s="1"/>
  <c r="S17" i="21"/>
  <c r="W29" i="21"/>
  <c r="AC19" i="21"/>
  <c r="U38" i="34"/>
  <c r="AB47" i="34"/>
  <c r="U19" i="34"/>
  <c r="U19" i="37"/>
  <c r="W36" i="37"/>
  <c r="W28" i="40"/>
  <c r="U32" i="40"/>
  <c r="AA29" i="34"/>
  <c r="AC42" i="34"/>
  <c r="AB31" i="37"/>
  <c r="U22" i="35"/>
  <c r="U37" i="39"/>
  <c r="U30" i="33"/>
  <c r="H23" i="39"/>
  <c r="U23" i="39" s="1"/>
  <c r="F20" i="35"/>
  <c r="AA12" i="40"/>
  <c r="AZ338" i="3"/>
  <c r="AZ327" i="3"/>
  <c r="AZ371" i="3"/>
  <c r="AZ342" i="3"/>
  <c r="AZ310" i="3"/>
  <c r="AZ305" i="3"/>
  <c r="J11" i="39"/>
  <c r="W11" i="39" s="1"/>
  <c r="AA13" i="33"/>
  <c r="F24" i="35"/>
  <c r="BL517" i="3"/>
  <c r="BL529" i="3"/>
  <c r="BL559" i="3"/>
  <c r="H17" i="21"/>
  <c r="AB17" i="21" s="1"/>
  <c r="J27" i="37"/>
  <c r="F38" i="37"/>
  <c r="H45" i="34"/>
  <c r="U45" i="34" s="1"/>
  <c r="J46" i="33"/>
  <c r="J30" i="33"/>
  <c r="W30" i="33" s="1"/>
  <c r="H14" i="33"/>
  <c r="F27" i="33"/>
  <c r="AA27" i="33" s="1"/>
  <c r="AA44" i="34"/>
  <c r="S38" i="33"/>
  <c r="J34" i="36"/>
  <c r="W34" i="36" s="1"/>
  <c r="H11" i="39"/>
  <c r="AB11" i="39" s="1"/>
  <c r="S34" i="39"/>
  <c r="U30" i="37"/>
  <c r="E31" i="71"/>
  <c r="E32" i="71" s="1"/>
  <c r="U32" i="71" s="1"/>
  <c r="G583" i="3"/>
  <c r="G581" i="3"/>
  <c r="G580" i="3"/>
  <c r="G579" i="3"/>
  <c r="G572" i="3"/>
  <c r="G571" i="3"/>
  <c r="G401" i="3"/>
  <c r="BL401" i="3"/>
  <c r="BL404" i="3"/>
  <c r="BL405" i="3"/>
  <c r="BA407" i="3"/>
  <c r="AZ407" i="3" s="1"/>
  <c r="BL407" i="3"/>
  <c r="G414" i="3"/>
  <c r="BA414" i="3"/>
  <c r="BA415" i="3"/>
  <c r="BA416" i="3"/>
  <c r="AZ416" i="3" s="1"/>
  <c r="G424" i="3"/>
  <c r="BA424" i="3"/>
  <c r="G459" i="3"/>
  <c r="BA469" i="3"/>
  <c r="BL359" i="3"/>
  <c r="AZ359" i="3" s="1"/>
  <c r="G364" i="3"/>
  <c r="BL381" i="3"/>
  <c r="AZ381" i="3" s="1"/>
  <c r="BA385" i="3"/>
  <c r="G392" i="3"/>
  <c r="BA395" i="3"/>
  <c r="AZ395" i="3" s="1"/>
  <c r="G212" i="3"/>
  <c r="G213" i="3"/>
  <c r="BL213" i="3"/>
  <c r="G216" i="3"/>
  <c r="BL233" i="3"/>
  <c r="BA242" i="3"/>
  <c r="AZ242" i="3" s="1"/>
  <c r="BA250" i="3"/>
  <c r="BL252" i="3"/>
  <c r="BA255" i="3"/>
  <c r="BL255" i="3"/>
  <c r="BL272" i="3"/>
  <c r="BA278" i="3"/>
  <c r="AZ278" i="3" s="1"/>
  <c r="G281" i="3"/>
  <c r="G116" i="3"/>
  <c r="BA132" i="3"/>
  <c r="AZ132" i="3" s="1"/>
  <c r="BL197" i="3"/>
  <c r="G203" i="3"/>
  <c r="BL205" i="3"/>
  <c r="BA22" i="3"/>
  <c r="BA50" i="3"/>
  <c r="G63" i="3"/>
  <c r="BA77" i="3"/>
  <c r="W18" i="36"/>
  <c r="S25" i="40"/>
  <c r="B22" i="71"/>
  <c r="B21" i="71" s="1"/>
  <c r="B20" i="71" s="1"/>
  <c r="BL399" i="3"/>
  <c r="BL412" i="3"/>
  <c r="G432" i="3"/>
  <c r="BL458" i="3"/>
  <c r="BL465" i="3"/>
  <c r="BA485" i="3"/>
  <c r="BL488" i="3"/>
  <c r="BA319" i="3"/>
  <c r="AZ319" i="3" s="1"/>
  <c r="BL350" i="3"/>
  <c r="BL211" i="3"/>
  <c r="BA225" i="3"/>
  <c r="BA227" i="3"/>
  <c r="AZ227" i="3" s="1"/>
  <c r="BA231" i="3"/>
  <c r="BA248" i="3"/>
  <c r="BL280" i="3"/>
  <c r="BA288" i="3"/>
  <c r="BA293" i="3"/>
  <c r="BL298" i="3"/>
  <c r="BA301" i="3"/>
  <c r="BL135" i="3"/>
  <c r="AZ135" i="3" s="1"/>
  <c r="BL186" i="3"/>
  <c r="BA53" i="3"/>
  <c r="BA54" i="3"/>
  <c r="BA72" i="3"/>
  <c r="BL73" i="3"/>
  <c r="BA74" i="3"/>
  <c r="BA97" i="3"/>
  <c r="G103" i="3"/>
  <c r="BA103" i="3"/>
  <c r="P67" i="71"/>
  <c r="T68" i="71"/>
  <c r="X25" i="71"/>
  <c r="AB26" i="71"/>
  <c r="C23" i="71"/>
  <c r="BA549" i="3"/>
  <c r="BA548" i="3"/>
  <c r="BA547" i="3"/>
  <c r="BL546" i="3"/>
  <c r="BA546" i="3"/>
  <c r="G546" i="3"/>
  <c r="BL545" i="3"/>
  <c r="G545" i="3"/>
  <c r="BL544" i="3"/>
  <c r="AZ544" i="3" s="1"/>
  <c r="BA543" i="3"/>
  <c r="BL542" i="3"/>
  <c r="BA542" i="3"/>
  <c r="BL541" i="3"/>
  <c r="BA541" i="3"/>
  <c r="BL540" i="3"/>
  <c r="AZ540" i="3" s="1"/>
  <c r="BA540" i="3"/>
  <c r="BA539" i="3"/>
  <c r="BL538" i="3"/>
  <c r="AZ538" i="3" s="1"/>
  <c r="G538" i="3"/>
  <c r="G537" i="3"/>
  <c r="BA536" i="3"/>
  <c r="AZ536" i="3" s="1"/>
  <c r="BA535" i="3"/>
  <c r="BA534" i="3"/>
  <c r="AZ534" i="3" s="1"/>
  <c r="BA533" i="3"/>
  <c r="BL532" i="3"/>
  <c r="BA531" i="3"/>
  <c r="BL530" i="3"/>
  <c r="BA530" i="3"/>
  <c r="G530" i="3"/>
  <c r="G529" i="3"/>
  <c r="BA528" i="3"/>
  <c r="AZ528" i="3" s="1"/>
  <c r="BA527" i="3"/>
  <c r="BL526" i="3"/>
  <c r="BA526" i="3"/>
  <c r="BA525" i="3"/>
  <c r="BL524" i="3"/>
  <c r="BA523" i="3"/>
  <c r="G523" i="3"/>
  <c r="BL522" i="3"/>
  <c r="BA522" i="3"/>
  <c r="BA521" i="3"/>
  <c r="BL520" i="3"/>
  <c r="BA520" i="3"/>
  <c r="BL518" i="3"/>
  <c r="BA518" i="3"/>
  <c r="BA517" i="3"/>
  <c r="G517" i="3"/>
  <c r="G516" i="3"/>
  <c r="BA515" i="3"/>
  <c r="BA514" i="3"/>
  <c r="AZ514" i="3" s="1"/>
  <c r="BL513" i="3"/>
  <c r="BA513" i="3"/>
  <c r="BL512" i="3"/>
  <c r="BA512" i="3"/>
  <c r="BL510" i="3"/>
  <c r="BA510" i="3"/>
  <c r="BA509" i="3"/>
  <c r="G509" i="3"/>
  <c r="BA508" i="3"/>
  <c r="AZ508" i="3" s="1"/>
  <c r="G508" i="3"/>
  <c r="BA507" i="3"/>
  <c r="BL506" i="3"/>
  <c r="BA506" i="3"/>
  <c r="BA505" i="3"/>
  <c r="BL504" i="3"/>
  <c r="BA504" i="3"/>
  <c r="BA503" i="3"/>
  <c r="G503" i="3"/>
  <c r="BL502" i="3"/>
  <c r="BA502" i="3"/>
  <c r="G502" i="3"/>
  <c r="BL500" i="3"/>
  <c r="BA500" i="3"/>
  <c r="BL499" i="3"/>
  <c r="AZ499" i="3" s="1"/>
  <c r="BA499" i="3"/>
  <c r="BA498" i="3"/>
  <c r="AZ498" i="3" s="1"/>
  <c r="BA497" i="3"/>
  <c r="BA496" i="3"/>
  <c r="AZ496" i="3" s="1"/>
  <c r="BA495" i="3"/>
  <c r="G495" i="3"/>
  <c r="BL494" i="3"/>
  <c r="BA494" i="3"/>
  <c r="G494" i="3"/>
  <c r="G493" i="3"/>
  <c r="K7" i="1"/>
  <c r="M7" i="1" s="1"/>
  <c r="O7" i="1" s="1"/>
  <c r="P7" i="1" s="1"/>
  <c r="G398" i="3"/>
  <c r="G411" i="3"/>
  <c r="G415" i="3"/>
  <c r="BL419" i="3"/>
  <c r="G431" i="3"/>
  <c r="BL433" i="3"/>
  <c r="G435" i="3"/>
  <c r="BA437" i="3"/>
  <c r="AZ437" i="3" s="1"/>
  <c r="BL437" i="3"/>
  <c r="G439" i="3"/>
  <c r="G440" i="3"/>
  <c r="BL443" i="3"/>
  <c r="BA444" i="3"/>
  <c r="BL447" i="3"/>
  <c r="BL451" i="3"/>
  <c r="G452" i="3"/>
  <c r="BL455" i="3"/>
  <c r="G456" i="3"/>
  <c r="G474" i="3"/>
  <c r="BA476" i="3"/>
  <c r="AZ476" i="3" s="1"/>
  <c r="BL476" i="3"/>
  <c r="BL477" i="3"/>
  <c r="BL478" i="3"/>
  <c r="G479" i="3"/>
  <c r="BL484" i="3"/>
  <c r="BL490" i="3"/>
  <c r="G491" i="3"/>
  <c r="G329" i="3"/>
  <c r="G349" i="3"/>
  <c r="G374" i="3"/>
  <c r="G387" i="3"/>
  <c r="BL208" i="3"/>
  <c r="G210" i="3"/>
  <c r="G214" i="3"/>
  <c r="G215" i="3"/>
  <c r="G223" i="3"/>
  <c r="G232" i="3"/>
  <c r="BL237" i="3"/>
  <c r="G241" i="3"/>
  <c r="G246" i="3"/>
  <c r="G263" i="3"/>
  <c r="BL267" i="3"/>
  <c r="G269" i="3"/>
  <c r="BA270" i="3"/>
  <c r="G273" i="3"/>
  <c r="G279" i="3"/>
  <c r="G282" i="3"/>
  <c r="G294" i="3"/>
  <c r="BL295" i="3"/>
  <c r="G135" i="3"/>
  <c r="BA177" i="3"/>
  <c r="G184" i="3"/>
  <c r="G188" i="3"/>
  <c r="G44" i="3"/>
  <c r="G51" i="3"/>
  <c r="BA67" i="3"/>
  <c r="G68" i="3"/>
  <c r="BL68" i="3"/>
  <c r="BA69" i="3"/>
  <c r="BA92" i="3"/>
  <c r="BA94" i="3"/>
  <c r="C40" i="68"/>
  <c r="C21" i="68"/>
  <c r="AA21" i="33"/>
  <c r="C78" i="71"/>
  <c r="D78" i="71" s="1"/>
  <c r="D80" i="71"/>
  <c r="AA37" i="71"/>
  <c r="C63" i="71"/>
  <c r="U72" i="71"/>
  <c r="F75" i="71"/>
  <c r="F74" i="71" s="1"/>
  <c r="U76" i="71"/>
  <c r="B79" i="71"/>
  <c r="B78" i="71" s="1"/>
  <c r="H80" i="80"/>
  <c r="G80" i="80" s="1"/>
  <c r="U38" i="39"/>
  <c r="G18" i="3"/>
  <c r="G26" i="3"/>
  <c r="E7" i="12"/>
  <c r="D3" i="36"/>
  <c r="U27" i="33"/>
  <c r="AB27" i="33"/>
  <c r="AZ546" i="3"/>
  <c r="AZ542" i="3"/>
  <c r="AZ530" i="3"/>
  <c r="AZ520" i="3"/>
  <c r="AZ513" i="3"/>
  <c r="AZ512" i="3"/>
  <c r="AZ510" i="3"/>
  <c r="AZ506" i="3"/>
  <c r="AZ504" i="3"/>
  <c r="AZ494" i="3"/>
  <c r="AB13" i="39"/>
  <c r="U13" i="39"/>
  <c r="C46" i="36"/>
  <c r="D46" i="36" s="1"/>
  <c r="E46" i="36" s="1"/>
  <c r="F46" i="36" s="1"/>
  <c r="G46" i="36" s="1"/>
  <c r="H46" i="36" s="1"/>
  <c r="I46" i="36" s="1"/>
  <c r="E7" i="36"/>
  <c r="G7" i="36" s="1"/>
  <c r="I7" i="36" s="1"/>
  <c r="AZ532" i="3"/>
  <c r="U32" i="39"/>
  <c r="AA23" i="37"/>
  <c r="U29" i="34"/>
  <c r="D120" i="9"/>
  <c r="S32" i="37"/>
  <c r="AC30" i="35"/>
  <c r="BL497" i="3"/>
  <c r="BL503" i="3"/>
  <c r="AZ503" i="3" s="1"/>
  <c r="BL533" i="3"/>
  <c r="AZ533" i="3" s="1"/>
  <c r="BL539" i="3"/>
  <c r="AZ557" i="3"/>
  <c r="AB46" i="34"/>
  <c r="J13" i="39"/>
  <c r="W13" i="39" s="1"/>
  <c r="AB23" i="34"/>
  <c r="E64" i="36"/>
  <c r="H16" i="36"/>
  <c r="AB16" i="36" s="1"/>
  <c r="BA583" i="3"/>
  <c r="BA575" i="3"/>
  <c r="G556" i="3"/>
  <c r="AZ521" i="3"/>
  <c r="AA23" i="21"/>
  <c r="AC30" i="33"/>
  <c r="AB36" i="34"/>
  <c r="AB17" i="40"/>
  <c r="AC39" i="34"/>
  <c r="AC13" i="37"/>
  <c r="AC13" i="34"/>
  <c r="AZ493" i="3"/>
  <c r="AZ355" i="3"/>
  <c r="U19" i="33"/>
  <c r="AA19" i="37"/>
  <c r="F28" i="15"/>
  <c r="F28" i="67"/>
  <c r="B58" i="43"/>
  <c r="W9" i="33"/>
  <c r="U38" i="37"/>
  <c r="S27" i="37"/>
  <c r="U32" i="36"/>
  <c r="S14" i="39"/>
  <c r="S27" i="33"/>
  <c r="U27" i="34"/>
  <c r="S36" i="37"/>
  <c r="U29" i="37"/>
  <c r="U21" i="40"/>
  <c r="AA34" i="33"/>
  <c r="J39" i="39"/>
  <c r="AC39" i="39" s="1"/>
  <c r="AZ387" i="3"/>
  <c r="AZ369" i="3"/>
  <c r="AZ364" i="3"/>
  <c r="AZ378" i="3"/>
  <c r="AZ360" i="3"/>
  <c r="AC31" i="33"/>
  <c r="BL505" i="3"/>
  <c r="AZ505" i="3" s="1"/>
  <c r="BL515" i="3"/>
  <c r="BL527" i="3"/>
  <c r="AZ527" i="3" s="1"/>
  <c r="BL535" i="3"/>
  <c r="AZ535" i="3" s="1"/>
  <c r="F13" i="39"/>
  <c r="AC11" i="35"/>
  <c r="H46" i="21"/>
  <c r="U46" i="21" s="1"/>
  <c r="U17" i="34"/>
  <c r="J45" i="21"/>
  <c r="F45" i="21"/>
  <c r="AA45" i="21" s="1"/>
  <c r="B101" i="43"/>
  <c r="C25" i="39"/>
  <c r="AB39" i="40"/>
  <c r="U39" i="40"/>
  <c r="W12" i="40"/>
  <c r="AC12" i="40"/>
  <c r="J38" i="40"/>
  <c r="F38" i="40"/>
  <c r="H38" i="40"/>
  <c r="AC14" i="21"/>
  <c r="AB42" i="21"/>
  <c r="AB45" i="34"/>
  <c r="W19" i="34"/>
  <c r="AA13" i="36"/>
  <c r="U15" i="34"/>
  <c r="W41" i="34"/>
  <c r="U32" i="37"/>
  <c r="U19" i="39"/>
  <c r="AA19" i="40"/>
  <c r="AZ379" i="3"/>
  <c r="AZ389" i="3"/>
  <c r="AZ304" i="3"/>
  <c r="AZ325" i="3"/>
  <c r="BL501" i="3"/>
  <c r="AZ501" i="3" s="1"/>
  <c r="BL509" i="3"/>
  <c r="AZ509" i="3" s="1"/>
  <c r="BL519" i="3"/>
  <c r="AZ519" i="3" s="1"/>
  <c r="BL525" i="3"/>
  <c r="AZ525" i="3" s="1"/>
  <c r="BL531" i="3"/>
  <c r="BL543" i="3"/>
  <c r="AZ543" i="3" s="1"/>
  <c r="AZ559" i="3"/>
  <c r="AZ554" i="3"/>
  <c r="J13" i="36"/>
  <c r="F64" i="35"/>
  <c r="G64" i="35" s="1"/>
  <c r="J14" i="35"/>
  <c r="W14" i="35" s="1"/>
  <c r="BO5" i="3"/>
  <c r="G566" i="3"/>
  <c r="G558" i="3"/>
  <c r="BA17" i="3"/>
  <c r="BA14" i="3"/>
  <c r="AZ14" i="3" s="1"/>
  <c r="A15" i="62"/>
  <c r="B61" i="72" s="1"/>
  <c r="BA398" i="3"/>
  <c r="BA399" i="3"/>
  <c r="AZ399" i="3" s="1"/>
  <c r="BL402" i="3"/>
  <c r="BL406" i="3"/>
  <c r="BA410" i="3"/>
  <c r="BA412" i="3"/>
  <c r="AZ412" i="3" s="1"/>
  <c r="BA420" i="3"/>
  <c r="BL430" i="3"/>
  <c r="BL441" i="3"/>
  <c r="BL445" i="3"/>
  <c r="BL446" i="3"/>
  <c r="G451" i="3"/>
  <c r="BA451" i="3"/>
  <c r="BA452" i="3"/>
  <c r="BL462" i="3"/>
  <c r="BA464" i="3"/>
  <c r="W40" i="33"/>
  <c r="J28" i="34"/>
  <c r="F16" i="35"/>
  <c r="S34" i="40"/>
  <c r="U33" i="33"/>
  <c r="J45" i="39"/>
  <c r="W45" i="39" s="1"/>
  <c r="AB41" i="21"/>
  <c r="J35" i="21"/>
  <c r="G536" i="3"/>
  <c r="G528" i="3"/>
  <c r="G514" i="3"/>
  <c r="G500" i="3"/>
  <c r="BA15" i="3"/>
  <c r="BL409" i="3"/>
  <c r="G412" i="3"/>
  <c r="BA419" i="3"/>
  <c r="AZ419" i="3" s="1"/>
  <c r="G422" i="3"/>
  <c r="G425" i="3"/>
  <c r="BA425" i="3"/>
  <c r="BA426" i="3"/>
  <c r="BA427" i="3"/>
  <c r="AZ427" i="3" s="1"/>
  <c r="BL440" i="3"/>
  <c r="G444" i="3"/>
  <c r="G453" i="3"/>
  <c r="BL456" i="3"/>
  <c r="G463" i="3"/>
  <c r="BA463" i="3"/>
  <c r="G466" i="3"/>
  <c r="G467" i="3"/>
  <c r="BL467" i="3"/>
  <c r="BA470" i="3"/>
  <c r="BA486" i="3"/>
  <c r="G489" i="3"/>
  <c r="BP5" i="3"/>
  <c r="BL16" i="3"/>
  <c r="BA400" i="3"/>
  <c r="G403" i="3"/>
  <c r="G407" i="3"/>
  <c r="BA413" i="3"/>
  <c r="G418" i="3"/>
  <c r="G421" i="3"/>
  <c r="BA421" i="3"/>
  <c r="BA423" i="3"/>
  <c r="AZ423" i="3" s="1"/>
  <c r="G426" i="3"/>
  <c r="BA431" i="3"/>
  <c r="BA433" i="3"/>
  <c r="AZ433" i="3" s="1"/>
  <c r="BA435" i="3"/>
  <c r="BA443" i="3"/>
  <c r="G447" i="3"/>
  <c r="BA458" i="3"/>
  <c r="BA462" i="3"/>
  <c r="AZ462" i="3" s="1"/>
  <c r="BA473" i="3"/>
  <c r="BL308" i="3"/>
  <c r="AZ308" i="3" s="1"/>
  <c r="BL316" i="3"/>
  <c r="BL340" i="3"/>
  <c r="AZ340" i="3" s="1"/>
  <c r="BL346" i="3"/>
  <c r="AZ346" i="3" s="1"/>
  <c r="G380" i="3"/>
  <c r="G384" i="3"/>
  <c r="BA384" i="3"/>
  <c r="AZ384" i="3" s="1"/>
  <c r="BA392" i="3"/>
  <c r="AZ392" i="3" s="1"/>
  <c r="G397" i="3"/>
  <c r="BA212" i="3"/>
  <c r="G217" i="3"/>
  <c r="BA217" i="3"/>
  <c r="BL219" i="3"/>
  <c r="G220" i="3"/>
  <c r="G227" i="3"/>
  <c r="BA229" i="3"/>
  <c r="AZ229" i="3" s="1"/>
  <c r="BL229" i="3"/>
  <c r="BL231" i="3"/>
  <c r="G233" i="3"/>
  <c r="BA240" i="3"/>
  <c r="BL240" i="3"/>
  <c r="G244" i="3"/>
  <c r="G251" i="3"/>
  <c r="G261" i="3"/>
  <c r="BA265" i="3"/>
  <c r="BL265" i="3"/>
  <c r="G276" i="3"/>
  <c r="BA280" i="3"/>
  <c r="AZ280" i="3" s="1"/>
  <c r="BA480" i="3"/>
  <c r="BL480" i="3"/>
  <c r="BA483" i="3"/>
  <c r="BL483" i="3"/>
  <c r="BL487" i="3"/>
  <c r="BA315" i="3"/>
  <c r="AZ315" i="3" s="1"/>
  <c r="BA331" i="3"/>
  <c r="AZ331" i="3" s="1"/>
  <c r="BA333" i="3"/>
  <c r="BL367" i="3"/>
  <c r="BL383" i="3"/>
  <c r="AZ383" i="3" s="1"/>
  <c r="BA211" i="3"/>
  <c r="AZ211" i="3" s="1"/>
  <c r="BL224" i="3"/>
  <c r="BA228" i="3"/>
  <c r="BL230" i="3"/>
  <c r="BA235" i="3"/>
  <c r="BA237" i="3"/>
  <c r="AZ237" i="3" s="1"/>
  <c r="G448" i="3"/>
  <c r="G449" i="3"/>
  <c r="BL449" i="3"/>
  <c r="BL450" i="3"/>
  <c r="BL452" i="3"/>
  <c r="G454" i="3"/>
  <c r="G455" i="3"/>
  <c r="BA456" i="3"/>
  <c r="G460" i="3"/>
  <c r="G464" i="3"/>
  <c r="BL469" i="3"/>
  <c r="G472" i="3"/>
  <c r="G473" i="3"/>
  <c r="BL479" i="3"/>
  <c r="G480" i="3"/>
  <c r="G485" i="3"/>
  <c r="BA487" i="3"/>
  <c r="AZ487" i="3" s="1"/>
  <c r="BA489" i="3"/>
  <c r="BL489" i="3"/>
  <c r="BL491" i="3"/>
  <c r="BL492" i="3"/>
  <c r="G307" i="3"/>
  <c r="G311" i="3"/>
  <c r="G315" i="3"/>
  <c r="G323" i="3"/>
  <c r="G339" i="3"/>
  <c r="G343" i="3"/>
  <c r="G347" i="3"/>
  <c r="G351" i="3"/>
  <c r="G382" i="3"/>
  <c r="BL386" i="3"/>
  <c r="BA208" i="3"/>
  <c r="AZ208" i="3" s="1"/>
  <c r="BA214" i="3"/>
  <c r="BA216" i="3"/>
  <c r="AZ216" i="3" s="1"/>
  <c r="G218" i="3"/>
  <c r="BA220" i="3"/>
  <c r="BL222" i="3"/>
  <c r="BL223" i="3"/>
  <c r="G224" i="3"/>
  <c r="G226" i="3"/>
  <c r="BA233" i="3"/>
  <c r="AZ233" i="3" s="1"/>
  <c r="BL235" i="3"/>
  <c r="BL236" i="3"/>
  <c r="G237" i="3"/>
  <c r="G239" i="3"/>
  <c r="BA245" i="3"/>
  <c r="BL245" i="3"/>
  <c r="G247" i="3"/>
  <c r="G253" i="3"/>
  <c r="BA257" i="3"/>
  <c r="BL257" i="3"/>
  <c r="BL258" i="3"/>
  <c r="G259" i="3"/>
  <c r="BA260" i="3"/>
  <c r="BA262" i="3"/>
  <c r="AZ262" i="3" s="1"/>
  <c r="G270" i="3"/>
  <c r="BA275" i="3"/>
  <c r="BL283" i="3"/>
  <c r="BL284" i="3"/>
  <c r="G285" i="3"/>
  <c r="G291" i="3"/>
  <c r="BA291" i="3"/>
  <c r="BA133" i="3"/>
  <c r="BA145" i="3"/>
  <c r="Y35" i="71"/>
  <c r="Z35" i="71" s="1"/>
  <c r="G299" i="3"/>
  <c r="BL301" i="3"/>
  <c r="AZ301" i="3" s="1"/>
  <c r="BL302" i="3"/>
  <c r="BA114" i="3"/>
  <c r="BL122" i="3"/>
  <c r="BA128" i="3"/>
  <c r="AZ128" i="3" s="1"/>
  <c r="BL161" i="3"/>
  <c r="BL163" i="3"/>
  <c r="AZ163" i="3" s="1"/>
  <c r="BL169" i="3"/>
  <c r="BA184" i="3"/>
  <c r="AZ184" i="3" s="1"/>
  <c r="BL187" i="3"/>
  <c r="AZ187" i="3" s="1"/>
  <c r="BA189" i="3"/>
  <c r="BA194" i="3"/>
  <c r="BA202" i="3"/>
  <c r="BA207" i="3"/>
  <c r="BL20" i="3"/>
  <c r="BA21" i="3"/>
  <c r="BL24" i="3"/>
  <c r="BA30" i="3"/>
  <c r="G34" i="3"/>
  <c r="BL34" i="3"/>
  <c r="G52" i="3"/>
  <c r="BA52" i="3"/>
  <c r="G67" i="3"/>
  <c r="G72" i="3"/>
  <c r="BL76" i="3"/>
  <c r="G88" i="3"/>
  <c r="BA88" i="3"/>
  <c r="G92" i="3"/>
  <c r="BA95" i="3"/>
  <c r="BL100" i="3"/>
  <c r="G106" i="3"/>
  <c r="BA106" i="3"/>
  <c r="BL108" i="3"/>
  <c r="G1" i="69"/>
  <c r="AC21" i="33"/>
  <c r="AA27" i="71"/>
  <c r="E79" i="71"/>
  <c r="E78" i="71" s="1"/>
  <c r="Q68" i="71"/>
  <c r="Y28" i="71"/>
  <c r="Z28" i="71" s="1"/>
  <c r="AB28" i="71"/>
  <c r="C51" i="71"/>
  <c r="BL254" i="3"/>
  <c r="BL259" i="3"/>
  <c r="G262" i="3"/>
  <c r="G264" i="3"/>
  <c r="BL269" i="3"/>
  <c r="BA273" i="3"/>
  <c r="G277" i="3"/>
  <c r="BA283" i="3"/>
  <c r="G287" i="3"/>
  <c r="G288" i="3"/>
  <c r="BA290" i="3"/>
  <c r="G292" i="3"/>
  <c r="BL127" i="3"/>
  <c r="AZ127" i="3" s="1"/>
  <c r="G130" i="3"/>
  <c r="G144" i="3"/>
  <c r="BA146" i="3"/>
  <c r="BA150" i="3"/>
  <c r="BL158" i="3"/>
  <c r="G159" i="3"/>
  <c r="G163" i="3"/>
  <c r="G167" i="3"/>
  <c r="BA168" i="3"/>
  <c r="AZ168" i="3" s="1"/>
  <c r="G178" i="3"/>
  <c r="BL178" i="3"/>
  <c r="BL181" i="3"/>
  <c r="G182" i="3"/>
  <c r="BA188" i="3"/>
  <c r="AZ188" i="3" s="1"/>
  <c r="BL191" i="3"/>
  <c r="AZ191" i="3" s="1"/>
  <c r="G192" i="3"/>
  <c r="BL195" i="3"/>
  <c r="AZ195" i="3" s="1"/>
  <c r="BA201" i="3"/>
  <c r="BL23" i="3"/>
  <c r="BA25" i="3"/>
  <c r="BA26" i="3"/>
  <c r="G28" i="3"/>
  <c r="BL28" i="3"/>
  <c r="BA29" i="3"/>
  <c r="G32" i="3"/>
  <c r="G33" i="3"/>
  <c r="BA33" i="3"/>
  <c r="BA47" i="3"/>
  <c r="BL47" i="3"/>
  <c r="G49" i="3"/>
  <c r="G50" i="3"/>
  <c r="BA55" i="3"/>
  <c r="BA62" i="3"/>
  <c r="BL62" i="3"/>
  <c r="BL63" i="3"/>
  <c r="BL74" i="3"/>
  <c r="AZ74" i="3" s="1"/>
  <c r="BL75" i="3"/>
  <c r="BA87" i="3"/>
  <c r="BL99" i="3"/>
  <c r="BA105" i="3"/>
  <c r="BA109" i="3"/>
  <c r="P27" i="6"/>
  <c r="C67" i="71"/>
  <c r="C59" i="71"/>
  <c r="D50" i="71"/>
  <c r="X35" i="71"/>
  <c r="Y27" i="71"/>
  <c r="Z27" i="71" s="1"/>
  <c r="Y30" i="71"/>
  <c r="Z30" i="71" s="1"/>
  <c r="X32" i="71"/>
  <c r="E40" i="71"/>
  <c r="U40" i="71" s="1"/>
  <c r="B43" i="71"/>
  <c r="B44" i="71" s="1"/>
  <c r="S44" i="71" s="1"/>
  <c r="F67" i="71"/>
  <c r="F66" i="71" s="1"/>
  <c r="BA298" i="3"/>
  <c r="AZ298" i="3" s="1"/>
  <c r="G300" i="3"/>
  <c r="G123" i="3"/>
  <c r="BA134" i="3"/>
  <c r="BL134" i="3"/>
  <c r="BL137" i="3"/>
  <c r="G143" i="3"/>
  <c r="BA149" i="3"/>
  <c r="G152" i="3"/>
  <c r="G158" i="3"/>
  <c r="BL167" i="3"/>
  <c r="AZ167" i="3" s="1"/>
  <c r="G170" i="3"/>
  <c r="BL175" i="3"/>
  <c r="AZ175" i="3" s="1"/>
  <c r="G176" i="3"/>
  <c r="BL189" i="3"/>
  <c r="BL190" i="3"/>
  <c r="G191" i="3"/>
  <c r="G195" i="3"/>
  <c r="BL198" i="3"/>
  <c r="BL199" i="3"/>
  <c r="AZ199" i="3" s="1"/>
  <c r="BA200" i="3"/>
  <c r="AZ200" i="3" s="1"/>
  <c r="BL207" i="3"/>
  <c r="G31" i="3"/>
  <c r="BA40" i="3"/>
  <c r="BL44" i="3"/>
  <c r="BL52" i="3"/>
  <c r="BL57" i="3"/>
  <c r="G59" i="3"/>
  <c r="G62" i="3"/>
  <c r="BA70" i="3"/>
  <c r="G89" i="3"/>
  <c r="BA90" i="3"/>
  <c r="G99" i="3"/>
  <c r="BL103" i="3"/>
  <c r="BA104" i="3"/>
  <c r="G107" i="3"/>
  <c r="BL110" i="3"/>
  <c r="BL111" i="3"/>
  <c r="C40" i="69"/>
  <c r="C29" i="39"/>
  <c r="C82" i="71"/>
  <c r="D82" i="71" s="1"/>
  <c r="C39" i="71"/>
  <c r="C40" i="71" s="1"/>
  <c r="Y26" i="71"/>
  <c r="Z26" i="71" s="1"/>
  <c r="X34" i="71"/>
  <c r="S68" i="71"/>
  <c r="U35" i="21"/>
  <c r="S35" i="21"/>
  <c r="AA36" i="21"/>
  <c r="AC34" i="21"/>
  <c r="F46" i="21"/>
  <c r="AA46" i="21" s="1"/>
  <c r="AC40" i="21"/>
  <c r="BG5" i="3"/>
  <c r="BA13" i="3"/>
  <c r="D3" i="35"/>
  <c r="BA16" i="3"/>
  <c r="AZ16" i="3" s="1"/>
  <c r="BD5" i="3"/>
  <c r="A4" i="52"/>
  <c r="B41" i="72" s="1"/>
  <c r="A118" i="9"/>
  <c r="F14" i="36"/>
  <c r="AA14" i="36" s="1"/>
  <c r="H14" i="36"/>
  <c r="AB34" i="36"/>
  <c r="U34" i="36"/>
  <c r="F34" i="36"/>
  <c r="S34" i="36" s="1"/>
  <c r="AB28" i="36"/>
  <c r="U26" i="36"/>
  <c r="J23" i="36"/>
  <c r="F23" i="36"/>
  <c r="J11" i="36"/>
  <c r="AC11" i="36" s="1"/>
  <c r="W14" i="36"/>
  <c r="U25" i="36"/>
  <c r="AB20" i="36"/>
  <c r="U16" i="36"/>
  <c r="U13" i="36"/>
  <c r="AA26" i="36"/>
  <c r="S11" i="36"/>
  <c r="S18" i="36"/>
  <c r="S20" i="36"/>
  <c r="S16" i="36"/>
  <c r="F70" i="35"/>
  <c r="G70" i="35" s="1"/>
  <c r="J20" i="35"/>
  <c r="W20" i="35" s="1"/>
  <c r="U16" i="35"/>
  <c r="U31" i="35"/>
  <c r="AA29" i="35"/>
  <c r="W28" i="35"/>
  <c r="AB12" i="35"/>
  <c r="W22" i="35"/>
  <c r="S23" i="35"/>
  <c r="AB23" i="35"/>
  <c r="AC14" i="35"/>
  <c r="S14" i="35"/>
  <c r="AC18" i="35"/>
  <c r="AC31" i="35"/>
  <c r="W24" i="35"/>
  <c r="AB20" i="35"/>
  <c r="U28" i="35"/>
  <c r="AB14" i="35"/>
  <c r="U25" i="35"/>
  <c r="U36" i="35"/>
  <c r="AA33" i="35"/>
  <c r="AB38" i="21"/>
  <c r="H113" i="21"/>
  <c r="J37" i="21"/>
  <c r="W37" i="21" s="1"/>
  <c r="H37" i="21"/>
  <c r="U37" i="21" s="1"/>
  <c r="F37" i="21"/>
  <c r="AA37" i="21" s="1"/>
  <c r="U34" i="21"/>
  <c r="AB32" i="21"/>
  <c r="H15" i="21"/>
  <c r="U15" i="21" s="1"/>
  <c r="AC15" i="21"/>
  <c r="U17" i="21"/>
  <c r="S39" i="21"/>
  <c r="S42" i="21"/>
  <c r="AB39" i="21"/>
  <c r="S32" i="21"/>
  <c r="W42" i="21"/>
  <c r="AC38" i="21"/>
  <c r="W36" i="21"/>
  <c r="U40" i="21"/>
  <c r="S40" i="21"/>
  <c r="AB45" i="21"/>
  <c r="S46" i="21"/>
  <c r="W21" i="21"/>
  <c r="W41" i="21"/>
  <c r="AC9" i="21"/>
  <c r="W39" i="21"/>
  <c r="W43" i="21"/>
  <c r="AB25" i="21"/>
  <c r="U43" i="21"/>
  <c r="U9" i="21"/>
  <c r="AB23" i="21"/>
  <c r="AA43" i="21"/>
  <c r="AA26" i="21"/>
  <c r="S13" i="21"/>
  <c r="H14" i="21"/>
  <c r="F14" i="21"/>
  <c r="AB27" i="21"/>
  <c r="U27" i="21"/>
  <c r="F31" i="21"/>
  <c r="AB29" i="21"/>
  <c r="U31" i="21"/>
  <c r="AC26" i="21"/>
  <c r="AA30" i="21"/>
  <c r="J31" i="21"/>
  <c r="AA25" i="21"/>
  <c r="AB12" i="39"/>
  <c r="AA43" i="39"/>
  <c r="S43" i="39"/>
  <c r="AC38" i="39"/>
  <c r="U41" i="39"/>
  <c r="U40" i="39"/>
  <c r="AA27" i="39"/>
  <c r="AB21" i="39"/>
  <c r="W9" i="39"/>
  <c r="U9" i="39"/>
  <c r="U11" i="39"/>
  <c r="W32" i="39"/>
  <c r="AB34" i="39"/>
  <c r="J31" i="39"/>
  <c r="F31" i="39"/>
  <c r="AA31" i="39" s="1"/>
  <c r="U31" i="39"/>
  <c r="W27" i="39"/>
  <c r="AB27" i="39"/>
  <c r="U25" i="39"/>
  <c r="AC25" i="39"/>
  <c r="W23" i="39"/>
  <c r="S21" i="39"/>
  <c r="W34" i="39"/>
  <c r="AC11" i="39"/>
  <c r="W40" i="39"/>
  <c r="W29" i="39"/>
  <c r="U35" i="39"/>
  <c r="AB39" i="39"/>
  <c r="U17" i="39"/>
  <c r="W19" i="39"/>
  <c r="S15" i="39"/>
  <c r="S8" i="39"/>
  <c r="AA45" i="39"/>
  <c r="S40" i="39"/>
  <c r="S38" i="39"/>
  <c r="D68" i="9"/>
  <c r="F30" i="69"/>
  <c r="F48" i="69" s="1"/>
  <c r="F31" i="12"/>
  <c r="M18" i="15"/>
  <c r="M18" i="67"/>
  <c r="F30" i="11"/>
  <c r="C48" i="11" s="1"/>
  <c r="C40" i="11"/>
  <c r="E19" i="11"/>
  <c r="D22" i="15"/>
  <c r="K1" i="12"/>
  <c r="G1" i="67"/>
  <c r="G1" i="68"/>
  <c r="G20" i="3"/>
  <c r="G16" i="3"/>
  <c r="G14" i="3"/>
  <c r="BT5" i="3"/>
  <c r="BL17" i="3"/>
  <c r="BM5" i="3"/>
  <c r="F29" i="6" s="1"/>
  <c r="G19" i="3"/>
  <c r="AZ17" i="3"/>
  <c r="BL13" i="3"/>
  <c r="BL18" i="3"/>
  <c r="BN5" i="3"/>
  <c r="G29" i="6" s="1"/>
  <c r="C17" i="40"/>
  <c r="AC23" i="21"/>
  <c r="AA20" i="35"/>
  <c r="S20" i="35"/>
  <c r="AZ522" i="3"/>
  <c r="S15" i="21"/>
  <c r="AA15" i="21"/>
  <c r="S13" i="37"/>
  <c r="AA13" i="37"/>
  <c r="S25" i="36"/>
  <c r="AA25" i="36"/>
  <c r="S25" i="35"/>
  <c r="AA25" i="35"/>
  <c r="AA17" i="40"/>
  <c r="S17" i="40"/>
  <c r="AC19" i="33"/>
  <c r="W19" i="33"/>
  <c r="BA587" i="3"/>
  <c r="J9" i="35"/>
  <c r="F9" i="35"/>
  <c r="S9" i="35" s="1"/>
  <c r="F24" i="36"/>
  <c r="J24" i="36"/>
  <c r="H14" i="37"/>
  <c r="AB14" i="37" s="1"/>
  <c r="J14" i="37"/>
  <c r="J39" i="37"/>
  <c r="F39" i="37"/>
  <c r="S39" i="37" s="1"/>
  <c r="H39" i="37"/>
  <c r="W17" i="21"/>
  <c r="AC13" i="39"/>
  <c r="AC33" i="34"/>
  <c r="W33" i="34"/>
  <c r="AA23" i="39"/>
  <c r="S23" i="39"/>
  <c r="W29" i="35"/>
  <c r="AC5" i="3"/>
  <c r="AB42" i="33"/>
  <c r="U42" i="33"/>
  <c r="AA31" i="40"/>
  <c r="S31" i="40"/>
  <c r="AZ497" i="3"/>
  <c r="AA14" i="40"/>
  <c r="S14" i="40"/>
  <c r="AA35" i="39"/>
  <c r="S35" i="39"/>
  <c r="AB32" i="35"/>
  <c r="U32" i="35"/>
  <c r="AB34" i="40"/>
  <c r="U34" i="40"/>
  <c r="AB38" i="40"/>
  <c r="U38" i="40"/>
  <c r="H14" i="40"/>
  <c r="J14" i="40"/>
  <c r="J33" i="40"/>
  <c r="F33" i="40"/>
  <c r="H33" i="40"/>
  <c r="AB34" i="33"/>
  <c r="AA39" i="39"/>
  <c r="AB36" i="33"/>
  <c r="W32" i="33"/>
  <c r="U41" i="33"/>
  <c r="AA17" i="33"/>
  <c r="S37" i="21"/>
  <c r="U14" i="34"/>
  <c r="S40" i="37"/>
  <c r="AC20" i="36"/>
  <c r="AA17" i="37"/>
  <c r="S17" i="37"/>
  <c r="U33" i="34"/>
  <c r="AB33" i="34"/>
  <c r="AA43" i="34"/>
  <c r="S43" i="34"/>
  <c r="S35" i="33"/>
  <c r="AA35" i="33"/>
  <c r="AA30" i="40"/>
  <c r="S27" i="40"/>
  <c r="U27" i="40"/>
  <c r="AZ306" i="3"/>
  <c r="AA24" i="35"/>
  <c r="S24" i="35"/>
  <c r="S22" i="36"/>
  <c r="AA22" i="36"/>
  <c r="BL577" i="3"/>
  <c r="AA14" i="37"/>
  <c r="S14" i="37"/>
  <c r="AA19" i="21"/>
  <c r="S19" i="21"/>
  <c r="H12" i="36"/>
  <c r="J12" i="36"/>
  <c r="F12" i="36"/>
  <c r="H44" i="39"/>
  <c r="J44" i="39"/>
  <c r="F44" i="39"/>
  <c r="AC31" i="40"/>
  <c r="W31" i="40"/>
  <c r="S40" i="34"/>
  <c r="AA40" i="34"/>
  <c r="W36" i="40"/>
  <c r="AC36" i="40"/>
  <c r="AB23" i="37"/>
  <c r="U23" i="37"/>
  <c r="AC13" i="35"/>
  <c r="W13" i="35"/>
  <c r="AB42" i="39"/>
  <c r="U42" i="39"/>
  <c r="AA19" i="39"/>
  <c r="S19" i="39"/>
  <c r="BL585" i="3"/>
  <c r="BA585" i="3"/>
  <c r="J28" i="21"/>
  <c r="H28" i="21"/>
  <c r="F28" i="21"/>
  <c r="F44" i="21"/>
  <c r="J44" i="21"/>
  <c r="H44" i="21"/>
  <c r="F26" i="33"/>
  <c r="H26" i="33"/>
  <c r="J26" i="33"/>
  <c r="AC28" i="36"/>
  <c r="W28" i="36"/>
  <c r="H33" i="36"/>
  <c r="J33" i="36"/>
  <c r="AC33" i="36" s="1"/>
  <c r="F33" i="36"/>
  <c r="AB31" i="36"/>
  <c r="U31" i="36"/>
  <c r="J12" i="39"/>
  <c r="F12" i="39"/>
  <c r="J36" i="39"/>
  <c r="AC36" i="39" s="1"/>
  <c r="F36" i="39"/>
  <c r="H36" i="39"/>
  <c r="BA584" i="3"/>
  <c r="AZ584" i="3" s="1"/>
  <c r="BL582" i="3"/>
  <c r="AZ582" i="3" s="1"/>
  <c r="BL581" i="3"/>
  <c r="BA581" i="3"/>
  <c r="BA580" i="3"/>
  <c r="BL579" i="3"/>
  <c r="BA579" i="3"/>
  <c r="BA578" i="3"/>
  <c r="BA577" i="3"/>
  <c r="BL576" i="3"/>
  <c r="BA576" i="3"/>
  <c r="BL575" i="3"/>
  <c r="AZ575" i="3" s="1"/>
  <c r="BL574" i="3"/>
  <c r="AZ574" i="3" s="1"/>
  <c r="BA573" i="3"/>
  <c r="BL572" i="3"/>
  <c r="BI5" i="3"/>
  <c r="BA572" i="3"/>
  <c r="BR5" i="3"/>
  <c r="BL571" i="3"/>
  <c r="BA571" i="3"/>
  <c r="BL570" i="3"/>
  <c r="BH5" i="3"/>
  <c r="BA570" i="3"/>
  <c r="G570" i="3"/>
  <c r="H5" i="3"/>
  <c r="BA569" i="3"/>
  <c r="BL568" i="3"/>
  <c r="BK5" i="3"/>
  <c r="BC5" i="3"/>
  <c r="BA568" i="3"/>
  <c r="AZ568" i="3" s="1"/>
  <c r="BS5" i="3"/>
  <c r="BL566" i="3"/>
  <c r="AZ566" i="3" s="1"/>
  <c r="BJ5" i="3"/>
  <c r="BB5" i="3"/>
  <c r="E5" i="6" s="1"/>
  <c r="D9" i="68" s="1"/>
  <c r="AZ313" i="3"/>
  <c r="AZ394" i="3"/>
  <c r="AZ531" i="3"/>
  <c r="BL573" i="3"/>
  <c r="BL583" i="3"/>
  <c r="AZ583" i="3" s="1"/>
  <c r="S14" i="34"/>
  <c r="AA14" i="34"/>
  <c r="H25" i="37"/>
  <c r="F25" i="37"/>
  <c r="U8" i="39"/>
  <c r="AB8" i="39"/>
  <c r="S9" i="40"/>
  <c r="AA9" i="40"/>
  <c r="AA31" i="35"/>
  <c r="S31" i="35"/>
  <c r="BL580" i="3"/>
  <c r="AZ345" i="3"/>
  <c r="AZ334" i="3"/>
  <c r="AZ372" i="3"/>
  <c r="AZ347" i="3"/>
  <c r="AZ337" i="3"/>
  <c r="AZ376" i="3"/>
  <c r="AZ309" i="3"/>
  <c r="AZ549" i="3"/>
  <c r="AA11" i="39"/>
  <c r="AC12" i="37"/>
  <c r="AC45" i="33"/>
  <c r="AZ515" i="3"/>
  <c r="AZ523" i="3"/>
  <c r="AZ547" i="3"/>
  <c r="BL569" i="3"/>
  <c r="AZ569" i="3" s="1"/>
  <c r="AZ516" i="3"/>
  <c r="AZ524" i="3"/>
  <c r="AB45" i="33"/>
  <c r="J30" i="21"/>
  <c r="H30" i="21"/>
  <c r="B75" i="43"/>
  <c r="J12" i="34"/>
  <c r="H12" i="34"/>
  <c r="J25" i="37"/>
  <c r="AB9" i="40"/>
  <c r="U9" i="40"/>
  <c r="AA36" i="35"/>
  <c r="AZ362" i="3"/>
  <c r="AZ390" i="3"/>
  <c r="AZ351" i="3"/>
  <c r="AZ336" i="3"/>
  <c r="AZ539" i="3"/>
  <c r="AZ529" i="3"/>
  <c r="AZ537" i="3"/>
  <c r="AZ518" i="3"/>
  <c r="AZ526" i="3"/>
  <c r="J13" i="21"/>
  <c r="AA28" i="34"/>
  <c r="S28" i="34"/>
  <c r="J27" i="21"/>
  <c r="F27" i="21"/>
  <c r="B72" i="43"/>
  <c r="C15" i="39"/>
  <c r="F9" i="34"/>
  <c r="AA9" i="34" s="1"/>
  <c r="J9" i="34"/>
  <c r="S44" i="33"/>
  <c r="AA44" i="33"/>
  <c r="J43" i="39"/>
  <c r="H43" i="39"/>
  <c r="U42" i="34"/>
  <c r="AB42" i="34"/>
  <c r="BL564" i="3"/>
  <c r="AZ564" i="3" s="1"/>
  <c r="G560" i="3"/>
  <c r="G551" i="3"/>
  <c r="BL550" i="3"/>
  <c r="G542" i="3"/>
  <c r="W33" i="33"/>
  <c r="G585" i="3"/>
  <c r="BL587" i="3"/>
  <c r="BL586" i="3"/>
  <c r="AZ586" i="3" s="1"/>
  <c r="G574" i="3"/>
  <c r="BA401" i="3"/>
  <c r="AZ401" i="3" s="1"/>
  <c r="BA404" i="3"/>
  <c r="AZ404" i="3" s="1"/>
  <c r="BA405" i="3"/>
  <c r="AZ405" i="3" s="1"/>
  <c r="AZ443" i="3"/>
  <c r="BA551" i="3"/>
  <c r="AZ551" i="3" s="1"/>
  <c r="BA550" i="3"/>
  <c r="BL548" i="3"/>
  <c r="AZ548" i="3" s="1"/>
  <c r="BL15" i="3"/>
  <c r="BA403" i="3"/>
  <c r="BA402" i="3"/>
  <c r="AZ402" i="3" s="1"/>
  <c r="BA406" i="3"/>
  <c r="AZ406" i="3" s="1"/>
  <c r="AZ451" i="3"/>
  <c r="AZ458" i="3"/>
  <c r="BL442" i="3"/>
  <c r="BL444" i="3"/>
  <c r="AZ444" i="3" s="1"/>
  <c r="G446" i="3"/>
  <c r="BL448" i="3"/>
  <c r="G450" i="3"/>
  <c r="BA454" i="3"/>
  <c r="BA457" i="3"/>
  <c r="BA459" i="3"/>
  <c r="BA460" i="3"/>
  <c r="BA461" i="3"/>
  <c r="BL464" i="3"/>
  <c r="BL466" i="3"/>
  <c r="AZ466" i="3" s="1"/>
  <c r="G468" i="3"/>
  <c r="AZ469" i="3"/>
  <c r="AZ483" i="3"/>
  <c r="BL215" i="3"/>
  <c r="BA222" i="3"/>
  <c r="AZ222" i="3" s="1"/>
  <c r="BA224" i="3"/>
  <c r="AZ224" i="3" s="1"/>
  <c r="BA226" i="3"/>
  <c r="G409" i="3"/>
  <c r="BL410" i="3"/>
  <c r="G419" i="3"/>
  <c r="BA422" i="3"/>
  <c r="G430" i="3"/>
  <c r="BL431" i="3"/>
  <c r="BL434" i="3"/>
  <c r="G437" i="3"/>
  <c r="BL438" i="3"/>
  <c r="BL439" i="3"/>
  <c r="BA441" i="3"/>
  <c r="AZ441" i="3" s="1"/>
  <c r="AZ448" i="3"/>
  <c r="AZ464" i="3"/>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BL238" i="3"/>
  <c r="BL243" i="3"/>
  <c r="BA247" i="3"/>
  <c r="BL247" i="3"/>
  <c r="BA249" i="3"/>
  <c r="BL249" i="3"/>
  <c r="BA251" i="3"/>
  <c r="BL251" i="3"/>
  <c r="BA253" i="3"/>
  <c r="BL260" i="3"/>
  <c r="BL263" i="3"/>
  <c r="BL270" i="3"/>
  <c r="AZ270" i="3" s="1"/>
  <c r="BA272" i="3"/>
  <c r="AZ272" i="3" s="1"/>
  <c r="BL275" i="3"/>
  <c r="AZ275" i="3" s="1"/>
  <c r="BL285" i="3"/>
  <c r="BL287" i="3"/>
  <c r="BA294" i="3"/>
  <c r="BL299" i="3"/>
  <c r="BL113" i="3"/>
  <c r="BL115" i="3"/>
  <c r="AZ115" i="3" s="1"/>
  <c r="BA118" i="3"/>
  <c r="BL118" i="3"/>
  <c r="BL123" i="3"/>
  <c r="AZ123" i="3" s="1"/>
  <c r="G128" i="3"/>
  <c r="BL146" i="3"/>
  <c r="AZ146" i="3" s="1"/>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BL264" i="3"/>
  <c r="BL266" i="3"/>
  <c r="BA268" i="3"/>
  <c r="BL273" i="3"/>
  <c r="AZ273" i="3" s="1"/>
  <c r="G274" i="3"/>
  <c r="BA277" i="3"/>
  <c r="BL277" i="3"/>
  <c r="BL289" i="3"/>
  <c r="G290" i="3"/>
  <c r="BL292" i="3"/>
  <c r="BL398" i="3"/>
  <c r="AZ398" i="3" s="1"/>
  <c r="G402" i="3"/>
  <c r="BL403" i="3"/>
  <c r="G405" i="3"/>
  <c r="G406" i="3"/>
  <c r="BA408" i="3"/>
  <c r="AZ408" i="3" s="1"/>
  <c r="BA409" i="3"/>
  <c r="AZ409" i="3" s="1"/>
  <c r="BA411" i="3"/>
  <c r="BL414" i="3"/>
  <c r="AZ414" i="3" s="1"/>
  <c r="BL415" i="3"/>
  <c r="AZ415" i="3" s="1"/>
  <c r="BA417" i="3"/>
  <c r="BL421" i="3"/>
  <c r="AZ421" i="3" s="1"/>
  <c r="BL422" i="3"/>
  <c r="BL425" i="3"/>
  <c r="AZ425" i="3" s="1"/>
  <c r="BL426" i="3"/>
  <c r="BA428" i="3"/>
  <c r="BA429" i="3"/>
  <c r="BA430" i="3"/>
  <c r="AZ430" i="3" s="1"/>
  <c r="BA432" i="3"/>
  <c r="BA434" i="3"/>
  <c r="BA436" i="3"/>
  <c r="BA438" i="3"/>
  <c r="G442" i="3"/>
  <c r="G443" i="3"/>
  <c r="BA446" i="3"/>
  <c r="BA450" i="3"/>
  <c r="BA453" i="3"/>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5" i="3"/>
  <c r="BA296" i="3"/>
  <c r="BA116" i="3"/>
  <c r="AZ116" i="3" s="1"/>
  <c r="BA120" i="3"/>
  <c r="AZ120" i="3" s="1"/>
  <c r="BA122" i="3"/>
  <c r="AZ122" i="3" s="1"/>
  <c r="BA125" i="3"/>
  <c r="BA180" i="3"/>
  <c r="AZ180" i="3" s="1"/>
  <c r="BL182" i="3"/>
  <c r="G183" i="3"/>
  <c r="BA185" i="3"/>
  <c r="BA193" i="3"/>
  <c r="BA196" i="3"/>
  <c r="AZ196" i="3" s="1"/>
  <c r="BA205" i="3"/>
  <c r="AZ205" i="3" s="1"/>
  <c r="AZ52" i="3"/>
  <c r="BA73" i="3"/>
  <c r="G78" i="3"/>
  <c r="G79" i="3"/>
  <c r="G81" i="3"/>
  <c r="G85" i="3"/>
  <c r="BL85" i="3"/>
  <c r="BA86" i="3"/>
  <c r="G93" i="3"/>
  <c r="B13" i="1"/>
  <c r="E13" i="1" s="1"/>
  <c r="K13" i="1"/>
  <c r="M13" i="1" s="1"/>
  <c r="O13" i="1" s="1"/>
  <c r="P13" i="1" s="1"/>
  <c r="C52" i="71"/>
  <c r="D51" i="71"/>
  <c r="C55" i="71"/>
  <c r="D54" i="71"/>
  <c r="V24" i="71"/>
  <c r="E23" i="71"/>
  <c r="E22" i="71" s="1"/>
  <c r="E21" i="71" s="1"/>
  <c r="E20" i="71" s="1"/>
  <c r="BL125" i="3"/>
  <c r="BL126" i="3"/>
  <c r="BA144" i="3"/>
  <c r="AZ144" i="3" s="1"/>
  <c r="BA153" i="3"/>
  <c r="BL155" i="3"/>
  <c r="AZ155" i="3" s="1"/>
  <c r="BA164" i="3"/>
  <c r="AZ164" i="3" s="1"/>
  <c r="BA166" i="3"/>
  <c r="AZ166" i="3" s="1"/>
  <c r="BA169" i="3"/>
  <c r="AZ169" i="3" s="1"/>
  <c r="BL171" i="3"/>
  <c r="AZ171" i="3" s="1"/>
  <c r="BA176" i="3"/>
  <c r="AZ176" i="3" s="1"/>
  <c r="BA178" i="3"/>
  <c r="AZ178" i="3" s="1"/>
  <c r="BA192" i="3"/>
  <c r="AZ192" i="3" s="1"/>
  <c r="BL19" i="3"/>
  <c r="BA20" i="3"/>
  <c r="AZ20" i="3" s="1"/>
  <c r="BL25" i="3"/>
  <c r="AZ25" i="3" s="1"/>
  <c r="BL27" i="3"/>
  <c r="BA28" i="3"/>
  <c r="AZ28" i="3" s="1"/>
  <c r="BA31" i="3"/>
  <c r="AZ31" i="3" s="1"/>
  <c r="BA32" i="3"/>
  <c r="G38" i="3"/>
  <c r="BA38" i="3"/>
  <c r="AZ38" i="3" s="1"/>
  <c r="BA41" i="3"/>
  <c r="BA42" i="3"/>
  <c r="G47" i="3"/>
  <c r="BL48" i="3"/>
  <c r="BL54" i="3"/>
  <c r="BL55" i="3"/>
  <c r="AZ55" i="3" s="1"/>
  <c r="G58" i="3"/>
  <c r="BA59" i="3"/>
  <c r="BL61" i="3"/>
  <c r="G64" i="3"/>
  <c r="BA64" i="3"/>
  <c r="BA68" i="3"/>
  <c r="B27" i="71"/>
  <c r="B26" i="71" s="1"/>
  <c r="S28" i="71"/>
  <c r="BA282" i="3"/>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BA51" i="3"/>
  <c r="G54" i="3"/>
  <c r="G55" i="3"/>
  <c r="BL56" i="3"/>
  <c r="AZ56" i="3" s="1"/>
  <c r="BA58" i="3"/>
  <c r="BL59" i="3"/>
  <c r="BL60" i="3"/>
  <c r="BA61" i="3"/>
  <c r="AZ61" i="3" s="1"/>
  <c r="BL69" i="3"/>
  <c r="AZ69" i="3" s="1"/>
  <c r="G70" i="3"/>
  <c r="BL70" i="3"/>
  <c r="AZ70" i="3" s="1"/>
  <c r="BL71" i="3"/>
  <c r="BL72" i="3"/>
  <c r="AZ72" i="3" s="1"/>
  <c r="G74" i="3"/>
  <c r="BA75" i="3"/>
  <c r="AZ75" i="3" s="1"/>
  <c r="BL86" i="3"/>
  <c r="G87" i="3"/>
  <c r="BA91" i="3"/>
  <c r="AZ91" i="3" s="1"/>
  <c r="BL96" i="3"/>
  <c r="AZ103" i="3"/>
  <c r="T40" i="71"/>
  <c r="D40" i="7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BL49" i="3"/>
  <c r="BL50" i="3"/>
  <c r="AZ50" i="3" s="1"/>
  <c r="BL51" i="3"/>
  <c r="G53" i="3"/>
  <c r="BL53" i="3"/>
  <c r="AZ53" i="3" s="1"/>
  <c r="BL64" i="3"/>
  <c r="G65" i="3"/>
  <c r="BL65" i="3"/>
  <c r="AZ65" i="3" s="1"/>
  <c r="BL66" i="3"/>
  <c r="BL67" i="3"/>
  <c r="AZ67" i="3" s="1"/>
  <c r="G69" i="3"/>
  <c r="BL79" i="3"/>
  <c r="BL81" i="3"/>
  <c r="BA82" i="3"/>
  <c r="AZ82" i="3" s="1"/>
  <c r="BL83" i="3"/>
  <c r="BA89" i="3"/>
  <c r="BL93" i="3"/>
  <c r="BA98" i="3"/>
  <c r="P65" i="71"/>
  <c r="P66" i="71"/>
  <c r="D31" i="71"/>
  <c r="C32" i="71"/>
  <c r="C47" i="71"/>
  <c r="D47" i="71" s="1"/>
  <c r="D46" i="71"/>
  <c r="C64" i="71"/>
  <c r="D64" i="71" s="1"/>
  <c r="D63" i="71"/>
  <c r="N67" i="71"/>
  <c r="B66" i="71"/>
  <c r="BL97" i="3"/>
  <c r="AZ97" i="3" s="1"/>
  <c r="BL101" i="3"/>
  <c r="BL102" i="3"/>
  <c r="G104" i="3"/>
  <c r="G105" i="3"/>
  <c r="BL106" i="3"/>
  <c r="BA108" i="3"/>
  <c r="AZ108" i="3" s="1"/>
  <c r="BA110" i="3"/>
  <c r="AZ110" i="3" s="1"/>
  <c r="F3" i="35"/>
  <c r="S21" i="37"/>
  <c r="B77" i="43"/>
  <c r="AA18" i="35"/>
  <c r="D71" i="71"/>
  <c r="O67" i="71"/>
  <c r="AA28" i="71"/>
  <c r="AB27" i="71"/>
  <c r="C87" i="71"/>
  <c r="AB25" i="71"/>
  <c r="C43" i="71"/>
  <c r="X26" i="71"/>
  <c r="Y25" i="71"/>
  <c r="Z25" i="71" s="1"/>
  <c r="C35" i="71"/>
  <c r="Y29" i="71"/>
  <c r="Z29" i="71" s="1"/>
  <c r="N68" i="71"/>
  <c r="AB32" i="71"/>
  <c r="X33" i="71"/>
  <c r="AB37" i="71"/>
  <c r="S72" i="71"/>
  <c r="V80" i="71"/>
  <c r="X28" i="71"/>
  <c r="BA56" i="3"/>
  <c r="BA57" i="3"/>
  <c r="AZ57" i="3" s="1"/>
  <c r="BL58" i="3"/>
  <c r="G60" i="3"/>
  <c r="BA60" i="3"/>
  <c r="BA63" i="3"/>
  <c r="AZ63" i="3" s="1"/>
  <c r="BA66" i="3"/>
  <c r="BA71" i="3"/>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D39" i="71"/>
  <c r="C74" i="71"/>
  <c r="D74" i="71" s="1"/>
  <c r="AA3" i="71"/>
  <c r="C27" i="71"/>
  <c r="D62" i="71"/>
  <c r="U68" i="71"/>
  <c r="D30" i="71"/>
  <c r="X31" i="71"/>
  <c r="AA34" i="71"/>
  <c r="AB35" i="71"/>
  <c r="B51" i="71"/>
  <c r="B52" i="71" s="1"/>
  <c r="S52" i="71" s="1"/>
  <c r="BL94" i="3"/>
  <c r="AZ94" i="3" s="1"/>
  <c r="BA100" i="3"/>
  <c r="AZ100" i="3" s="1"/>
  <c r="BA102" i="3"/>
  <c r="AZ102" i="3" s="1"/>
  <c r="BL105" i="3"/>
  <c r="AZ105" i="3" s="1"/>
  <c r="BL107" i="3"/>
  <c r="BA111" i="3"/>
  <c r="AZ111" i="3" s="1"/>
  <c r="AC21" i="37"/>
  <c r="U21" i="34"/>
  <c r="B57" i="43"/>
  <c r="D28" i="71"/>
  <c r="U28" i="71" s="1"/>
  <c r="Q67" i="71"/>
  <c r="X36" i="71"/>
  <c r="AB33" i="71"/>
  <c r="AA30" i="71"/>
  <c r="B32" i="71"/>
  <c r="S32" i="71" s="1"/>
  <c r="AB34" i="71"/>
  <c r="AB31" i="71"/>
  <c r="AB36" i="71"/>
  <c r="AA36" i="71"/>
  <c r="B47" i="71"/>
  <c r="B48" i="71" s="1"/>
  <c r="S48" i="71" s="1"/>
  <c r="B55" i="71"/>
  <c r="B56" i="71" s="1"/>
  <c r="S56" i="71" s="1"/>
  <c r="F71" i="71"/>
  <c r="F70" i="71" s="1"/>
  <c r="F9" i="1"/>
  <c r="F10" i="1"/>
  <c r="G10" i="1" s="1"/>
  <c r="F8" i="1"/>
  <c r="G8" i="1" s="1"/>
  <c r="H69" i="43"/>
  <c r="S23" i="33"/>
  <c r="AA23" i="33"/>
  <c r="E19" i="71"/>
  <c r="E18" i="71" s="1"/>
  <c r="E17" i="71" s="1"/>
  <c r="E16" i="71" s="1"/>
  <c r="M23" i="43"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60" i="3"/>
  <c r="BA206" i="3"/>
  <c r="AZ206" i="3" s="1"/>
  <c r="BL22" i="3"/>
  <c r="AZ22" i="3" s="1"/>
  <c r="BL33" i="3"/>
  <c r="AZ33" i="3" s="1"/>
  <c r="BL43" i="3"/>
  <c r="AZ43" i="3" s="1"/>
  <c r="BL46" i="3"/>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AC34" i="36"/>
  <c r="AA31" i="36"/>
  <c r="S28" i="36"/>
  <c r="S30" i="36"/>
  <c r="S29" i="36"/>
  <c r="W8" i="36"/>
  <c r="AB8" i="36"/>
  <c r="W11" i="36"/>
  <c r="S8" i="36"/>
  <c r="AB11" i="36"/>
  <c r="AB10" i="35"/>
  <c r="U30" i="35"/>
  <c r="AA30" i="35"/>
  <c r="W32" i="35"/>
  <c r="W33"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H26" i="43"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15"/>
  <c r="F71" i="15"/>
  <c r="L59" i="15"/>
  <c r="N59" i="15"/>
  <c r="F64" i="15"/>
  <c r="C27" i="15"/>
  <c r="F65" i="15"/>
  <c r="B13" i="70"/>
  <c r="C36" i="69"/>
  <c r="M26" i="15"/>
  <c r="M23" i="15"/>
  <c r="M6" i="67"/>
  <c r="C76" i="67"/>
  <c r="M24" i="67"/>
  <c r="F13" i="15"/>
  <c r="M26" i="67"/>
  <c r="M8" i="67"/>
  <c r="J15" i="67"/>
  <c r="F16" i="67"/>
  <c r="M29" i="67"/>
  <c r="D5" i="73"/>
  <c r="F38" i="67"/>
  <c r="F43" i="67"/>
  <c r="C16" i="15"/>
  <c r="F6" i="15"/>
  <c r="F38" i="15"/>
  <c r="F40" i="15"/>
  <c r="L48" i="67"/>
  <c r="F37" i="67"/>
  <c r="F6" i="67"/>
  <c r="M28" i="67"/>
  <c r="F9" i="67"/>
  <c r="F8" i="67"/>
  <c r="M22" i="15"/>
  <c r="F36" i="67"/>
  <c r="F42" i="67"/>
  <c r="F13" i="67"/>
  <c r="M9" i="15"/>
  <c r="F7" i="15"/>
  <c r="M23" i="67"/>
  <c r="L47" i="67"/>
  <c r="F26" i="67"/>
  <c r="D4" i="73"/>
  <c r="M28" i="15"/>
  <c r="L48" i="15"/>
  <c r="F7" i="67"/>
  <c r="M22" i="67"/>
  <c r="F40" i="67"/>
  <c r="D7" i="73"/>
  <c r="D3" i="73"/>
  <c r="F9" i="15"/>
  <c r="M9" i="67"/>
  <c r="AZ189" i="3" l="1"/>
  <c r="U14" i="33"/>
  <c r="AB14" i="33"/>
  <c r="S38" i="37"/>
  <c r="AA38" i="37"/>
  <c r="S45" i="34"/>
  <c r="AA45" i="34"/>
  <c r="AZ112" i="3"/>
  <c r="B19" i="71"/>
  <c r="B18" i="71" s="1"/>
  <c r="B17" i="71" s="1"/>
  <c r="B16" i="71" s="1"/>
  <c r="S20" i="71"/>
  <c r="AC27" i="37"/>
  <c r="W27" i="37"/>
  <c r="W44" i="33"/>
  <c r="AC44" i="33"/>
  <c r="W27" i="33"/>
  <c r="AC27" i="33"/>
  <c r="J7" i="36"/>
  <c r="T64" i="71"/>
  <c r="AZ353" i="3"/>
  <c r="AZ411" i="3"/>
  <c r="AZ277" i="3"/>
  <c r="AZ256" i="3"/>
  <c r="AZ502" i="3"/>
  <c r="AZ541" i="3"/>
  <c r="AC46" i="33"/>
  <c r="W46" i="33"/>
  <c r="W29" i="34"/>
  <c r="AC29" i="34"/>
  <c r="AZ142" i="3"/>
  <c r="AZ453" i="3"/>
  <c r="AZ257" i="3"/>
  <c r="AZ245" i="3"/>
  <c r="AZ500" i="3"/>
  <c r="D23" i="71"/>
  <c r="C22" i="71"/>
  <c r="AC9" i="36"/>
  <c r="W9" i="36"/>
  <c r="H81" i="80"/>
  <c r="G81" i="80" s="1"/>
  <c r="G28" i="6"/>
  <c r="AZ13" i="3"/>
  <c r="E28" i="6"/>
  <c r="K14" i="1" s="1"/>
  <c r="M14" i="1" s="1"/>
  <c r="AZ15" i="3"/>
  <c r="W33" i="36"/>
  <c r="S45" i="21"/>
  <c r="AB46" i="21"/>
  <c r="G3" i="35"/>
  <c r="D67" i="71"/>
  <c r="C66" i="71"/>
  <c r="AZ283" i="3"/>
  <c r="AZ240" i="3"/>
  <c r="W35" i="21"/>
  <c r="AC35" i="21"/>
  <c r="AZ59" i="3"/>
  <c r="AZ118" i="3"/>
  <c r="AZ249" i="3"/>
  <c r="AZ572" i="3"/>
  <c r="AZ235" i="3"/>
  <c r="S16" i="35"/>
  <c r="AA16" i="35"/>
  <c r="AA38" i="40"/>
  <c r="S38" i="40"/>
  <c r="D121" i="9"/>
  <c r="D7" i="52" s="1"/>
  <c r="D6" i="52"/>
  <c r="AZ428" i="3"/>
  <c r="AZ422" i="3"/>
  <c r="AZ457" i="3"/>
  <c r="AZ571" i="3"/>
  <c r="AZ62" i="3"/>
  <c r="W28" i="34"/>
  <c r="AC28" i="34"/>
  <c r="W38" i="40"/>
  <c r="AC38" i="40"/>
  <c r="F64" i="36"/>
  <c r="G64" i="36" s="1"/>
  <c r="J16" i="36"/>
  <c r="AZ93" i="3"/>
  <c r="AZ51" i="3"/>
  <c r="AZ297" i="3"/>
  <c r="AZ251" i="3"/>
  <c r="AZ247" i="3"/>
  <c r="D59" i="71"/>
  <c r="C60" i="71"/>
  <c r="AZ47" i="3"/>
  <c r="AZ480" i="3"/>
  <c r="AZ265" i="3"/>
  <c r="W45" i="21"/>
  <c r="AC45" i="21"/>
  <c r="S13" i="39"/>
  <c r="AA13" i="39"/>
  <c r="G30" i="6"/>
  <c r="G31" i="6" s="1"/>
  <c r="E12" i="6"/>
  <c r="E57" i="40" s="1"/>
  <c r="D9" i="11"/>
  <c r="C9" i="11" s="1"/>
  <c r="D9" i="69"/>
  <c r="C9" i="69" s="1"/>
  <c r="D19" i="12"/>
  <c r="C19" i="12" s="1"/>
  <c r="E15" i="6"/>
  <c r="E64" i="39" s="1"/>
  <c r="E11" i="6"/>
  <c r="E60" i="39" s="1"/>
  <c r="E8" i="6"/>
  <c r="F27" i="6" s="1"/>
  <c r="E13" i="6"/>
  <c r="E58" i="40" s="1"/>
  <c r="S14" i="36"/>
  <c r="U14" i="36"/>
  <c r="AB14" i="36"/>
  <c r="AA34" i="36"/>
  <c r="AA23" i="36"/>
  <c r="S23" i="36"/>
  <c r="AC23" i="36"/>
  <c r="W23" i="36"/>
  <c r="AC20" i="35"/>
  <c r="AA9" i="35"/>
  <c r="AB15" i="21"/>
  <c r="S14" i="21"/>
  <c r="AA14" i="21"/>
  <c r="U14" i="21"/>
  <c r="AB14" i="21"/>
  <c r="AC31" i="21"/>
  <c r="W31" i="21"/>
  <c r="S31" i="21"/>
  <c r="AA31" i="21"/>
  <c r="W31" i="39"/>
  <c r="AC31" i="39"/>
  <c r="S31" i="39"/>
  <c r="J53" i="15"/>
  <c r="L56" i="15" s="1"/>
  <c r="J57" i="15"/>
  <c r="J55" i="15" s="1"/>
  <c r="J58" i="15" s="1"/>
  <c r="Q50" i="15" s="1"/>
  <c r="L58" i="15"/>
  <c r="Q60" i="15" s="1"/>
  <c r="I54" i="15"/>
  <c r="G9" i="1"/>
  <c r="C27" i="67"/>
  <c r="I54" i="67"/>
  <c r="J53" i="67"/>
  <c r="Q52" i="67" s="1"/>
  <c r="J57" i="67"/>
  <c r="J55" i="67" s="1"/>
  <c r="J58" i="67" s="1"/>
  <c r="Q50" i="67" s="1"/>
  <c r="L56" i="67"/>
  <c r="F71" i="67"/>
  <c r="M7" i="67"/>
  <c r="J6" i="67" s="1"/>
  <c r="J18" i="67" s="1"/>
  <c r="F50" i="67"/>
  <c r="F66" i="67"/>
  <c r="C6" i="67"/>
  <c r="C32" i="67" s="1"/>
  <c r="L58" i="67"/>
  <c r="Q60" i="67" s="1"/>
  <c r="N59" i="67"/>
  <c r="L59" i="67"/>
  <c r="Q61" i="67" s="1"/>
  <c r="F51" i="67"/>
  <c r="Q71" i="67"/>
  <c r="F68" i="67"/>
  <c r="F64" i="67"/>
  <c r="F65" i="67"/>
  <c r="E29" i="6"/>
  <c r="Q16" i="1"/>
  <c r="F27" i="69" s="1"/>
  <c r="F45" i="69" s="1"/>
  <c r="F30" i="6"/>
  <c r="E10" i="6"/>
  <c r="E14" i="6"/>
  <c r="N94" i="46"/>
  <c r="P6" i="1"/>
  <c r="C13" i="12" s="1"/>
  <c r="G26" i="43"/>
  <c r="H16" i="1"/>
  <c r="J26" i="43"/>
  <c r="N370" i="46"/>
  <c r="F26" i="43"/>
  <c r="E26" i="43"/>
  <c r="D20" i="53"/>
  <c r="B40" i="72" s="1"/>
  <c r="F50" i="15"/>
  <c r="C49" i="15" s="1"/>
  <c r="M7" i="15"/>
  <c r="J6" i="15" s="1"/>
  <c r="J18" i="15" s="1"/>
  <c r="F68" i="15"/>
  <c r="C6" i="15"/>
  <c r="C32" i="15" s="1"/>
  <c r="F31" i="15"/>
  <c r="F66" i="15"/>
  <c r="G16" i="1"/>
  <c r="F10" i="39" s="1"/>
  <c r="AA10" i="39" s="1"/>
  <c r="C44" i="71"/>
  <c r="D43" i="71"/>
  <c r="AZ49" i="3"/>
  <c r="AZ41" i="3"/>
  <c r="AZ274" i="3"/>
  <c r="AZ432" i="3"/>
  <c r="AZ417" i="3"/>
  <c r="AZ244" i="3"/>
  <c r="AZ239" i="3"/>
  <c r="AZ397" i="3"/>
  <c r="AZ332" i="3"/>
  <c r="AZ459" i="3"/>
  <c r="AZ403" i="3"/>
  <c r="AZ550" i="3"/>
  <c r="AB12" i="34"/>
  <c r="U12" i="34"/>
  <c r="AC30" i="21"/>
  <c r="W30" i="21"/>
  <c r="AZ580" i="3"/>
  <c r="S12" i="39"/>
  <c r="AA12" i="39"/>
  <c r="S33" i="36"/>
  <c r="AA33" i="36"/>
  <c r="U44" i="21"/>
  <c r="AB44" i="21"/>
  <c r="AB28" i="21"/>
  <c r="U28" i="21"/>
  <c r="AB44" i="39"/>
  <c r="U44" i="39"/>
  <c r="W33" i="40"/>
  <c r="AC33" i="40"/>
  <c r="AB39" i="37"/>
  <c r="U39" i="37"/>
  <c r="AC9" i="35"/>
  <c r="W9" i="35"/>
  <c r="C26" i="71"/>
  <c r="D26" i="71" s="1"/>
  <c r="D27" i="71"/>
  <c r="AZ71" i="3"/>
  <c r="C36" i="71"/>
  <c r="D35" i="71"/>
  <c r="N65" i="71"/>
  <c r="N66" i="71"/>
  <c r="AZ121" i="3"/>
  <c r="AZ130" i="3"/>
  <c r="C56" i="71"/>
  <c r="D55" i="71"/>
  <c r="AB43" i="39"/>
  <c r="U43" i="39"/>
  <c r="AC9" i="34"/>
  <c r="W9" i="34"/>
  <c r="AA27" i="21"/>
  <c r="S27" i="21"/>
  <c r="AC13" i="21"/>
  <c r="W13" i="21"/>
  <c r="W12" i="34"/>
  <c r="AC12" i="34"/>
  <c r="AA25" i="37"/>
  <c r="S25" i="37"/>
  <c r="AB36" i="39"/>
  <c r="U36" i="39"/>
  <c r="AC12" i="39"/>
  <c r="W12" i="39"/>
  <c r="AC26" i="33"/>
  <c r="W26" i="33"/>
  <c r="AC44" i="21"/>
  <c r="W44" i="21"/>
  <c r="W28" i="21"/>
  <c r="AC28" i="21"/>
  <c r="S12" i="36"/>
  <c r="AA12" i="36"/>
  <c r="AZ577" i="3"/>
  <c r="W14" i="40"/>
  <c r="AC14" i="40"/>
  <c r="AC24" i="36"/>
  <c r="W24" i="36"/>
  <c r="AZ587" i="3"/>
  <c r="AZ79" i="3"/>
  <c r="AZ66" i="3"/>
  <c r="C86" i="71"/>
  <c r="D86" i="71" s="1"/>
  <c r="D87" i="71"/>
  <c r="AZ126" i="3"/>
  <c r="AZ19" i="3"/>
  <c r="AZ182" i="3"/>
  <c r="AZ282" i="3"/>
  <c r="AZ64" i="3"/>
  <c r="AZ27" i="3"/>
  <c r="AZ271" i="3"/>
  <c r="AZ238" i="3"/>
  <c r="AZ429" i="3"/>
  <c r="AZ241" i="3"/>
  <c r="AZ210" i="3"/>
  <c r="AZ461" i="3"/>
  <c r="AZ454" i="3"/>
  <c r="AC43" i="39"/>
  <c r="W43" i="39"/>
  <c r="W27" i="21"/>
  <c r="AC27" i="21"/>
  <c r="U25" i="37"/>
  <c r="AB25" i="37"/>
  <c r="AZ573" i="3"/>
  <c r="AZ570" i="3"/>
  <c r="AZ576" i="3"/>
  <c r="AZ579" i="3"/>
  <c r="S36" i="39"/>
  <c r="AA36" i="39"/>
  <c r="U33" i="36"/>
  <c r="AB33" i="36"/>
  <c r="U26" i="33"/>
  <c r="AB26" i="33"/>
  <c r="AA44" i="21"/>
  <c r="S44" i="21"/>
  <c r="AZ585" i="3"/>
  <c r="AA44" i="39"/>
  <c r="S44" i="39"/>
  <c r="AC12" i="36"/>
  <c r="W12" i="36"/>
  <c r="AB33" i="40"/>
  <c r="U33" i="40"/>
  <c r="AB14" i="40"/>
  <c r="U14" i="40"/>
  <c r="AC39" i="37"/>
  <c r="W39" i="37"/>
  <c r="AA24" i="36"/>
  <c r="S24" i="36"/>
  <c r="G5" i="3"/>
  <c r="B3" i="3" s="1"/>
  <c r="E69" i="3" s="1"/>
  <c r="T32" i="71"/>
  <c r="D32" i="71"/>
  <c r="AZ58" i="3"/>
  <c r="T52" i="71"/>
  <c r="D52" i="71"/>
  <c r="AZ86" i="3"/>
  <c r="AZ125" i="3"/>
  <c r="AZ294" i="3"/>
  <c r="AZ460" i="3"/>
  <c r="AC25" i="37"/>
  <c r="W25" i="37"/>
  <c r="AB30" i="21"/>
  <c r="U30" i="21"/>
  <c r="S26" i="33"/>
  <c r="AA26" i="33"/>
  <c r="S28" i="21"/>
  <c r="AA28" i="21"/>
  <c r="AC44" i="39"/>
  <c r="W44" i="39"/>
  <c r="U12" i="36"/>
  <c r="AB12" i="36"/>
  <c r="AA33" i="40"/>
  <c r="S33" i="40"/>
  <c r="J7" i="37"/>
  <c r="W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AB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C9" i="68"/>
  <c r="E72" i="43"/>
  <c r="B70" i="43" s="1"/>
  <c r="D5" i="43"/>
  <c r="C7" i="43"/>
  <c r="C5" i="43" s="1"/>
  <c r="D10" i="52"/>
  <c r="D125" i="9"/>
  <c r="D11" i="52" s="1"/>
  <c r="B7" i="74"/>
  <c r="C7" i="74" s="1"/>
  <c r="F67" i="39"/>
  <c r="F59" i="67"/>
  <c r="H7" i="37"/>
  <c r="AB7" i="37" s="1"/>
  <c r="T42" i="37" s="1"/>
  <c r="G42" i="37" s="1"/>
  <c r="H7" i="33"/>
  <c r="J7" i="33"/>
  <c r="D65" i="40"/>
  <c r="E63" i="40"/>
  <c r="F48" i="35"/>
  <c r="AC7" i="37"/>
  <c r="U7" i="36"/>
  <c r="F7" i="33"/>
  <c r="E58" i="21"/>
  <c r="AC7" i="36"/>
  <c r="W7" i="36"/>
  <c r="F7" i="37"/>
  <c r="M17" i="67"/>
  <c r="M17" i="15"/>
  <c r="F59" i="15"/>
  <c r="P28" i="43"/>
  <c r="B66" i="40" s="1"/>
  <c r="P25" i="43"/>
  <c r="P29" i="43"/>
  <c r="P27" i="43"/>
  <c r="B70" i="39" s="1"/>
  <c r="M11" i="67"/>
  <c r="J10" i="67" s="1"/>
  <c r="F11" i="15"/>
  <c r="M11" i="15"/>
  <c r="J10" i="15" s="1"/>
  <c r="F11" i="67"/>
  <c r="Q74" i="15"/>
  <c r="Q61" i="15"/>
  <c r="AE11" i="1"/>
  <c r="AE6" i="1"/>
  <c r="AE9" i="1"/>
  <c r="AE7" i="1"/>
  <c r="AE8" i="1"/>
  <c r="AE12" i="1"/>
  <c r="AE10" i="1"/>
  <c r="F41" i="67"/>
  <c r="C16" i="67"/>
  <c r="G1" i="73"/>
  <c r="D22" i="71" l="1"/>
  <c r="C21" i="71"/>
  <c r="T36" i="36"/>
  <c r="G36" i="36" s="1"/>
  <c r="H88" i="80"/>
  <c r="G88" i="80" s="1"/>
  <c r="F31" i="6"/>
  <c r="E62" i="39"/>
  <c r="E60" i="40"/>
  <c r="E61" i="39"/>
  <c r="D60" i="71"/>
  <c r="T60" i="71"/>
  <c r="O65" i="71"/>
  <c r="O66" i="71"/>
  <c r="D66" i="71"/>
  <c r="W16" i="36"/>
  <c r="AC16" i="36"/>
  <c r="E51" i="40"/>
  <c r="AZ5" i="3"/>
  <c r="E3" i="6" s="1"/>
  <c r="K15" i="1"/>
  <c r="K16" i="1" s="1"/>
  <c r="L19" i="6"/>
  <c r="L27" i="6" s="1"/>
  <c r="F28" i="12"/>
  <c r="F27" i="11"/>
  <c r="C47" i="11" s="1"/>
  <c r="D45" i="11" s="1"/>
  <c r="E16" i="6"/>
  <c r="F27" i="68"/>
  <c r="F45" i="68" s="1"/>
  <c r="V36" i="36"/>
  <c r="I36" i="36" s="1"/>
  <c r="G41" i="36" s="1"/>
  <c r="H41" i="36" s="1"/>
  <c r="AA7" i="36"/>
  <c r="R36" i="36" s="1"/>
  <c r="Q52" i="15"/>
  <c r="F1" i="15"/>
  <c r="Q74" i="67"/>
  <c r="C29" i="69"/>
  <c r="D27" i="69" s="1"/>
  <c r="C47" i="69"/>
  <c r="D45" i="69" s="1"/>
  <c r="Q73" i="15"/>
  <c r="C49" i="67"/>
  <c r="F1" i="67"/>
  <c r="Q73" i="67"/>
  <c r="J5" i="67"/>
  <c r="J24" i="67" s="1"/>
  <c r="E139" i="3"/>
  <c r="J10" i="40"/>
  <c r="AC10" i="40" s="1"/>
  <c r="E200" i="3"/>
  <c r="E94" i="3"/>
  <c r="E219" i="3"/>
  <c r="E385" i="3"/>
  <c r="E387" i="3"/>
  <c r="E191" i="3"/>
  <c r="E514" i="3"/>
  <c r="E369" i="3"/>
  <c r="E296" i="3"/>
  <c r="E445" i="3"/>
  <c r="E431" i="3"/>
  <c r="D26" i="43"/>
  <c r="C25" i="43" s="1"/>
  <c r="C33" i="43" s="1"/>
  <c r="E63" i="39"/>
  <c r="E59" i="40"/>
  <c r="S10" i="39"/>
  <c r="H10" i="40"/>
  <c r="AB10" i="40" s="1"/>
  <c r="J10" i="39"/>
  <c r="W10" i="39" s="1"/>
  <c r="F10" i="40"/>
  <c r="S10" i="40" s="1"/>
  <c r="H10" i="39"/>
  <c r="U10" i="39" s="1"/>
  <c r="J5" i="15"/>
  <c r="J24" i="15" s="1"/>
  <c r="E212" i="3"/>
  <c r="E575" i="3"/>
  <c r="E449" i="3"/>
  <c r="E417" i="3"/>
  <c r="E241" i="3"/>
  <c r="E59" i="3"/>
  <c r="E64" i="3"/>
  <c r="E249"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536" i="3"/>
  <c r="E442" i="3"/>
  <c r="E554" i="3"/>
  <c r="E95" i="3"/>
  <c r="E389" i="3"/>
  <c r="E484" i="3"/>
  <c r="E160"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30" i="3"/>
  <c r="E258" i="3"/>
  <c r="E467"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397" i="3"/>
  <c r="U6" i="3"/>
  <c r="E403" i="3"/>
  <c r="E272" i="3"/>
  <c r="E53" i="3"/>
  <c r="O6" i="3"/>
  <c r="E390" i="3"/>
  <c r="E338" i="3"/>
  <c r="E565" i="3"/>
  <c r="E254" i="3"/>
  <c r="E353" i="3"/>
  <c r="E128"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39" i="3"/>
  <c r="AP6" i="3"/>
  <c r="E349" i="3"/>
  <c r="E46" i="3"/>
  <c r="E84"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257" i="3"/>
  <c r="E196" i="3"/>
  <c r="E548" i="3"/>
  <c r="E546" i="3"/>
  <c r="E291" i="3"/>
  <c r="E501" i="3"/>
  <c r="E574" i="3"/>
  <c r="S6" i="3"/>
  <c r="E298" i="3"/>
  <c r="E213" i="3"/>
  <c r="E159" i="3"/>
  <c r="AA6" i="3"/>
  <c r="E262"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286" i="3"/>
  <c r="E491" i="3"/>
  <c r="E544" i="3"/>
  <c r="E267" i="3"/>
  <c r="E33" i="3"/>
  <c r="E81"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357" i="3"/>
  <c r="E145" i="3"/>
  <c r="E432" i="3"/>
  <c r="E71" i="3"/>
  <c r="AM6" i="3"/>
  <c r="E153" i="3"/>
  <c r="E359" i="3"/>
  <c r="E506" i="3"/>
  <c r="E169" i="3"/>
  <c r="E17" i="3"/>
  <c r="E402" i="3"/>
  <c r="E156" i="3"/>
  <c r="E120" i="3"/>
  <c r="E481" i="3"/>
  <c r="E118" i="3"/>
  <c r="E487" i="3"/>
  <c r="E483" i="3"/>
  <c r="E132" i="3"/>
  <c r="E100" i="3"/>
  <c r="AI6" i="3"/>
  <c r="E135" i="3"/>
  <c r="E172" i="3"/>
  <c r="E189" i="3"/>
  <c r="AB6" i="3"/>
  <c r="E311" i="3"/>
  <c r="E579" i="3"/>
  <c r="E268" i="3"/>
  <c r="E572" i="3"/>
  <c r="E182" i="3"/>
  <c r="E531" i="3"/>
  <c r="E485" i="3"/>
  <c r="E204" i="3"/>
  <c r="E74" i="3"/>
  <c r="E171" i="3"/>
  <c r="E468" i="3"/>
  <c r="E406" i="3"/>
  <c r="E133" i="3"/>
  <c r="E545" i="3"/>
  <c r="E399" i="3"/>
  <c r="E180" i="3"/>
  <c r="E231" i="3"/>
  <c r="E143" i="3"/>
  <c r="E530" i="3"/>
  <c r="E162" i="3"/>
  <c r="E478" i="3"/>
  <c r="E31" i="3"/>
  <c r="E450" i="3"/>
  <c r="E193" i="3"/>
  <c r="E583" i="3"/>
  <c r="E290" i="3"/>
  <c r="E230" i="3"/>
  <c r="E151" i="3"/>
  <c r="E553" i="3"/>
  <c r="E166" i="3"/>
  <c r="P6" i="3"/>
  <c r="E32" i="3"/>
  <c r="E496" i="3"/>
  <c r="E238" i="3"/>
  <c r="E418" i="3"/>
  <c r="E126" i="3"/>
  <c r="E54" i="3"/>
  <c r="E179" i="3"/>
  <c r="E416" i="3"/>
  <c r="E289" i="3"/>
  <c r="E25" i="3"/>
  <c r="E35" i="3"/>
  <c r="E197" i="3"/>
  <c r="E283" i="3"/>
  <c r="E37" i="3"/>
  <c r="E322" i="3"/>
  <c r="E211" i="3"/>
  <c r="E400" i="3"/>
  <c r="E227" i="3"/>
  <c r="E454" i="3"/>
  <c r="K6" i="3"/>
  <c r="E77" i="3"/>
  <c r="E261" i="3"/>
  <c r="AR6" i="3"/>
  <c r="E331" i="3"/>
  <c r="E269" i="3"/>
  <c r="E458" i="3"/>
  <c r="E382" i="3"/>
  <c r="E551" i="3"/>
  <c r="E334" i="3"/>
  <c r="E252" i="3"/>
  <c r="E237" i="3"/>
  <c r="E512" i="3"/>
  <c r="E242" i="3"/>
  <c r="E119" i="3"/>
  <c r="X6" i="3"/>
  <c r="E423" i="3"/>
  <c r="E161" i="3"/>
  <c r="E563" i="3"/>
  <c r="E215" i="3"/>
  <c r="M6" i="3"/>
  <c r="E201" i="3"/>
  <c r="E509" i="3"/>
  <c r="E526" i="3"/>
  <c r="E377" i="3"/>
  <c r="E70" i="3"/>
  <c r="E557" i="3"/>
  <c r="AO6" i="3"/>
  <c r="E89" i="3"/>
  <c r="E362" i="3"/>
  <c r="E146" i="3"/>
  <c r="E577" i="3"/>
  <c r="E472" i="3"/>
  <c r="E277" i="3"/>
  <c r="E181" i="3"/>
  <c r="E124" i="3"/>
  <c r="E503" i="3"/>
  <c r="E380" i="3"/>
  <c r="E337" i="3"/>
  <c r="E175" i="3"/>
  <c r="E27" i="3"/>
  <c r="E515" i="3"/>
  <c r="E318" i="3"/>
  <c r="E571" i="3"/>
  <c r="E45" i="3"/>
  <c r="E336" i="3"/>
  <c r="E117" i="3"/>
  <c r="E294" i="3"/>
  <c r="E229" i="3"/>
  <c r="E366" i="3"/>
  <c r="E121" i="3"/>
  <c r="E448" i="3"/>
  <c r="E580" i="3"/>
  <c r="E429" i="3"/>
  <c r="AN6" i="3"/>
  <c r="E97" i="3"/>
  <c r="E367" i="3"/>
  <c r="E529" i="3"/>
  <c r="E542" i="3"/>
  <c r="E386" i="3"/>
  <c r="E325" i="3"/>
  <c r="E376" i="3"/>
  <c r="E356" i="3"/>
  <c r="AF6" i="3"/>
  <c r="E184" i="3"/>
  <c r="E502" i="3"/>
  <c r="E109" i="3"/>
  <c r="E489" i="3"/>
  <c r="E327" i="3"/>
  <c r="E214" i="3"/>
  <c r="E465" i="3"/>
  <c r="AK6" i="3"/>
  <c r="E301" i="3"/>
  <c r="E508" i="3"/>
  <c r="E505" i="3"/>
  <c r="E111" i="3"/>
  <c r="E85" i="3"/>
  <c r="E415" i="3"/>
  <c r="E239" i="3"/>
  <c r="E581" i="3"/>
  <c r="E203" i="3"/>
  <c r="E330" i="3"/>
  <c r="E29" i="3"/>
  <c r="E93" i="3"/>
  <c r="E413" i="3"/>
  <c r="E354" i="3"/>
  <c r="E265" i="3"/>
  <c r="E372" i="3"/>
  <c r="E329" i="3"/>
  <c r="E391" i="3"/>
  <c r="E409" i="3"/>
  <c r="E142"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350" i="3"/>
  <c r="E528" i="3"/>
  <c r="E561" i="3"/>
  <c r="E388" i="3"/>
  <c r="E384" i="3"/>
  <c r="AS6" i="3"/>
  <c r="E271" i="3"/>
  <c r="E150" i="3"/>
  <c r="E527" i="3"/>
  <c r="E314" i="3"/>
  <c r="E578" i="3"/>
  <c r="E395" i="3"/>
  <c r="V6" i="3"/>
  <c r="E516" i="3"/>
  <c r="E30" i="3"/>
  <c r="E444" i="3"/>
  <c r="E164" i="3"/>
  <c r="E256" i="3"/>
  <c r="E424" i="3"/>
  <c r="E221" i="3"/>
  <c r="E426" i="3"/>
  <c r="E379" i="3"/>
  <c r="E461" i="3"/>
  <c r="E436" i="3"/>
  <c r="E566" i="3"/>
  <c r="E79" i="3"/>
  <c r="E564" i="3"/>
  <c r="E470" i="3"/>
  <c r="E174" i="3"/>
  <c r="E371" i="3"/>
  <c r="AY6" i="3"/>
  <c r="AY66" i="3" s="1"/>
  <c r="D56" i="71"/>
  <c r="T56" i="71"/>
  <c r="D44" i="71"/>
  <c r="T44" i="71"/>
  <c r="E300" i="3"/>
  <c r="E103" i="3"/>
  <c r="E425" i="3"/>
  <c r="E76" i="3"/>
  <c r="E363" i="3"/>
  <c r="E192" i="3"/>
  <c r="E56" i="3"/>
  <c r="E435" i="3"/>
  <c r="I3" i="6"/>
  <c r="E541" i="3"/>
  <c r="R6" i="3"/>
  <c r="E199" i="3"/>
  <c r="E510" i="3"/>
  <c r="D36" i="71"/>
  <c r="T36" i="71"/>
  <c r="E292" i="3"/>
  <c r="E152" i="3"/>
  <c r="E479" i="3"/>
  <c r="E517" i="3"/>
  <c r="E255" i="3"/>
  <c r="E466" i="3"/>
  <c r="E499" i="3"/>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M27" i="15"/>
  <c r="M27" i="67"/>
  <c r="D21" i="71" l="1"/>
  <c r="C20" i="71"/>
  <c r="H89" i="80"/>
  <c r="G89" i="80" s="1"/>
  <c r="B14" i="74"/>
  <c r="M18" i="9"/>
  <c r="B118" i="9" s="1"/>
  <c r="E65" i="39"/>
  <c r="D3" i="37"/>
  <c r="C48" i="67"/>
  <c r="C60" i="67" s="1"/>
  <c r="C47" i="68"/>
  <c r="D45" i="68" s="1"/>
  <c r="AY162" i="3"/>
  <c r="AY561" i="3"/>
  <c r="AY545" i="3"/>
  <c r="AY252" i="3"/>
  <c r="U10" i="40"/>
  <c r="AY437" i="3"/>
  <c r="AY575" i="3"/>
  <c r="AY380" i="3"/>
  <c r="AY130" i="3"/>
  <c r="AY299" i="3"/>
  <c r="AY375" i="3"/>
  <c r="AY570" i="3"/>
  <c r="AY132" i="3"/>
  <c r="AY114" i="3"/>
  <c r="AY42" i="3"/>
  <c r="W10" i="40"/>
  <c r="AY477" i="3"/>
  <c r="AY490" i="3"/>
  <c r="AY406" i="3"/>
  <c r="AY535" i="3"/>
  <c r="AY513" i="3"/>
  <c r="E6" i="6"/>
  <c r="D10" i="69" s="1"/>
  <c r="B1" i="74"/>
  <c r="AY301" i="3"/>
  <c r="AY567" i="3"/>
  <c r="AY203" i="3"/>
  <c r="AY511" i="3"/>
  <c r="AY91" i="3"/>
  <c r="AY46" i="3"/>
  <c r="AY312" i="3"/>
  <c r="AY543" i="3"/>
  <c r="AY238" i="3"/>
  <c r="AY412" i="3"/>
  <c r="AY308" i="3"/>
  <c r="AY68" i="3"/>
  <c r="AY16" i="3"/>
  <c r="AY377" i="3"/>
  <c r="AY246" i="3"/>
  <c r="AY553" i="3"/>
  <c r="AY428" i="3"/>
  <c r="AY168" i="3"/>
  <c r="AY164" i="3"/>
  <c r="AY434" i="3"/>
  <c r="AY39" i="3"/>
  <c r="AY492" i="3"/>
  <c r="AY224" i="3"/>
  <c r="AY362" i="3"/>
  <c r="AY14" i="3"/>
  <c r="AY137" i="3"/>
  <c r="AY370" i="3"/>
  <c r="AY105" i="3"/>
  <c r="AY496" i="3"/>
  <c r="AY365" i="3"/>
  <c r="AY269" i="3"/>
  <c r="AY414" i="3"/>
  <c r="AY41" i="3"/>
  <c r="AY170" i="3"/>
  <c r="AY342" i="3"/>
  <c r="AY139" i="3"/>
  <c r="AY207" i="3"/>
  <c r="AY408" i="3"/>
  <c r="AY396" i="3"/>
  <c r="AY330" i="3"/>
  <c r="AY298" i="3"/>
  <c r="AY148" i="3"/>
  <c r="AY285" i="3"/>
  <c r="AY426" i="3"/>
  <c r="AY65" i="3"/>
  <c r="AY72" i="3"/>
  <c r="AY326" i="3"/>
  <c r="AY516" i="3"/>
  <c r="AY117" i="3"/>
  <c r="AY237" i="3"/>
  <c r="AY491" i="3"/>
  <c r="AY357" i="3"/>
  <c r="AY60" i="3"/>
  <c r="AY245" i="3"/>
  <c r="AY366" i="3"/>
  <c r="C17" i="4"/>
  <c r="B4" i="52" s="1"/>
  <c r="B43" i="72" s="1"/>
  <c r="D14" i="12"/>
  <c r="L18" i="9"/>
  <c r="D37" i="11"/>
  <c r="D19" i="11"/>
  <c r="C19" i="11" s="1"/>
  <c r="F25" i="12"/>
  <c r="AC10" i="39"/>
  <c r="AB10" i="39"/>
  <c r="AY566" i="3"/>
  <c r="AY107" i="3"/>
  <c r="AY62" i="3"/>
  <c r="AY320" i="3"/>
  <c r="AY432" i="3"/>
  <c r="AY13" i="3"/>
  <c r="AY563" i="3"/>
  <c r="AY352" i="3"/>
  <c r="AY429" i="3"/>
  <c r="AY277" i="3"/>
  <c r="AY560" i="3"/>
  <c r="AY232" i="3"/>
  <c r="AY99" i="3"/>
  <c r="AY407" i="3"/>
  <c r="AY329" i="3"/>
  <c r="AY194" i="3"/>
  <c r="AY572" i="3"/>
  <c r="AY121" i="3"/>
  <c r="AY291" i="3"/>
  <c r="AY557" i="3"/>
  <c r="AY220" i="3"/>
  <c r="AY559" i="3"/>
  <c r="AY393" i="3"/>
  <c r="AY254" i="3"/>
  <c r="AY555" i="3"/>
  <c r="AY444" i="3"/>
  <c r="AY546" i="3"/>
  <c r="AY457" i="3"/>
  <c r="AY274" i="3"/>
  <c r="BJ6" i="3"/>
  <c r="AY263" i="3"/>
  <c r="AY206" i="3"/>
  <c r="AY569" i="3"/>
  <c r="AY395" i="3"/>
  <c r="AY318" i="3"/>
  <c r="AY67" i="3"/>
  <c r="AY281" i="3"/>
  <c r="AY51" i="3"/>
  <c r="AY240" i="3"/>
  <c r="AY359" i="3"/>
  <c r="AY538" i="3"/>
  <c r="AY153" i="3"/>
  <c r="AY136" i="3"/>
  <c r="AY233" i="3"/>
  <c r="AY431" i="3"/>
  <c r="AY32" i="3"/>
  <c r="AY354" i="3"/>
  <c r="AY38" i="3"/>
  <c r="AY469" i="3"/>
  <c r="AY156" i="3"/>
  <c r="AY565" i="3"/>
  <c r="AY468" i="3"/>
  <c r="AY251" i="3"/>
  <c r="AY582" i="3"/>
  <c r="AY483" i="3"/>
  <c r="AY368" i="3"/>
  <c r="AY52" i="3"/>
  <c r="AY229" i="3"/>
  <c r="AY81" i="3"/>
  <c r="AY422" i="3"/>
  <c r="AY57" i="3"/>
  <c r="AY178" i="3"/>
  <c r="AY311" i="3"/>
  <c r="AY171" i="3"/>
  <c r="AY581" i="3"/>
  <c r="AY317" i="3"/>
  <c r="AY197" i="3"/>
  <c r="AY392" i="3"/>
  <c r="AY149" i="3"/>
  <c r="AY77" i="3"/>
  <c r="AY452" i="3"/>
  <c r="AY106" i="3"/>
  <c r="AY123" i="3"/>
  <c r="AY236" i="3"/>
  <c r="AY124" i="3"/>
  <c r="D3" i="33"/>
  <c r="D3" i="34"/>
  <c r="AA10" i="40"/>
  <c r="H6" i="3"/>
  <c r="AY521" i="3"/>
  <c r="AY200" i="3"/>
  <c r="AY451" i="3"/>
  <c r="AY394" i="3"/>
  <c r="AY151"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38" i="3"/>
  <c r="AY324" i="3"/>
  <c r="AY215" i="3"/>
  <c r="AY161" i="3"/>
  <c r="AY88" i="3"/>
  <c r="AY373" i="3"/>
  <c r="AY270" i="3"/>
  <c r="AY134"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AC6" i="3"/>
  <c r="AY307" i="3"/>
  <c r="AY257" i="3"/>
  <c r="AY568" i="3"/>
  <c r="AY79"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Y87" i="3"/>
  <c r="F22" i="68"/>
  <c r="F41" i="68"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D116" i="43"/>
  <c r="F22" i="1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69"/>
  <c r="C17" i="67"/>
  <c r="C14" i="67"/>
  <c r="C17" i="15"/>
  <c r="C66" i="67" l="1"/>
  <c r="C19" i="71"/>
  <c r="T20" i="71"/>
  <c r="D20" i="71"/>
  <c r="U20" i="71" s="1"/>
  <c r="H90" i="80"/>
  <c r="G90" i="80" s="1"/>
  <c r="D20" i="12"/>
  <c r="C20" i="12" s="1"/>
  <c r="D10" i="68"/>
  <c r="C10" i="68" s="1"/>
  <c r="B29" i="1" s="1"/>
  <c r="D10" i="11"/>
  <c r="C10" i="11" s="1"/>
  <c r="D21" i="6"/>
  <c r="C14" i="74"/>
  <c r="C28" i="11"/>
  <c r="C27" i="11" s="1"/>
  <c r="B23" i="1"/>
  <c r="C23" i="11" s="1"/>
  <c r="B24" i="1"/>
  <c r="F50" i="69" s="1"/>
  <c r="C29" i="11"/>
  <c r="D27" i="11" s="1"/>
  <c r="C29" i="68"/>
  <c r="D27" i="68" s="1"/>
  <c r="D6" i="6"/>
  <c r="D13" i="6"/>
  <c r="M19" i="9"/>
  <c r="C118" i="9" s="1"/>
  <c r="B2" i="74" s="1"/>
  <c r="D8" i="74" s="1"/>
  <c r="D23" i="6"/>
  <c r="D22" i="6"/>
  <c r="D29" i="6"/>
  <c r="C44" i="68"/>
  <c r="D41" i="68" s="1"/>
  <c r="H26" i="6"/>
  <c r="D11" i="6"/>
  <c r="C18" i="4"/>
  <c r="A7" i="51" s="1"/>
  <c r="B7" i="72" s="1"/>
  <c r="L19" i="9"/>
  <c r="D14" i="6"/>
  <c r="D20" i="6"/>
  <c r="D15" i="6"/>
  <c r="E61" i="40"/>
  <c r="D12" i="6"/>
  <c r="D19" i="6"/>
  <c r="D10" i="6"/>
  <c r="D8" i="6"/>
  <c r="D24" i="6"/>
  <c r="D25" i="6"/>
  <c r="D28" i="6"/>
  <c r="D30" i="6" s="1"/>
  <c r="D5" i="6"/>
  <c r="H24" i="6"/>
  <c r="R24" i="6" s="1"/>
  <c r="R11" i="1" s="1"/>
  <c r="D9" i="6"/>
  <c r="D26" i="6"/>
  <c r="H22" i="6"/>
  <c r="C44" i="11"/>
  <c r="D41" i="11" s="1"/>
  <c r="H21" i="6"/>
  <c r="H25" i="6"/>
  <c r="E6" i="3"/>
  <c r="C24" i="11"/>
  <c r="C44" i="69"/>
  <c r="D41" i="69" s="1"/>
  <c r="C26" i="69"/>
  <c r="D22" i="69" s="1"/>
  <c r="C18" i="67"/>
  <c r="C15" i="67"/>
  <c r="H23" i="6"/>
  <c r="C30" i="43"/>
  <c r="B2" i="43" s="1"/>
  <c r="B3" i="43" s="1"/>
  <c r="C31" i="43"/>
  <c r="H20" i="6"/>
  <c r="C38" i="69"/>
  <c r="C35" i="69"/>
  <c r="E12" i="70"/>
  <c r="S16" i="1"/>
  <c r="E9" i="70"/>
  <c r="AR9" i="1"/>
  <c r="AQ9" i="1"/>
  <c r="T9" i="1"/>
  <c r="AQ11" i="1"/>
  <c r="AR11" i="1"/>
  <c r="T11" i="1"/>
  <c r="AR12" i="1"/>
  <c r="T12" i="1"/>
  <c r="AQ12" i="1"/>
  <c r="AQ10" i="1"/>
  <c r="T10" i="1"/>
  <c r="AR10" i="1"/>
  <c r="AR7" i="1"/>
  <c r="AQ7" i="1"/>
  <c r="T7" i="1"/>
  <c r="M27" i="6"/>
  <c r="I19" i="6"/>
  <c r="C15" i="12"/>
  <c r="C12" i="12"/>
  <c r="C10" i="69"/>
  <c r="C8" i="69" s="1"/>
  <c r="C5" i="69" s="1"/>
  <c r="D19" i="69"/>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C18" i="71" l="1"/>
  <c r="D19" i="71"/>
  <c r="H91" i="80"/>
  <c r="G91" i="80" s="1"/>
  <c r="D19" i="68"/>
  <c r="A10" i="51"/>
  <c r="B9" i="72" s="1"/>
  <c r="R21" i="6"/>
  <c r="R8" i="1" s="1"/>
  <c r="R25" i="6"/>
  <c r="R12" i="1" s="1"/>
  <c r="C25" i="11"/>
  <c r="C22" i="11" s="1"/>
  <c r="R22" i="6"/>
  <c r="R9" i="1" s="1"/>
  <c r="R20" i="6"/>
  <c r="R7" i="1" s="1"/>
  <c r="D27" i="6"/>
  <c r="D31" i="6" s="1"/>
  <c r="I5" i="6" s="1"/>
  <c r="C26" i="68"/>
  <c r="D22" i="68" s="1"/>
  <c r="E2" i="70"/>
  <c r="F50" i="11"/>
  <c r="C26" i="11"/>
  <c r="D22" i="11" s="1"/>
  <c r="D7" i="74"/>
  <c r="F34" i="11"/>
  <c r="C37" i="11" s="1"/>
  <c r="F34" i="68"/>
  <c r="M59" i="15"/>
  <c r="M59" i="67"/>
  <c r="C29" i="12"/>
  <c r="D28" i="12" s="1"/>
  <c r="F50" i="68"/>
  <c r="C26" i="12"/>
  <c r="D25" i="12" s="1"/>
  <c r="F11" i="12"/>
  <c r="C14" i="12" s="1"/>
  <c r="C16" i="12" s="1"/>
  <c r="D16" i="6"/>
  <c r="R26" i="6"/>
  <c r="R23" i="6"/>
  <c r="R10" i="1" s="1"/>
  <c r="C4" i="52"/>
  <c r="B45" i="72" s="1"/>
  <c r="C19" i="67"/>
  <c r="C20" i="67" s="1"/>
  <c r="C26" i="67" s="1"/>
  <c r="T16" i="1"/>
  <c r="C18" i="15"/>
  <c r="C15" i="15"/>
  <c r="H19" i="6"/>
  <c r="S19" i="6"/>
  <c r="S27" i="6" s="1"/>
  <c r="I27" i="6"/>
  <c r="C19" i="68"/>
  <c r="D37" i="68"/>
  <c r="C19" i="69"/>
  <c r="C24" i="69" s="1"/>
  <c r="D37" i="69"/>
  <c r="C37" i="69" s="1"/>
  <c r="C33" i="69" s="1"/>
  <c r="C23" i="69"/>
  <c r="E2" i="76"/>
  <c r="B2" i="76"/>
  <c r="I69" i="39"/>
  <c r="J67" i="39"/>
  <c r="I63" i="40"/>
  <c r="H65" i="40"/>
  <c r="I58" i="21"/>
  <c r="J58" i="21" s="1"/>
  <c r="K58" i="21" s="1"/>
  <c r="L58" i="21" s="1"/>
  <c r="M58" i="21" s="1"/>
  <c r="N58" i="21" s="1"/>
  <c r="O58" i="21" s="1"/>
  <c r="H7" i="21" s="1"/>
  <c r="J48" i="35"/>
  <c r="C17" i="71" l="1"/>
  <c r="D18" i="71"/>
  <c r="H92" i="80"/>
  <c r="G92" i="80" s="1"/>
  <c r="I6" i="6"/>
  <c r="C31" i="11"/>
  <c r="C36" i="11"/>
  <c r="C34" i="11"/>
  <c r="C38" i="11" s="1"/>
  <c r="C37" i="68"/>
  <c r="C36" i="68"/>
  <c r="C34" i="68"/>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16" i="71" l="1"/>
  <c r="D17" i="71"/>
  <c r="H93" i="80"/>
  <c r="G93" i="80" s="1"/>
  <c r="C35" i="11"/>
  <c r="C35" i="68"/>
  <c r="C38" i="68"/>
  <c r="W7" i="21"/>
  <c r="AA7" i="21"/>
  <c r="R48" i="21" s="1"/>
  <c r="E48"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15"/>
  <c r="M21" i="67"/>
  <c r="F35" i="15"/>
  <c r="F35" i="67"/>
  <c r="D16" i="71" l="1"/>
  <c r="U16" i="71" s="1"/>
  <c r="T16" i="71"/>
  <c r="C15" i="71"/>
  <c r="H94" i="80"/>
  <c r="G94" i="80" s="1"/>
  <c r="R49" i="21"/>
  <c r="C33" i="68"/>
  <c r="C91" i="9"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H95" i="80"/>
  <c r="G95" i="80" s="1"/>
  <c r="I42" i="35"/>
  <c r="J42" i="35" s="1"/>
  <c r="C94" i="9"/>
  <c r="C92" i="9"/>
  <c r="C39" i="68"/>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H96" i="80"/>
  <c r="G96" i="80" s="1"/>
  <c r="C41" i="68"/>
  <c r="C46" i="68"/>
  <c r="C45" i="68"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3" i="71" l="1"/>
  <c r="C12" i="71"/>
  <c r="H97" i="80"/>
  <c r="G97" i="80" s="1"/>
  <c r="C49" i="68"/>
  <c r="C51" i="68" s="1"/>
  <c r="B3" i="21"/>
  <c r="C6" i="12" s="1"/>
  <c r="C8" i="1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6"/>
  <c r="D2" i="35"/>
  <c r="C11" i="71" l="1"/>
  <c r="T12" i="71"/>
  <c r="D12" i="71"/>
  <c r="U12" i="71" s="1"/>
  <c r="H98" i="80"/>
  <c r="G98" i="80" s="1"/>
  <c r="Q57" i="67"/>
  <c r="Q62" i="67" s="1"/>
  <c r="Q66" i="67"/>
  <c r="Q75" i="67" s="1"/>
  <c r="B3" i="67"/>
  <c r="L57" i="15"/>
  <c r="L60" i="15" s="1"/>
  <c r="Q57" i="15" s="1"/>
  <c r="Q67" i="15"/>
  <c r="B2" i="36"/>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8" i="1"/>
  <c r="AO9" i="1"/>
  <c r="AO7" i="1"/>
  <c r="AO12" i="1"/>
  <c r="AO10" i="1"/>
  <c r="AO6" i="1"/>
  <c r="C10" i="71" l="1"/>
  <c r="D11" i="71"/>
  <c r="H99" i="80"/>
  <c r="G99" i="80" s="1"/>
  <c r="B3" i="35"/>
  <c r="D6" i="12" s="1"/>
  <c r="D8" i="12"/>
  <c r="B3" i="36"/>
  <c r="E6" i="12" s="1"/>
  <c r="E8" i="12"/>
  <c r="R48" i="39"/>
  <c r="C48" i="39" s="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0" i="71" l="1"/>
  <c r="C9" i="71"/>
  <c r="H100" i="80"/>
  <c r="G100" i="80" s="1"/>
  <c r="C4" i="12"/>
  <c r="C23" i="12" s="1"/>
  <c r="C47" i="39"/>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H101" i="80"/>
  <c r="G101" i="80" s="1"/>
  <c r="C31" i="12"/>
  <c r="F65" i="39"/>
  <c r="B2" i="39" s="1"/>
  <c r="C42" i="40"/>
  <c r="C43" i="40"/>
  <c r="E47" i="40"/>
  <c r="F47" i="40" s="1"/>
  <c r="E46" i="40"/>
  <c r="F46" i="40" s="1"/>
  <c r="I47" i="40"/>
  <c r="J47" i="40" s="1"/>
  <c r="C7" i="71" l="1"/>
  <c r="D8" i="71"/>
  <c r="H102" i="80"/>
  <c r="G102" i="80" s="1"/>
  <c r="B3" i="39"/>
  <c r="C6" i="68"/>
  <c r="C7" i="68" s="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H103" i="80"/>
  <c r="G103" i="80" s="1"/>
  <c r="C8" i="68"/>
  <c r="C5" i="68" s="1"/>
  <c r="C18" i="12"/>
  <c r="C21" i="12" s="1"/>
  <c r="C5" i="71" l="1"/>
  <c r="D5" i="71" s="1"/>
  <c r="M24" i="43" s="1"/>
  <c r="D6" i="71"/>
  <c r="H104" i="80"/>
  <c r="G104" i="80" s="1"/>
  <c r="C22" i="12"/>
  <c r="C30" i="12" s="1"/>
  <c r="C28" i="12" s="1"/>
  <c r="C23" i="68"/>
  <c r="C20" i="68"/>
  <c r="H105" i="80" l="1"/>
  <c r="G105" i="80" s="1"/>
  <c r="C27" i="12"/>
  <c r="C25" i="12" s="1"/>
  <c r="C32" i="12" s="1"/>
  <c r="B2" i="12" s="1"/>
  <c r="C28" i="68"/>
  <c r="C27" i="68" s="1"/>
  <c r="C25" i="68"/>
  <c r="C22" i="68" s="1"/>
  <c r="D19" i="9"/>
  <c r="H106" i="80" l="1"/>
  <c r="G106" i="80" s="1"/>
  <c r="D102" i="9"/>
  <c r="D21" i="9"/>
  <c r="B3" i="12"/>
  <c r="C31" i="68"/>
  <c r="C52" i="68" s="1"/>
  <c r="C57" i="68" s="1"/>
  <c r="C56" i="68" s="1"/>
  <c r="G36" i="9" s="1"/>
  <c r="H35" i="9" s="1"/>
  <c r="D20" i="9"/>
  <c r="H107" i="80" l="1"/>
  <c r="G107" i="80" s="1"/>
  <c r="D103" i="9"/>
  <c r="B2" i="68"/>
  <c r="C19" i="9"/>
  <c r="G35" i="9" l="1"/>
  <c r="I35" i="9" s="1"/>
  <c r="F34" i="9" s="1"/>
  <c r="H108" i="80"/>
  <c r="G108" i="80" s="1"/>
  <c r="C102" i="9"/>
  <c r="D22" i="9"/>
  <c r="G19" i="9"/>
  <c r="I36" i="9" s="1"/>
  <c r="F35" i="9" s="1"/>
  <c r="C21" i="9"/>
  <c r="B3" i="68"/>
  <c r="C20" i="9"/>
  <c r="H109" i="80" l="1"/>
  <c r="G109" i="80" s="1"/>
  <c r="G21" i="9"/>
  <c r="D14" i="74"/>
  <c r="G14" i="74" s="1"/>
  <c r="B6" i="74" s="1"/>
  <c r="D6" i="74" s="1"/>
  <c r="G20" i="9"/>
  <c r="C32" i="9" s="1"/>
  <c r="C103" i="9"/>
  <c r="H110" i="80" l="1"/>
  <c r="G110" i="80" s="1"/>
  <c r="E14" i="74"/>
  <c r="F14" i="74"/>
  <c r="B5" i="74"/>
  <c r="D5" i="74" s="1"/>
  <c r="C35" i="9"/>
  <c r="D35" i="9"/>
  <c r="C34" i="9" l="1"/>
  <c r="D34" i="9" s="1"/>
  <c r="H111" i="80"/>
  <c r="G111" i="80" s="1"/>
  <c r="D118" i="9"/>
  <c r="D119" i="9" s="1"/>
  <c r="D5" i="52" s="1"/>
  <c r="B49" i="72" s="1"/>
  <c r="F118" i="9"/>
  <c r="G118" i="9" s="1"/>
  <c r="G4" i="52" s="1"/>
  <c r="B52" i="72" s="1"/>
  <c r="H118" i="9"/>
  <c r="C104" i="9" s="1"/>
  <c r="H112" i="80" l="1"/>
  <c r="G112" i="80" s="1"/>
  <c r="H4" i="52"/>
  <c r="H119" i="9"/>
  <c r="H5" i="52" s="1"/>
  <c r="F4" i="52"/>
  <c r="B51" i="72" s="1"/>
  <c r="F119" i="9"/>
  <c r="F5" i="52" s="1"/>
  <c r="B53" i="72" s="1"/>
  <c r="D4" i="52"/>
  <c r="B47" i="72" s="1"/>
  <c r="H101" i="9"/>
  <c r="I118" i="9"/>
  <c r="H113" i="80" l="1"/>
  <c r="G113" i="80" s="1"/>
  <c r="H102" i="9"/>
  <c r="C105" i="9"/>
  <c r="E118" i="9"/>
  <c r="E4" i="52" s="1"/>
  <c r="B48" i="72" s="1"/>
  <c r="I4" i="52"/>
  <c r="D45" i="9"/>
  <c r="D5" i="53"/>
  <c r="M48" i="9"/>
  <c r="H107" i="9"/>
  <c r="H114" i="80" l="1"/>
  <c r="G114" i="80" s="1"/>
  <c r="D6" i="53"/>
  <c r="B22" i="72" s="1"/>
  <c r="B20" i="72"/>
  <c r="M49" i="9"/>
  <c r="D122" i="9"/>
  <c r="H108" i="9"/>
  <c r="D13" i="53"/>
  <c r="C64" i="9"/>
  <c r="C63" i="9" s="1"/>
  <c r="C67" i="9" s="1"/>
  <c r="D52" i="9"/>
  <c r="C78" i="9"/>
  <c r="C73" i="9" s="1"/>
  <c r="C93" i="9"/>
  <c r="C86" i="9" s="1"/>
  <c r="D53" i="9"/>
  <c r="D48" i="9" s="1"/>
  <c r="M52" i="9" s="1"/>
  <c r="D55" i="9"/>
  <c r="M53" i="9" s="1"/>
  <c r="C72" i="9"/>
  <c r="C85" i="9"/>
  <c r="C5" i="74"/>
  <c r="D7" i="53"/>
  <c r="B21" i="72" s="1"/>
  <c r="H115" i="80" l="1"/>
  <c r="G115" i="80" s="1"/>
  <c r="C95" i="9"/>
  <c r="C96" i="9" s="1"/>
  <c r="E96" i="9" s="1"/>
  <c r="E97" i="9" s="1"/>
  <c r="C79" i="9"/>
  <c r="C80" i="9" s="1"/>
  <c r="E80" i="9" s="1"/>
  <c r="E81" i="9" s="1"/>
  <c r="D123" i="9"/>
  <c r="D9" i="52" s="1"/>
  <c r="D8" i="52"/>
  <c r="D59" i="9"/>
  <c r="M55" i="9" s="1"/>
  <c r="C68" i="9"/>
  <c r="D54" i="9" s="1"/>
  <c r="L67" i="9"/>
  <c r="M67" i="9" s="1"/>
  <c r="L64" i="9"/>
  <c r="M64" i="9" s="1"/>
  <c r="L66" i="9"/>
  <c r="M66" i="9" s="1"/>
  <c r="L63" i="9"/>
  <c r="M63" i="9" s="1"/>
  <c r="L65" i="9"/>
  <c r="M65" i="9" s="1"/>
  <c r="L68" i="9"/>
  <c r="M68" i="9" s="1"/>
  <c r="C6" i="74"/>
  <c r="D15" i="53"/>
  <c r="B31" i="72" s="1"/>
  <c r="D14" i="53"/>
  <c r="B32" i="72" s="1"/>
  <c r="B30" i="72"/>
  <c r="H117" i="80" l="1"/>
  <c r="G117" i="80" s="1"/>
  <c r="M69" i="9"/>
  <c r="N69" i="9" s="1"/>
  <c r="C81" i="9"/>
  <c r="C97" i="9"/>
  <c r="D58" i="9" s="1"/>
  <c r="D56" i="9" s="1"/>
  <c r="M54" i="9" s="1"/>
  <c r="N57" i="9" s="1"/>
  <c r="H118" i="80" l="1"/>
  <c r="G118" i="80" s="1"/>
  <c r="N58" i="9"/>
  <c r="P57" i="9"/>
  <c r="N59" i="9"/>
  <c r="H116" i="80" l="1"/>
  <c r="G116" i="80" s="1"/>
  <c r="N61" i="9"/>
  <c r="N60" i="9"/>
  <c r="H119" i="80" l="1"/>
  <c r="G119" i="80" s="1"/>
  <c r="H120" i="80" l="1"/>
  <c r="G120" i="80" s="1"/>
  <c r="H121" i="80" l="1"/>
  <c r="G121" i="80" s="1"/>
  <c r="H122" i="80" l="1"/>
  <c r="G122" i="80" s="1"/>
  <c r="H123" i="80" l="1"/>
  <c r="G123" i="80" s="1"/>
  <c r="H124" i="80" l="1"/>
  <c r="G124" i="80" s="1"/>
  <c r="H125" i="80" l="1"/>
  <c r="G125" i="80" s="1"/>
  <c r="H126" i="80" l="1"/>
  <c r="G126" i="80" s="1"/>
  <c r="H127" i="80" l="1"/>
  <c r="G127" i="80" s="1"/>
  <c r="H128" i="80" l="1"/>
  <c r="G128" i="80" s="1"/>
  <c r="H129" i="80" l="1"/>
  <c r="G129" i="80" s="1"/>
  <c r="H130" i="80" l="1"/>
  <c r="G130" i="80" s="1"/>
  <c r="H131" i="80" l="1"/>
  <c r="G131" i="80" s="1"/>
  <c r="H132" i="80" l="1"/>
  <c r="G132" i="80" s="1"/>
  <c r="H133" i="80" l="1"/>
  <c r="G133" i="80" s="1"/>
  <c r="H134" i="80" l="1"/>
  <c r="G134" i="80" s="1"/>
  <c r="H135" i="80" l="1"/>
  <c r="G135" i="80" s="1"/>
  <c r="H136" i="80" l="1"/>
  <c r="G136" i="80" s="1"/>
  <c r="H137" i="80" l="1"/>
  <c r="G137" i="80" s="1"/>
  <c r="H138" i="80" l="1"/>
  <c r="G138" i="80" s="1"/>
  <c r="H139" i="80" l="1"/>
  <c r="G139" i="80" s="1"/>
  <c r="H140" i="80" l="1"/>
  <c r="G140" i="80" s="1"/>
  <c r="H141" i="80" l="1"/>
  <c r="G141" i="80" s="1"/>
  <c r="H142" i="80" l="1"/>
  <c r="G142" i="80" s="1"/>
  <c r="H143" i="80" l="1"/>
  <c r="G143" i="80" s="1"/>
  <c r="H144" i="80" l="1"/>
  <c r="G144" i="80" s="1"/>
  <c r="H145" i="80" l="1"/>
  <c r="G145" i="80" s="1"/>
  <c r="H146" i="80" l="1"/>
  <c r="G146" i="80" s="1"/>
  <c r="H147" i="80" l="1"/>
  <c r="G147" i="80" s="1"/>
  <c r="H148" i="80" l="1"/>
  <c r="G148" i="80" s="1"/>
  <c r="H149" i="80" l="1"/>
  <c r="G149" i="80" s="1"/>
  <c r="H150" i="80" l="1"/>
  <c r="G150" i="80" s="1"/>
  <c r="H151" i="80" l="1"/>
  <c r="G151" i="80" s="1"/>
  <c r="H152" i="80" l="1"/>
  <c r="G152" i="80" s="1"/>
  <c r="H153" i="80" l="1"/>
  <c r="G153" i="80" s="1"/>
  <c r="H154" i="80" l="1"/>
  <c r="G154" i="80" s="1"/>
  <c r="H155" i="80" l="1"/>
  <c r="G155" i="80" s="1"/>
  <c r="H156" i="80" l="1"/>
  <c r="G156" i="80" s="1"/>
  <c r="H157" i="80" l="1"/>
  <c r="G157" i="80" s="1"/>
  <c r="H158" i="80" l="1"/>
  <c r="G158" i="80" s="1"/>
  <c r="H159" i="80" l="1"/>
  <c r="G159" i="80" s="1"/>
  <c r="H160" i="80" l="1"/>
  <c r="G160" i="80" s="1"/>
  <c r="H161" i="80" l="1"/>
  <c r="G161" i="80" s="1"/>
  <c r="H162" i="80" l="1"/>
  <c r="G162" i="80" s="1"/>
  <c r="H163" i="80" l="1"/>
  <c r="G163" i="80" s="1"/>
  <c r="H164" i="80" l="1"/>
  <c r="G164" i="80" s="1"/>
  <c r="H165" i="80" l="1"/>
  <c r="G165" i="80" s="1"/>
  <c r="H166" i="80" l="1"/>
  <c r="G166" i="80" s="1"/>
  <c r="H167" i="80" l="1"/>
  <c r="G167" i="80" s="1"/>
  <c r="H168" i="80" l="1"/>
  <c r="G168" i="80" s="1"/>
  <c r="H169" i="80" l="1"/>
  <c r="G169" i="80" s="1"/>
  <c r="H170" i="80" l="1"/>
  <c r="G170" i="80" s="1"/>
  <c r="H171" i="80" l="1"/>
  <c r="G171" i="80" s="1"/>
  <c r="H172" i="80" l="1"/>
  <c r="G172" i="80" s="1"/>
  <c r="H173" i="80" l="1"/>
  <c r="G173" i="80" s="1"/>
  <c r="H174" i="80" l="1"/>
  <c r="G174" i="80" s="1"/>
  <c r="H175" i="80" l="1"/>
  <c r="G175" i="80" s="1"/>
  <c r="H176" i="80" l="1"/>
  <c r="G176" i="80" s="1"/>
  <c r="H177" i="80" l="1"/>
  <c r="G177" i="80" s="1"/>
  <c r="H178" i="80" l="1"/>
  <c r="G178" i="80" s="1"/>
  <c r="H179" i="80" l="1"/>
  <c r="G179" i="80" s="1"/>
  <c r="H180" i="80" l="1"/>
  <c r="G180" i="80" s="1"/>
  <c r="H181" i="80" l="1"/>
  <c r="G181" i="80" s="1"/>
  <c r="H182" i="80" l="1"/>
  <c r="G182" i="80" s="1"/>
  <c r="H183" i="80" l="1"/>
  <c r="G183" i="80" s="1"/>
  <c r="H184" i="80" l="1"/>
  <c r="G184" i="80" s="1"/>
  <c r="H187" i="80" l="1"/>
  <c r="G187" i="80" s="1"/>
  <c r="H185" i="80" l="1"/>
  <c r="G185" i="80" s="1"/>
  <c r="H186" i="80" l="1"/>
  <c r="G186" i="80" s="1"/>
  <c r="H188" i="80" l="1"/>
  <c r="G188" i="80" s="1"/>
  <c r="H189" i="80" l="1"/>
  <c r="G189" i="80" s="1"/>
  <c r="H190" i="80" l="1"/>
  <c r="G190" i="80" s="1"/>
  <c r="H191" i="80" l="1"/>
  <c r="G191" i="80" s="1"/>
  <c r="H192" i="80" l="1"/>
  <c r="G192" i="80" s="1"/>
  <c r="H193" i="80" l="1"/>
  <c r="G193" i="80" s="1"/>
  <c r="H194" i="80" l="1"/>
  <c r="G194" i="80" s="1"/>
  <c r="H195" i="80" l="1"/>
  <c r="G195" i="80" s="1"/>
  <c r="H196" i="80" l="1"/>
  <c r="G196" i="80" s="1"/>
  <c r="H197" i="80" l="1"/>
  <c r="G197" i="80" s="1"/>
  <c r="H198" i="80" l="1"/>
  <c r="G198" i="80" s="1"/>
  <c r="H199" i="80" l="1"/>
  <c r="G199" i="80" s="1"/>
  <c r="H200" i="80" l="1"/>
  <c r="G200" i="80" s="1"/>
  <c r="H201" i="80" l="1"/>
  <c r="G201" i="80" s="1"/>
  <c r="H202" i="80" l="1"/>
  <c r="G202" i="80" s="1"/>
  <c r="H203" i="80" l="1"/>
  <c r="G203" i="80" s="1"/>
  <c r="H204" i="80" l="1"/>
  <c r="G204" i="80" s="1"/>
  <c r="H205" i="80" l="1"/>
  <c r="G205" i="80" s="1"/>
  <c r="H206" i="80" l="1"/>
  <c r="G206" i="80" s="1"/>
  <c r="H207" i="80" l="1"/>
  <c r="G207" i="80" s="1"/>
  <c r="H208" i="80" l="1"/>
  <c r="G208" i="80" s="1"/>
  <c r="H209" i="80" l="1"/>
  <c r="G209" i="80" s="1"/>
  <c r="H210" i="80" l="1"/>
  <c r="G210" i="80" s="1"/>
  <c r="H211" i="80" l="1"/>
  <c r="G211" i="80" s="1"/>
  <c r="H212" i="80" l="1"/>
  <c r="G212" i="80" s="1"/>
  <c r="H213" i="80" l="1"/>
  <c r="G213" i="80" s="1"/>
  <c r="H214" i="80" l="1"/>
  <c r="G214" i="80" s="1"/>
  <c r="H215" i="80" l="1"/>
  <c r="G215" i="80" s="1"/>
  <c r="H216" i="80" l="1"/>
  <c r="G216" i="80" s="1"/>
  <c r="H217" i="80" l="1"/>
  <c r="G217" i="80" s="1"/>
  <c r="H218" i="80" l="1"/>
  <c r="G218" i="80" s="1"/>
  <c r="H219" i="80" l="1"/>
  <c r="G219" i="80" s="1"/>
  <c r="H220" i="80" l="1"/>
  <c r="G220" i="80" s="1"/>
  <c r="H221" i="80" l="1"/>
  <c r="G221" i="80" s="1"/>
  <c r="H222" i="80" l="1"/>
  <c r="G222" i="80" s="1"/>
  <c r="H223" i="80" l="1"/>
  <c r="G223" i="80" s="1"/>
  <c r="H224" i="80" l="1"/>
  <c r="G224" i="80" s="1"/>
  <c r="H225" i="80" l="1"/>
  <c r="G225" i="80" s="1"/>
  <c r="H226" i="80" l="1"/>
  <c r="G226" i="80" s="1"/>
  <c r="H227" i="80" l="1"/>
  <c r="G227" i="80" s="1"/>
  <c r="H228" i="80" l="1"/>
  <c r="G228" i="80" s="1"/>
  <c r="H229" i="80" l="1"/>
  <c r="G229" i="80" s="1"/>
  <c r="H230" i="80" l="1"/>
  <c r="G230" i="80" s="1"/>
  <c r="H231" i="80" l="1"/>
  <c r="G231" i="80" s="1"/>
  <c r="H232" i="80" l="1"/>
  <c r="G232" i="80" s="1"/>
  <c r="H233" i="80" l="1"/>
  <c r="G233" i="80" s="1"/>
  <c r="H234" i="80" l="1"/>
  <c r="G234" i="80" s="1"/>
  <c r="H235" i="80" l="1"/>
  <c r="G235" i="80" s="1"/>
  <c r="H236" i="80" l="1"/>
  <c r="G236" i="80" s="1"/>
  <c r="H237" i="80" l="1"/>
  <c r="G237" i="80" s="1"/>
  <c r="H238" i="80" l="1"/>
  <c r="G238" i="80" s="1"/>
  <c r="H239" i="80" l="1"/>
  <c r="G239" i="80" s="1"/>
  <c r="H240" i="80" l="1"/>
  <c r="G240" i="80" s="1"/>
  <c r="H241" i="80" l="1"/>
  <c r="G241" i="80" s="1"/>
  <c r="H242" i="80" l="1"/>
  <c r="G242" i="80" s="1"/>
  <c r="H243" i="80" l="1"/>
  <c r="G243" i="80" s="1"/>
  <c r="H244" i="80" l="1"/>
  <c r="G244" i="80" s="1"/>
  <c r="H245" i="80" l="1"/>
  <c r="G245" i="80" s="1"/>
  <c r="H246" i="80" l="1"/>
  <c r="G246" i="80" s="1"/>
  <c r="H247" i="80" l="1"/>
  <c r="G247" i="80" s="1"/>
  <c r="H248" i="80" l="1"/>
  <c r="G248" i="80" s="1"/>
  <c r="H249" i="80" l="1"/>
  <c r="G249" i="80" s="1"/>
  <c r="H250" i="80" l="1"/>
  <c r="G250" i="80" s="1"/>
  <c r="H251" i="80" l="1"/>
  <c r="G251" i="80" s="1"/>
  <c r="H252" i="80" l="1"/>
  <c r="G252" i="80" s="1"/>
  <c r="H253" i="80" l="1"/>
  <c r="G253" i="80" s="1"/>
  <c r="H254" i="80" l="1"/>
  <c r="G254" i="80" s="1"/>
  <c r="H255" i="80" l="1"/>
  <c r="G255" i="80" s="1"/>
  <c r="H256" i="80" l="1"/>
  <c r="G256" i="80" s="1"/>
  <c r="H257" i="80" l="1"/>
  <c r="G257" i="80" s="1"/>
  <c r="H258" i="80" l="1"/>
  <c r="G258" i="80" s="1"/>
  <c r="H259" i="80" l="1"/>
  <c r="G259" i="80" s="1"/>
  <c r="H260" i="80" l="1"/>
  <c r="G260" i="80" s="1"/>
  <c r="H261" i="80" l="1"/>
  <c r="G261" i="80" s="1"/>
  <c r="H262" i="80" l="1"/>
  <c r="G262" i="80" s="1"/>
  <c r="H263" i="80" l="1"/>
  <c r="G263" i="80" s="1"/>
  <c r="H264" i="80" l="1"/>
  <c r="G264" i="80" s="1"/>
  <c r="H265" i="80" l="1"/>
  <c r="G265" i="80" s="1"/>
  <c r="H266" i="80" l="1"/>
  <c r="G266" i="80" s="1"/>
  <c r="H267" i="80" l="1"/>
  <c r="G267" i="80" s="1"/>
  <c r="H271" i="80" l="1"/>
  <c r="G271" i="80" s="1"/>
  <c r="H272" i="80" l="1"/>
  <c r="G272" i="80" s="1"/>
  <c r="H268" i="80" l="1"/>
  <c r="G268" i="80" s="1"/>
  <c r="H269" i="80" l="1"/>
  <c r="G269" i="80" s="1"/>
  <c r="H270" i="80" l="1"/>
  <c r="G270" i="80" s="1"/>
  <c r="H273" i="80" l="1"/>
  <c r="G273" i="80" s="1"/>
  <c r="H274" i="80" l="1"/>
  <c r="G274" i="80" s="1"/>
  <c r="H275" i="80" l="1"/>
  <c r="G275" i="80" s="1"/>
  <c r="H276" i="80" l="1"/>
  <c r="G276" i="80" s="1"/>
  <c r="H277" i="80" l="1"/>
  <c r="G277" i="80" s="1"/>
  <c r="H278" i="80" l="1"/>
  <c r="G278" i="80" s="1"/>
  <c r="H279" i="80" l="1"/>
  <c r="G279" i="80" s="1"/>
  <c r="H280" i="80" l="1"/>
  <c r="G280" i="80" s="1"/>
  <c r="H281" i="80" l="1"/>
  <c r="G281" i="80" s="1"/>
  <c r="H282" i="80" l="1"/>
  <c r="G282" i="80" s="1"/>
  <c r="H283" i="80" l="1"/>
  <c r="G283" i="80" s="1"/>
  <c r="H284" i="80" l="1"/>
  <c r="G284" i="80" s="1"/>
  <c r="H285" i="80" l="1"/>
  <c r="G285" i="80" s="1"/>
  <c r="H286" i="80" l="1"/>
  <c r="G286" i="80" s="1"/>
  <c r="H287" i="80" l="1"/>
  <c r="G287" i="80" s="1"/>
  <c r="H288" i="80" l="1"/>
  <c r="G288" i="80" s="1"/>
  <c r="H289" i="80" l="1"/>
  <c r="G289" i="80" s="1"/>
  <c r="H290" i="80" l="1"/>
  <c r="G290" i="80" s="1"/>
  <c r="H291" i="80" l="1"/>
  <c r="G291" i="80" s="1"/>
  <c r="H300" i="80" l="1"/>
  <c r="G300" i="80" s="1"/>
  <c r="H301" i="80" l="1"/>
  <c r="G301" i="80" s="1"/>
  <c r="H302" i="80" l="1"/>
  <c r="G302" i="80" s="1"/>
  <c r="H303" i="80" l="1"/>
  <c r="G303" i="80" s="1"/>
  <c r="H304" i="80" l="1"/>
  <c r="G304" i="80" s="1"/>
  <c r="H305" i="80" l="1"/>
  <c r="G305" i="80" s="1"/>
  <c r="H306" i="80" l="1"/>
  <c r="G306" i="80" s="1"/>
  <c r="H307" i="80" l="1"/>
  <c r="G307" i="80" s="1"/>
  <c r="H292" i="80" l="1"/>
  <c r="G292" i="80" s="1"/>
  <c r="H293" i="80" l="1"/>
  <c r="G293" i="80" s="1"/>
  <c r="H294" i="80" l="1"/>
  <c r="G294" i="80" s="1"/>
  <c r="H295" i="80" l="1"/>
  <c r="G295" i="80" s="1"/>
  <c r="H296" i="80" l="1"/>
  <c r="G296" i="80" s="1"/>
  <c r="H297" i="80" l="1"/>
  <c r="G297" i="80" s="1"/>
  <c r="H298" i="80" l="1"/>
  <c r="G298" i="80" s="1"/>
  <c r="H299" i="80" l="1"/>
  <c r="G299" i="80" s="1"/>
  <c r="H308" i="80" l="1"/>
  <c r="G308" i="80" s="1"/>
  <c r="H309" i="80" l="1"/>
  <c r="G309" i="80" s="1"/>
  <c r="H310" i="80" l="1"/>
  <c r="G310" i="80" s="1"/>
  <c r="H311" i="80" l="1"/>
  <c r="G311" i="80" s="1"/>
  <c r="H312" i="80" l="1"/>
  <c r="G312" i="80" s="1"/>
  <c r="H313" i="80" l="1"/>
  <c r="G313" i="80" s="1"/>
  <c r="H314" i="80" l="1"/>
  <c r="G314" i="80" s="1"/>
  <c r="H315" i="80" l="1"/>
  <c r="G315" i="80" s="1"/>
  <c r="H316" i="80" l="1"/>
  <c r="G316" i="80" s="1"/>
  <c r="H317" i="80" l="1"/>
  <c r="G317" i="80" s="1"/>
  <c r="H318" i="80" l="1"/>
  <c r="G318" i="80" s="1"/>
  <c r="H319" i="80" l="1"/>
  <c r="G319" i="80" s="1"/>
  <c r="H320" i="80" l="1"/>
  <c r="G320" i="80" s="1"/>
  <c r="H321" i="80" l="1"/>
  <c r="G321" i="80" s="1"/>
  <c r="H322" i="80" l="1"/>
  <c r="G322" i="80" s="1"/>
  <c r="H323" i="80" l="1"/>
  <c r="G323" i="80" s="1"/>
  <c r="H324" i="80" l="1"/>
  <c r="G324" i="80" s="1"/>
  <c r="H325" i="80" l="1"/>
  <c r="G325" i="80" s="1"/>
  <c r="H326" i="80" l="1"/>
  <c r="G326" i="80" s="1"/>
  <c r="H327" i="80" l="1"/>
  <c r="G327" i="80" s="1"/>
  <c r="H328" i="80" l="1"/>
  <c r="G328" i="80" s="1"/>
  <c r="H329" i="80" l="1"/>
  <c r="G329" i="80" s="1"/>
  <c r="H330" i="80" l="1"/>
  <c r="G330" i="80" s="1"/>
  <c r="H331" i="80" l="1"/>
  <c r="G331" i="80" s="1"/>
  <c r="H332" i="80" l="1"/>
  <c r="G332" i="80" s="1"/>
  <c r="H333" i="80" l="1"/>
  <c r="G333" i="80" s="1"/>
  <c r="H334" i="80" l="1"/>
  <c r="G334" i="80" s="1"/>
  <c r="H335" i="80" l="1"/>
  <c r="G335" i="80" s="1"/>
  <c r="H336" i="80" l="1"/>
  <c r="G336" i="80" s="1"/>
  <c r="H337" i="80" l="1"/>
  <c r="G337" i="80" s="1"/>
  <c r="H338" i="80" l="1"/>
  <c r="G338" i="80" s="1"/>
  <c r="H339" i="80" l="1"/>
  <c r="G339" i="80" s="1"/>
  <c r="H340" i="80" l="1"/>
  <c r="G340" i="80" s="1"/>
  <c r="H341" i="80" l="1"/>
  <c r="G341" i="80" s="1"/>
  <c r="H342" i="80" l="1"/>
  <c r="G342" i="80" s="1"/>
  <c r="H343" i="80" l="1"/>
  <c r="G343" i="80" s="1"/>
  <c r="H344" i="80" l="1"/>
  <c r="G344" i="80" s="1"/>
  <c r="H345" i="80" l="1"/>
  <c r="G345" i="80" s="1"/>
  <c r="H346" i="80" l="1"/>
  <c r="G346" i="80" s="1"/>
  <c r="H347" i="80" l="1"/>
  <c r="G347" i="80" s="1"/>
  <c r="H348" i="80" l="1"/>
  <c r="G348" i="80" s="1"/>
  <c r="H349" i="80" l="1"/>
  <c r="G349" i="80" s="1"/>
  <c r="H350" i="80" l="1"/>
  <c r="G350" i="80" s="1"/>
  <c r="H351" i="80" l="1"/>
  <c r="G351" i="80" s="1"/>
  <c r="H352" i="80" l="1"/>
  <c r="G352" i="80" s="1"/>
  <c r="H353" i="80" l="1"/>
  <c r="G353" i="80" s="1"/>
  <c r="H354" i="80" l="1"/>
  <c r="G354" i="80" s="1"/>
  <c r="H355" i="80" l="1"/>
  <c r="G355" i="80" s="1"/>
  <c r="H356" i="80" l="1"/>
  <c r="G356" i="80" s="1"/>
  <c r="H357" i="80" l="1"/>
  <c r="G357" i="80" s="1"/>
  <c r="H358" i="80" l="1"/>
  <c r="G358" i="80" s="1"/>
  <c r="H359" i="80" l="1"/>
  <c r="G359" i="80" s="1"/>
  <c r="H360" i="80" l="1"/>
  <c r="G360" i="80" s="1"/>
  <c r="H361" i="80" l="1"/>
  <c r="G361" i="80" s="1"/>
  <c r="H362" i="80" l="1"/>
  <c r="G362" i="80" s="1"/>
  <c r="H363" i="80" l="1"/>
  <c r="G363" i="80" s="1"/>
  <c r="H364" i="80" l="1"/>
  <c r="G364" i="80" s="1"/>
  <c r="H365" i="80" l="1"/>
  <c r="G365" i="80" s="1"/>
  <c r="H366" i="80" l="1"/>
  <c r="G366" i="80" s="1"/>
  <c r="H367" i="80" l="1"/>
  <c r="G367" i="80" s="1"/>
  <c r="H368" i="80" l="1"/>
  <c r="G368" i="80" s="1"/>
  <c r="H369" i="80" l="1"/>
  <c r="G369" i="80" s="1"/>
  <c r="H370" i="80" l="1"/>
  <c r="G370" i="80" s="1"/>
  <c r="H371" i="80" l="1"/>
  <c r="G371" i="80" s="1"/>
  <c r="H372" i="80" l="1"/>
  <c r="G372" i="80" s="1"/>
  <c r="H373" i="80" l="1"/>
  <c r="G373" i="80" s="1"/>
  <c r="H374" i="80" l="1"/>
  <c r="G374" i="80" s="1"/>
  <c r="H375" i="80" l="1"/>
  <c r="G375" i="80" s="1"/>
  <c r="H376" i="80" l="1"/>
  <c r="G376" i="80" s="1"/>
  <c r="H377" i="80" l="1"/>
  <c r="G377" i="80" s="1"/>
  <c r="H378" i="80" l="1"/>
  <c r="G378" i="80" s="1"/>
  <c r="H379" i="80" l="1"/>
  <c r="G379" i="80" s="1"/>
  <c r="H380" i="80" l="1"/>
  <c r="G380" i="80" s="1"/>
  <c r="H381" i="80" l="1"/>
  <c r="G381" i="80" s="1"/>
  <c r="H382" i="80" l="1"/>
  <c r="G382" i="80" s="1"/>
  <c r="H383" i="80" l="1"/>
  <c r="G383" i="80" s="1"/>
  <c r="H384" i="80" l="1"/>
  <c r="G384" i="80" s="1"/>
  <c r="H385" i="80" l="1"/>
  <c r="G385" i="80" s="1"/>
  <c r="H386" i="80" l="1"/>
  <c r="G386" i="80" s="1"/>
  <c r="H387" i="80" l="1"/>
  <c r="G387" i="80" s="1"/>
  <c r="H388" i="80" l="1"/>
  <c r="G388" i="80" s="1"/>
  <c r="H389" i="80" l="1"/>
  <c r="G389" i="80" s="1"/>
  <c r="H390" i="80" l="1"/>
  <c r="G390" i="80" s="1"/>
  <c r="H391" i="80" l="1"/>
  <c r="G391" i="80" s="1"/>
  <c r="H392" i="80" l="1"/>
  <c r="G392" i="80" s="1"/>
  <c r="H393" i="80" l="1"/>
  <c r="G393" i="80" s="1"/>
  <c r="H394" i="80" l="1"/>
  <c r="G394" i="80" s="1"/>
  <c r="H395" i="80" l="1"/>
  <c r="G395" i="80" s="1"/>
  <c r="H396" i="80" l="1"/>
  <c r="G396" i="80" s="1"/>
  <c r="H397" i="80" l="1"/>
  <c r="G397" i="80" s="1"/>
  <c r="H398" i="80" l="1"/>
  <c r="G398" i="80" s="1"/>
  <c r="H399" i="80" l="1"/>
  <c r="G399" i="80" s="1"/>
  <c r="H400" i="80" l="1"/>
  <c r="G400" i="80" s="1"/>
  <c r="H401" i="80" l="1"/>
  <c r="G401" i="80" s="1"/>
  <c r="H402" i="80" l="1"/>
  <c r="G402" i="80" s="1"/>
  <c r="H403" i="80" l="1"/>
  <c r="G403" i="80" s="1"/>
  <c r="H404" i="80" l="1"/>
  <c r="G404" i="80" s="1"/>
  <c r="H405" i="80" l="1"/>
  <c r="G405" i="80" s="1"/>
  <c r="H406" i="80" l="1"/>
  <c r="G406" i="80" s="1"/>
  <c r="H408" i="80" l="1"/>
  <c r="G408" i="80" s="1"/>
  <c r="H409" i="80" l="1"/>
  <c r="G409" i="80" s="1"/>
  <c r="H410" i="80" l="1"/>
  <c r="G410" i="80" s="1"/>
  <c r="H407" i="80" l="1"/>
  <c r="G407" i="80" s="1"/>
  <c r="H411" i="80" l="1"/>
  <c r="G411" i="80" s="1"/>
  <c r="H412" i="80" l="1"/>
  <c r="G412" i="80" s="1"/>
  <c r="H413" i="80" l="1"/>
  <c r="G413" i="80" s="1"/>
  <c r="H414" i="80" l="1"/>
  <c r="G414" i="80" s="1"/>
  <c r="H415" i="80" l="1"/>
  <c r="G415" i="80" s="1"/>
  <c r="H416" i="80" l="1"/>
  <c r="G416" i="80" s="1"/>
  <c r="H417" i="80" l="1"/>
  <c r="G417" i="80" s="1"/>
  <c r="H418" i="80" l="1"/>
  <c r="G418" i="80" s="1"/>
  <c r="H419" i="80" l="1"/>
  <c r="G419" i="80" s="1"/>
  <c r="H420" i="80" l="1"/>
  <c r="G420" i="80" s="1"/>
  <c r="H421" i="80" l="1"/>
  <c r="G421" i="80" s="1"/>
  <c r="H422" i="80" l="1"/>
  <c r="G422" i="80" s="1"/>
  <c r="H423" i="80" l="1"/>
  <c r="G423" i="80" s="1"/>
  <c r="H424" i="80" l="1"/>
  <c r="G424" i="80" s="1"/>
  <c r="H425" i="80" l="1"/>
  <c r="G425" i="80" s="1"/>
  <c r="H426" i="80" l="1"/>
  <c r="G426" i="80" s="1"/>
  <c r="H427" i="80" l="1"/>
  <c r="G427" i="80" s="1"/>
  <c r="H428" i="80" l="1"/>
  <c r="G428" i="80" s="1"/>
  <c r="H429" i="80" l="1"/>
  <c r="G429" i="80" s="1"/>
  <c r="H430" i="80" l="1"/>
  <c r="G430" i="80" s="1"/>
  <c r="H431" i="80" l="1"/>
  <c r="G431" i="80" s="1"/>
  <c r="H432" i="80" l="1"/>
  <c r="G432" i="80" s="1"/>
  <c r="H433" i="80" l="1"/>
  <c r="G433" i="80" s="1"/>
  <c r="H434" i="80" l="1"/>
  <c r="G434" i="80" s="1"/>
  <c r="H435" i="80" l="1"/>
  <c r="G435" i="80" s="1"/>
  <c r="H436" i="80" l="1"/>
  <c r="G436" i="80" s="1"/>
  <c r="H437" i="80" l="1"/>
  <c r="G437" i="80" s="1"/>
  <c r="H438" i="80" l="1"/>
  <c r="G438" i="80" s="1"/>
  <c r="H439" i="80" l="1"/>
  <c r="G439" i="80" s="1"/>
  <c r="H440" i="80" l="1"/>
  <c r="G440" i="80" s="1"/>
  <c r="H441" i="80" l="1"/>
  <c r="G441" i="80" s="1"/>
  <c r="H442" i="80" l="1"/>
  <c r="G442" i="80" s="1"/>
  <c r="H443" i="80" l="1"/>
  <c r="G443" i="80" s="1"/>
  <c r="H444" i="80" l="1"/>
  <c r="G444" i="80" s="1"/>
  <c r="H445" i="80" l="1"/>
  <c r="G445" i="80" s="1"/>
  <c r="H446" i="80" l="1"/>
  <c r="G446" i="80" s="1"/>
  <c r="H447" i="80" l="1"/>
  <c r="G447" i="80" s="1"/>
  <c r="H448" i="80" l="1"/>
  <c r="G448" i="80" s="1"/>
  <c r="H449" i="80" l="1"/>
  <c r="G449" i="80" s="1"/>
  <c r="H450" i="80" l="1"/>
  <c r="G450" i="80" s="1"/>
  <c r="H451" i="80" l="1"/>
  <c r="G451" i="80" s="1"/>
  <c r="H452" i="80" l="1"/>
  <c r="G452" i="80" s="1"/>
  <c r="H453" i="80" l="1"/>
  <c r="G453" i="80" s="1"/>
  <c r="H454" i="80" l="1"/>
  <c r="G454" i="80" s="1"/>
  <c r="H455" i="80" l="1"/>
  <c r="G455" i="80" s="1"/>
  <c r="H456" i="80" l="1"/>
  <c r="G456" i="80" s="1"/>
  <c r="H457" i="80" l="1"/>
  <c r="G457" i="80" s="1"/>
  <c r="H458" i="80" l="1"/>
  <c r="G458" i="80" s="1"/>
  <c r="H459" i="80" l="1"/>
  <c r="G459" i="80" s="1"/>
  <c r="H460" i="80" l="1"/>
  <c r="G460" i="80" s="1"/>
  <c r="H461" i="80" l="1"/>
  <c r="G461" i="80" s="1"/>
  <c r="H462" i="80" l="1"/>
  <c r="G462" i="80" s="1"/>
  <c r="H463" i="80" l="1"/>
  <c r="G463" i="80" s="1"/>
  <c r="H464" i="80" l="1"/>
  <c r="G464" i="80" s="1"/>
  <c r="H465" i="80" l="1"/>
  <c r="G465" i="80" s="1"/>
  <c r="H466" i="80" l="1"/>
  <c r="G466" i="80" s="1"/>
  <c r="H467" i="80" l="1"/>
  <c r="G467" i="80" s="1"/>
  <c r="H468" i="80" l="1"/>
  <c r="G468" i="80" s="1"/>
  <c r="H469" i="80" l="1"/>
  <c r="G469" i="80" s="1"/>
  <c r="H470" i="80" l="1"/>
  <c r="G470" i="80" s="1"/>
  <c r="H471" i="80" l="1"/>
  <c r="G471" i="80" s="1"/>
  <c r="H472" i="80" l="1"/>
  <c r="G472" i="80" s="1"/>
  <c r="H473" i="80" l="1"/>
  <c r="G473" i="80" s="1"/>
  <c r="H474" i="80" l="1"/>
  <c r="G474" i="80" s="1"/>
  <c r="H475" i="80" l="1"/>
  <c r="G475" i="80" s="1"/>
  <c r="H476" i="80" l="1"/>
  <c r="G476" i="80" s="1"/>
  <c r="H477" i="80" l="1"/>
  <c r="G477" i="80" s="1"/>
  <c r="H478" i="80" l="1"/>
  <c r="G478" i="80" s="1"/>
  <c r="H479" i="80" l="1"/>
  <c r="G479" i="80" s="1"/>
  <c r="H480" i="80" l="1"/>
  <c r="G480" i="80" s="1"/>
  <c r="H481" i="80" l="1"/>
  <c r="G481" i="80" s="1"/>
  <c r="H482" i="80" l="1"/>
  <c r="G482" i="80" s="1"/>
  <c r="H483" i="80" l="1"/>
  <c r="G483" i="80" s="1"/>
  <c r="H484" i="80" l="1"/>
  <c r="G484" i="80" s="1"/>
  <c r="H485" i="80" l="1"/>
  <c r="G485" i="80" s="1"/>
  <c r="H486" i="80" l="1"/>
  <c r="G486" i="80" s="1"/>
  <c r="H487" i="80" l="1"/>
  <c r="G487" i="80" s="1"/>
  <c r="H488" i="80" l="1"/>
  <c r="G488" i="80" s="1"/>
  <c r="H489" i="80" l="1"/>
  <c r="G489" i="80" s="1"/>
  <c r="H490" i="80" l="1"/>
  <c r="G490" i="80" s="1"/>
  <c r="H491" i="80" l="1"/>
  <c r="G491" i="80" s="1"/>
  <c r="H492" i="80" l="1"/>
  <c r="G492" i="80" s="1"/>
  <c r="H493" i="80" l="1"/>
  <c r="G493" i="80" s="1"/>
  <c r="H494" i="80" l="1"/>
  <c r="G494" i="80" s="1"/>
  <c r="H495" i="80" l="1"/>
  <c r="G495" i="80" s="1"/>
  <c r="H496" i="80" l="1"/>
  <c r="G496" i="80" s="1"/>
  <c r="H497" i="80" l="1"/>
  <c r="G497" i="80" s="1"/>
  <c r="H498" i="80" l="1"/>
  <c r="G498" i="80" s="1"/>
  <c r="H499" i="80" l="1"/>
  <c r="G499" i="80" s="1"/>
  <c r="H500" i="80" l="1"/>
  <c r="G500" i="80" s="1"/>
  <c r="H501" i="80" l="1"/>
  <c r="G501" i="80" s="1"/>
  <c r="H502" i="80" l="1"/>
  <c r="G502" i="80" s="1"/>
  <c r="H503" i="80" l="1"/>
  <c r="G503" i="80" s="1"/>
  <c r="H504" i="80" l="1"/>
  <c r="G504" i="80" s="1"/>
  <c r="H505" i="80" l="1"/>
  <c r="G505" i="80" s="1"/>
  <c r="H506" i="80" l="1"/>
  <c r="G506" i="80" s="1"/>
  <c r="H507" i="80" l="1"/>
  <c r="G507" i="80" s="1"/>
  <c r="H508" i="80" l="1"/>
  <c r="G508" i="80" s="1"/>
  <c r="H509" i="80" l="1"/>
  <c r="G509" i="80" s="1"/>
  <c r="H510" i="80" l="1"/>
  <c r="G510" i="80" s="1"/>
  <c r="H518" i="80" l="1"/>
  <c r="G518" i="80" s="1"/>
  <c r="H519" i="80" l="1"/>
  <c r="G519" i="80" s="1"/>
  <c r="H511" i="80" l="1"/>
  <c r="G511" i="80" s="1"/>
  <c r="H512" i="80" l="1"/>
  <c r="G512" i="80" s="1"/>
  <c r="H513" i="80" l="1"/>
  <c r="G513" i="80" s="1"/>
  <c r="H514" i="80" l="1"/>
  <c r="G514" i="80" s="1"/>
  <c r="H515" i="80" l="1"/>
  <c r="G515" i="80" s="1"/>
  <c r="H516" i="80" l="1"/>
  <c r="G516" i="80" s="1"/>
  <c r="H517" i="80" l="1"/>
  <c r="G517" i="80" s="1"/>
  <c r="H520" i="80" l="1"/>
  <c r="G520" i="80" s="1"/>
  <c r="H521" i="80" l="1"/>
  <c r="G521" i="80" s="1"/>
  <c r="H522" i="80" l="1"/>
  <c r="G522" i="80" s="1"/>
  <c r="H523" i="80" l="1"/>
  <c r="G523" i="80" s="1"/>
  <c r="H524" i="80" l="1"/>
  <c r="G524" i="80" s="1"/>
  <c r="H525" i="80" l="1"/>
  <c r="G525" i="80" s="1"/>
  <c r="H526" i="80" l="1"/>
  <c r="G526" i="80" s="1"/>
  <c r="H527" i="80" l="1"/>
  <c r="G527" i="80" s="1"/>
  <c r="H528" i="80" l="1"/>
  <c r="G528" i="80" s="1"/>
  <c r="H529" i="80" l="1"/>
  <c r="G529" i="80" s="1"/>
  <c r="H530" i="80" l="1"/>
  <c r="G530" i="80" s="1"/>
  <c r="H531" i="80" l="1"/>
  <c r="G531" i="80" s="1"/>
  <c r="H532" i="80" l="1"/>
  <c r="G532" i="80" s="1"/>
  <c r="H533" i="80" l="1"/>
  <c r="G533" i="80" s="1"/>
  <c r="H534" i="80" l="1"/>
  <c r="G534" i="80" s="1"/>
  <c r="H535" i="80" l="1"/>
  <c r="G535" i="80" s="1"/>
  <c r="H536" i="80" l="1"/>
  <c r="G536" i="80" s="1"/>
  <c r="H537" i="80" l="1"/>
  <c r="G537" i="80" s="1"/>
  <c r="H538" i="80" l="1"/>
  <c r="G538" i="80" s="1"/>
  <c r="H539" i="80" l="1"/>
  <c r="G539" i="80" s="1"/>
  <c r="H540" i="80" l="1"/>
  <c r="G540" i="80" s="1"/>
  <c r="H541" i="80" l="1"/>
  <c r="G541" i="80" s="1"/>
  <c r="H542" i="80" l="1"/>
  <c r="G542" i="80" s="1"/>
  <c r="H543" i="80" l="1"/>
  <c r="G543" i="80" s="1"/>
  <c r="H544" i="80" l="1"/>
  <c r="G544" i="80" s="1"/>
  <c r="H545" i="80" l="1"/>
  <c r="G545" i="80" s="1"/>
  <c r="H546" i="80" l="1"/>
  <c r="G546" i="80" s="1"/>
  <c r="H547" i="80" l="1"/>
  <c r="G547" i="80" s="1"/>
  <c r="H548" i="80" l="1"/>
  <c r="G548" i="80" s="1"/>
  <c r="H549" i="80" l="1"/>
  <c r="G549" i="80" s="1"/>
  <c r="H550" i="80" l="1"/>
  <c r="G550" i="80" s="1"/>
  <c r="H555" i="80" l="1"/>
  <c r="G555" i="80" s="1"/>
  <c r="H556" i="80" l="1"/>
  <c r="G556" i="80" s="1"/>
  <c r="H557" i="80" l="1"/>
  <c r="G557" i="80" s="1"/>
  <c r="H558" i="80" l="1"/>
  <c r="G558" i="80" s="1"/>
  <c r="H551" i="80" l="1"/>
  <c r="G551" i="80" s="1"/>
  <c r="H552" i="80" l="1"/>
  <c r="G552" i="80" s="1"/>
  <c r="H553" i="80" l="1"/>
  <c r="G553" i="80" s="1"/>
  <c r="H554" i="80" l="1"/>
  <c r="G554" i="80" s="1"/>
  <c r="H559" i="80" l="1"/>
  <c r="G559" i="80" s="1"/>
  <c r="H560" i="80" l="1"/>
  <c r="G560" i="80" s="1"/>
  <c r="H561" i="80" l="1"/>
  <c r="G561" i="80" s="1"/>
  <c r="H562" i="80" l="1"/>
  <c r="G562" i="80" s="1"/>
  <c r="H563" i="80" l="1"/>
  <c r="G563" i="80" s="1"/>
  <c r="H564" i="80" l="1"/>
  <c r="G564" i="80" s="1"/>
  <c r="H565" i="80" l="1"/>
  <c r="G565" i="80" s="1"/>
  <c r="H566" i="80" l="1"/>
  <c r="G566" i="80" s="1"/>
  <c r="H567" i="80" l="1"/>
  <c r="G567" i="80" s="1"/>
  <c r="H568" i="80" l="1"/>
  <c r="G568" i="80" s="1"/>
  <c r="H569" i="80" l="1"/>
  <c r="G569" i="80" s="1"/>
  <c r="H570" i="80" l="1"/>
  <c r="G570" i="80" s="1"/>
  <c r="H571" i="80" l="1"/>
  <c r="G571" i="80" s="1"/>
  <c r="H572" i="80" l="1"/>
  <c r="G572" i="80" s="1"/>
  <c r="H573" i="80" l="1"/>
  <c r="G573" i="80" s="1"/>
  <c r="H574" i="80" l="1"/>
  <c r="G574" i="80" s="1"/>
  <c r="H575" i="80" l="1"/>
  <c r="G575" i="80" s="1"/>
  <c r="H576" i="80" l="1"/>
  <c r="G576" i="80" s="1"/>
  <c r="H577" i="80" l="1"/>
  <c r="G577" i="80" s="1"/>
  <c r="H578" i="80" l="1"/>
  <c r="G578" i="80" s="1"/>
  <c r="H579" i="80" l="1"/>
  <c r="G579" i="80" s="1"/>
  <c r="H580" i="80" l="1"/>
  <c r="G580" i="80" s="1"/>
  <c r="H581" i="80" l="1"/>
  <c r="G581" i="80" s="1"/>
  <c r="H582" i="80" l="1"/>
  <c r="G582" i="80" s="1"/>
  <c r="H583" i="80" l="1"/>
  <c r="G583" i="80" s="1"/>
  <c r="H584" i="80" l="1"/>
  <c r="G584" i="80" s="1"/>
  <c r="H585" i="80" l="1"/>
  <c r="G585" i="80" s="1"/>
  <c r="H586" i="80" l="1"/>
  <c r="G586" i="80" s="1"/>
  <c r="H587" i="80" l="1"/>
  <c r="G587" i="80" s="1"/>
  <c r="H588" i="80" l="1"/>
  <c r="G588" i="80" s="1"/>
  <c r="H589" i="80" l="1"/>
  <c r="G589" i="80" s="1"/>
  <c r="H590" i="80" l="1"/>
  <c r="G590" i="80" s="1"/>
  <c r="H591" i="80" l="1"/>
  <c r="G591" i="80" s="1"/>
  <c r="H592" i="80" l="1"/>
  <c r="G592" i="80" s="1"/>
  <c r="H593" i="80" l="1"/>
  <c r="G593" i="80" s="1"/>
  <c r="H594" i="80" l="1"/>
  <c r="G594" i="80" s="1"/>
  <c r="H595" i="80" l="1"/>
  <c r="G595" i="80" s="1"/>
  <c r="H596" i="80" l="1"/>
  <c r="G596" i="80" s="1"/>
  <c r="H597" i="80" l="1"/>
  <c r="G597" i="80" s="1"/>
  <c r="H598" i="80" l="1"/>
  <c r="G598" i="80" s="1"/>
  <c r="H599" i="80" l="1"/>
  <c r="G599" i="80" s="1"/>
  <c r="H600" i="80" l="1"/>
  <c r="G600" i="80" s="1"/>
  <c r="H601" i="80" l="1"/>
  <c r="G601" i="80" s="1"/>
  <c r="H602" i="80" l="1"/>
  <c r="G602" i="80" s="1"/>
  <c r="H603" i="80" l="1"/>
  <c r="G603" i="80" s="1"/>
  <c r="H604" i="80" l="1"/>
  <c r="G604" i="80" s="1"/>
  <c r="H605" i="80" l="1"/>
  <c r="G605" i="80" s="1"/>
  <c r="H606" i="80" l="1"/>
  <c r="G606" i="80" s="1"/>
  <c r="H607" i="80" l="1"/>
  <c r="G607" i="80" s="1"/>
  <c r="H608" i="80" l="1"/>
  <c r="G608" i="80" s="1"/>
  <c r="H609" i="80" l="1"/>
  <c r="G609" i="80" s="1"/>
  <c r="H610" i="80" l="1"/>
  <c r="G610" i="80" s="1"/>
  <c r="H611" i="80" l="1"/>
  <c r="G611" i="80" s="1"/>
  <c r="H612" i="80" l="1"/>
  <c r="G612" i="80" s="1"/>
  <c r="H613" i="80" l="1"/>
  <c r="G613" i="80" s="1"/>
  <c r="H614" i="80" l="1"/>
  <c r="G614" i="80" s="1"/>
  <c r="H615" i="80" l="1"/>
  <c r="G615" i="80" s="1"/>
  <c r="H616" i="80" l="1"/>
  <c r="G616" i="80" s="1"/>
  <c r="H617" i="80" l="1"/>
  <c r="G617" i="80" s="1"/>
  <c r="H620" i="80" l="1"/>
  <c r="G620" i="80" s="1"/>
  <c r="H618" i="80" l="1"/>
  <c r="G618" i="80" s="1"/>
  <c r="H619" i="80" l="1"/>
  <c r="G619" i="80" s="1"/>
  <c r="H621" i="80" l="1"/>
  <c r="G621" i="80" s="1"/>
  <c r="H622" i="80" l="1"/>
  <c r="G622" i="80" s="1"/>
  <c r="H623" i="80" l="1"/>
  <c r="G623" i="80" s="1"/>
  <c r="H624" i="80" l="1"/>
  <c r="G624" i="80" s="1"/>
  <c r="H625" i="80" l="1"/>
  <c r="G625" i="80" s="1"/>
  <c r="H626" i="80" l="1"/>
  <c r="G626" i="80" s="1"/>
  <c r="H627" i="80" l="1"/>
  <c r="G627" i="80" s="1"/>
  <c r="H628" i="80" l="1"/>
  <c r="G628" i="80" s="1"/>
  <c r="H629" i="80" l="1"/>
  <c r="G629" i="80" s="1"/>
  <c r="H630" i="80" l="1"/>
  <c r="G630" i="80" s="1"/>
  <c r="H631" i="80" l="1"/>
  <c r="G631" i="80" s="1"/>
  <c r="H632" i="80" l="1"/>
  <c r="G632" i="80" s="1"/>
  <c r="H633" i="80" l="1"/>
  <c r="G633" i="80" s="1"/>
  <c r="H634" i="80" l="1"/>
  <c r="G634" i="80" s="1"/>
  <c r="H635" i="80" l="1"/>
  <c r="G635" i="80" s="1"/>
  <c r="H636" i="80" l="1"/>
  <c r="G636" i="80" s="1"/>
  <c r="H637" i="80" l="1"/>
  <c r="G637" i="80" s="1"/>
  <c r="H638" i="80" l="1"/>
  <c r="G638" i="80" s="1"/>
  <c r="H639" i="80" l="1"/>
  <c r="G639" i="80" s="1"/>
  <c r="H640" i="80" l="1"/>
  <c r="G640" i="80" s="1"/>
  <c r="H641" i="80" l="1"/>
  <c r="G641" i="80" s="1"/>
  <c r="H642" i="80" l="1"/>
  <c r="G642" i="80" s="1"/>
  <c r="H643" i="80" l="1"/>
  <c r="G643" i="80" s="1"/>
  <c r="H644" i="80" l="1"/>
  <c r="G644" i="80" s="1"/>
  <c r="H645" i="80" l="1"/>
  <c r="G645" i="80" s="1"/>
  <c r="H646" i="80" l="1"/>
  <c r="G646" i="80" s="1"/>
  <c r="H647" i="80" l="1"/>
  <c r="G647" i="80" s="1"/>
  <c r="H648" i="80" l="1"/>
  <c r="G648" i="80" s="1"/>
  <c r="H649" i="80" l="1"/>
  <c r="G649" i="80" s="1"/>
  <c r="H650" i="80" l="1"/>
  <c r="G650" i="80" s="1"/>
  <c r="H651" i="80" l="1"/>
  <c r="G651" i="80" s="1"/>
  <c r="H652" i="80" l="1"/>
  <c r="G652" i="80" s="1"/>
  <c r="H653" i="80" l="1"/>
  <c r="G653" i="80" s="1"/>
  <c r="H654" i="80" l="1"/>
  <c r="G654" i="80" s="1"/>
  <c r="H655" i="80" l="1"/>
  <c r="G655" i="80" s="1"/>
  <c r="H656" i="80" l="1"/>
  <c r="G656" i="80" s="1"/>
  <c r="H657" i="80" l="1"/>
  <c r="G657" i="80" s="1"/>
  <c r="H658" i="80" l="1"/>
  <c r="G658" i="80" s="1"/>
  <c r="H659" i="80" l="1"/>
  <c r="G659" i="80" s="1"/>
  <c r="H660" i="80" l="1"/>
  <c r="G660" i="80" s="1"/>
  <c r="H661" i="80" l="1"/>
  <c r="G661" i="80" s="1"/>
  <c r="H662" i="80" l="1"/>
  <c r="G662" i="80" s="1"/>
  <c r="H663" i="80" l="1"/>
  <c r="G663" i="80" s="1"/>
  <c r="H664" i="80" l="1"/>
  <c r="G664" i="80" s="1"/>
  <c r="H665" i="80" l="1"/>
  <c r="G665" i="80" s="1"/>
  <c r="H666" i="80" l="1"/>
  <c r="G666" i="80" s="1"/>
  <c r="H667" i="80" l="1"/>
  <c r="G667" i="80" s="1"/>
  <c r="H668" i="80" l="1"/>
  <c r="G668" i="80" s="1"/>
  <c r="H669" i="80" l="1"/>
  <c r="G669" i="80" s="1"/>
  <c r="H670" i="80" l="1"/>
  <c r="G670" i="80" s="1"/>
  <c r="H671" i="80" l="1"/>
  <c r="G671" i="80" s="1"/>
  <c r="H672" i="80" l="1"/>
  <c r="G672" i="80" s="1"/>
  <c r="H673" i="80" l="1"/>
  <c r="G673" i="80" s="1"/>
  <c r="H674" i="80" l="1"/>
  <c r="G674" i="80" s="1"/>
  <c r="H675" i="80" l="1"/>
  <c r="G675" i="80" s="1"/>
  <c r="H676" i="80" l="1"/>
  <c r="G676" i="80" s="1"/>
  <c r="H677" i="80" l="1"/>
  <c r="G677" i="80" s="1"/>
  <c r="H678" i="80" l="1"/>
  <c r="G678" i="80" s="1"/>
  <c r="H679" i="80" l="1"/>
  <c r="G679" i="80" s="1"/>
  <c r="H680" i="80" l="1"/>
  <c r="G680" i="80" s="1"/>
  <c r="H681" i="80" l="1"/>
  <c r="G681" i="80" s="1"/>
  <c r="H682" i="80" l="1"/>
  <c r="G682" i="80" s="1"/>
  <c r="H683" i="80" l="1"/>
  <c r="G683" i="80" s="1"/>
  <c r="H684" i="80" l="1"/>
  <c r="G684" i="80" s="1"/>
  <c r="H685" i="80" l="1"/>
  <c r="G685" i="80" s="1"/>
  <c r="H686" i="80" l="1"/>
  <c r="G686" i="80" s="1"/>
  <c r="H687" i="80" l="1"/>
  <c r="G687" i="80" s="1"/>
  <c r="H688" i="80" l="1"/>
  <c r="G688" i="80" s="1"/>
  <c r="H689" i="80" l="1"/>
  <c r="G689" i="80" s="1"/>
  <c r="H690" i="80" l="1"/>
  <c r="G690" i="80" s="1"/>
  <c r="H691" i="80" l="1"/>
  <c r="G691" i="80" s="1"/>
  <c r="H692" i="80" l="1"/>
  <c r="G692" i="80" s="1"/>
  <c r="H693" i="80" l="1"/>
  <c r="G693" i="80" s="1"/>
  <c r="H694" i="80" l="1"/>
  <c r="G694" i="80" s="1"/>
  <c r="H695" i="80" l="1"/>
  <c r="G695" i="80" s="1"/>
  <c r="H696" i="80" l="1"/>
  <c r="G696" i="80" s="1"/>
  <c r="H697" i="80" l="1"/>
  <c r="G697" i="80" s="1"/>
  <c r="H698" i="80" l="1"/>
  <c r="G698" i="80" s="1"/>
  <c r="H699" i="80" l="1"/>
  <c r="G699" i="80" s="1"/>
  <c r="H700" i="80" l="1"/>
  <c r="G700" i="80" s="1"/>
  <c r="H701" i="80" l="1"/>
  <c r="G701" i="80" s="1"/>
  <c r="H702" i="80" l="1"/>
  <c r="G702" i="80" s="1"/>
  <c r="H703" i="80" l="1"/>
  <c r="G703" i="80" s="1"/>
  <c r="H704" i="80" l="1"/>
  <c r="G704" i="80" s="1"/>
  <c r="H705" i="80" l="1"/>
  <c r="G705" i="80" s="1"/>
  <c r="H706" i="80" l="1"/>
  <c r="G706" i="80" s="1"/>
  <c r="H707" i="80" l="1"/>
  <c r="G707" i="80" s="1"/>
  <c r="H708" i="80" l="1"/>
  <c r="G708" i="80" s="1"/>
  <c r="H709" i="80" l="1"/>
  <c r="G709" i="80" s="1"/>
  <c r="H710" i="80" l="1"/>
  <c r="G710" i="80" s="1"/>
  <c r="H711" i="80" l="1"/>
  <c r="G711" i="80" s="1"/>
  <c r="H712" i="80" l="1"/>
  <c r="G712" i="80" s="1"/>
  <c r="H713" i="80" l="1"/>
  <c r="G713" i="80" s="1"/>
  <c r="H714" i="80" l="1"/>
  <c r="G714" i="80" s="1"/>
  <c r="H715" i="80" l="1"/>
  <c r="G715" i="80" s="1"/>
  <c r="H716" i="80" l="1"/>
  <c r="G716" i="80" s="1"/>
  <c r="H717" i="80" l="1"/>
  <c r="G717" i="80" s="1"/>
  <c r="H718" i="80" l="1"/>
  <c r="G718" i="80" s="1"/>
  <c r="H719" i="80" l="1"/>
  <c r="G719" i="80" s="1"/>
  <c r="H720" i="80" l="1"/>
  <c r="G720" i="80" s="1"/>
  <c r="H721" i="80" l="1"/>
  <c r="G721" i="80" s="1"/>
  <c r="H722" i="80" l="1"/>
  <c r="G722" i="80" s="1"/>
  <c r="H723" i="80" l="1"/>
  <c r="G723" i="80" s="1"/>
  <c r="H724" i="80" l="1"/>
  <c r="G724" i="80" s="1"/>
  <c r="H725" i="80" l="1"/>
  <c r="G725" i="80" s="1"/>
  <c r="H726" i="80" l="1"/>
  <c r="G726" i="80" s="1"/>
  <c r="H727" i="80" l="1"/>
  <c r="G727" i="80" s="1"/>
  <c r="H728" i="80" l="1"/>
  <c r="G728" i="80" s="1"/>
  <c r="H729" i="80" l="1"/>
  <c r="G729" i="80" s="1"/>
  <c r="H730" i="80" l="1"/>
  <c r="G730" i="80" s="1"/>
  <c r="H731" i="80" l="1"/>
  <c r="G731" i="80" s="1"/>
  <c r="H732" i="80" l="1"/>
  <c r="G732" i="80" s="1"/>
  <c r="H733" i="80" l="1"/>
  <c r="G733" i="80" s="1"/>
  <c r="H734" i="80" l="1"/>
  <c r="G734" i="80" s="1"/>
  <c r="H735" i="80" l="1"/>
  <c r="G735" i="80" s="1"/>
  <c r="H736" i="80" l="1"/>
  <c r="G736" i="80" s="1"/>
  <c r="H737" i="80" l="1"/>
  <c r="G737" i="80" s="1"/>
  <c r="H738" i="80" l="1"/>
  <c r="G738" i="80" s="1"/>
  <c r="H739" i="80" l="1"/>
  <c r="G739" i="80" s="1"/>
  <c r="H740" i="80" l="1"/>
  <c r="G740" i="80" s="1"/>
  <c r="H741" i="80" l="1"/>
  <c r="G741" i="80" s="1"/>
  <c r="H742" i="80" l="1"/>
  <c r="G742" i="80" s="1"/>
  <c r="H743" i="80" l="1"/>
  <c r="G743" i="80" s="1"/>
  <c r="H744" i="80" l="1"/>
  <c r="G744" i="80" s="1"/>
  <c r="H745" i="80" l="1"/>
  <c r="G745" i="80" s="1"/>
  <c r="H746" i="80" l="1"/>
  <c r="G746" i="80" s="1"/>
  <c r="H747" i="80" l="1"/>
  <c r="G747" i="80" s="1"/>
  <c r="H748" i="80" l="1"/>
  <c r="G748" i="80" s="1"/>
  <c r="H749" i="80" l="1"/>
  <c r="G749" i="80" s="1"/>
  <c r="H750" i="80" l="1"/>
  <c r="G750" i="80" s="1"/>
  <c r="H751" i="80" l="1"/>
  <c r="G751" i="80" s="1"/>
  <c r="H752" i="80" l="1"/>
  <c r="G752" i="80" s="1"/>
  <c r="H753" i="80" l="1"/>
  <c r="G753" i="80" s="1"/>
  <c r="H754" i="80" l="1"/>
  <c r="G754" i="80" s="1"/>
  <c r="H755" i="80" l="1"/>
  <c r="G755" i="80" s="1"/>
  <c r="H756" i="80" l="1"/>
  <c r="G756" i="80" s="1"/>
  <c r="H757" i="80" l="1"/>
  <c r="G757" i="80" s="1"/>
  <c r="H758" i="80" l="1"/>
  <c r="G758" i="80" s="1"/>
  <c r="H759" i="80" l="1"/>
  <c r="G759" i="80" s="1"/>
  <c r="H760" i="80" l="1"/>
  <c r="G760" i="80" s="1"/>
  <c r="H761" i="80" l="1"/>
  <c r="G761" i="80" s="1"/>
  <c r="H762" i="80" l="1"/>
  <c r="G762" i="80" s="1"/>
  <c r="H763" i="80" l="1"/>
  <c r="G763" i="80" s="1"/>
  <c r="H764" i="80" l="1"/>
  <c r="G764" i="80" s="1"/>
  <c r="H765" i="80" l="1"/>
  <c r="G765" i="80" s="1"/>
  <c r="H766" i="80" l="1"/>
  <c r="G766" i="80" s="1"/>
  <c r="H767" i="80" l="1"/>
  <c r="G767" i="80" s="1"/>
  <c r="H768" i="80" l="1"/>
  <c r="G768" i="80" s="1"/>
  <c r="H769" i="80" l="1"/>
  <c r="G769" i="80" s="1"/>
  <c r="H770" i="80" l="1"/>
  <c r="G770" i="80" s="1"/>
  <c r="H771" i="80" l="1"/>
  <c r="G771" i="80" s="1"/>
  <c r="H772" i="80" l="1"/>
  <c r="G772" i="80" s="1"/>
  <c r="H773" i="80" l="1"/>
  <c r="G773" i="80" s="1"/>
  <c r="H774" i="80" l="1"/>
  <c r="G774" i="80" s="1"/>
  <c r="H775" i="80" l="1"/>
  <c r="G775" i="80" s="1"/>
  <c r="H776" i="80" l="1"/>
  <c r="G776" i="80" s="1"/>
  <c r="H777" i="80" l="1"/>
  <c r="G777" i="80" s="1"/>
  <c r="H778" i="80" l="1"/>
  <c r="G778" i="80" s="1"/>
  <c r="H779" i="80" l="1"/>
  <c r="G779" i="80" s="1"/>
  <c r="H780" i="80" l="1"/>
  <c r="G780" i="80" s="1"/>
  <c r="H781" i="80" l="1"/>
  <c r="G781" i="80" s="1"/>
  <c r="H782" i="80" l="1"/>
  <c r="G782" i="80" s="1"/>
  <c r="H783" i="80" l="1"/>
  <c r="G783" i="80" s="1"/>
  <c r="H784" i="80" l="1"/>
  <c r="G784" i="80" s="1"/>
  <c r="H785" i="80" l="1"/>
  <c r="G785" i="80" s="1"/>
  <c r="H786" i="80" l="1"/>
  <c r="G786" i="80" s="1"/>
  <c r="H787" i="80" l="1"/>
  <c r="G787" i="80" s="1"/>
  <c r="H788" i="80" l="1"/>
  <c r="G788" i="80" s="1"/>
  <c r="H789" i="80" l="1"/>
  <c r="G789" i="80" s="1"/>
  <c r="H790" i="80" l="1"/>
  <c r="G790" i="80" s="1"/>
  <c r="H791" i="80" l="1"/>
  <c r="G791" i="80" s="1"/>
  <c r="H792" i="80" l="1"/>
  <c r="G792" i="80" s="1"/>
  <c r="H793" i="80" l="1"/>
  <c r="G793" i="80" s="1"/>
  <c r="H794" i="80" l="1"/>
  <c r="G794" i="80" s="1"/>
  <c r="H795" i="80" l="1"/>
  <c r="G795" i="80" s="1"/>
  <c r="H796" i="80" l="1"/>
  <c r="G796" i="80" s="1"/>
  <c r="H797" i="80" l="1"/>
  <c r="G797" i="80" s="1"/>
  <c r="H798" i="80" l="1"/>
  <c r="G798" i="80" s="1"/>
  <c r="H799" i="80" l="1"/>
  <c r="G799" i="80" s="1"/>
  <c r="H800" i="80" l="1"/>
  <c r="G800" i="80" s="1"/>
  <c r="H801" i="80" l="1"/>
  <c r="G801" i="80" s="1"/>
  <c r="H802" i="80" l="1"/>
  <c r="G802" i="80" s="1"/>
  <c r="H803" i="80" l="1"/>
  <c r="G803" i="80" s="1"/>
  <c r="H804" i="80" l="1"/>
  <c r="G804" i="80" s="1"/>
  <c r="H805" i="80" l="1"/>
  <c r="G805" i="80" s="1"/>
  <c r="H806" i="80" l="1"/>
  <c r="G806" i="80" s="1"/>
  <c r="H807" i="80" l="1"/>
  <c r="G807" i="80" s="1"/>
  <c r="H808" i="80" l="1"/>
  <c r="G808" i="80" s="1"/>
  <c r="H809" i="80" l="1"/>
  <c r="G809" i="80" s="1"/>
  <c r="H810" i="80" l="1"/>
  <c r="G810" i="80" s="1"/>
  <c r="H811" i="80" l="1"/>
  <c r="G811" i="80" s="1"/>
  <c r="H812" i="80" l="1"/>
  <c r="G812" i="80" s="1"/>
  <c r="H813" i="80" l="1"/>
  <c r="G813" i="80" s="1"/>
  <c r="H814" i="80" l="1"/>
  <c r="G814" i="80" s="1"/>
  <c r="H815" i="80" l="1"/>
  <c r="G815" i="80" s="1"/>
  <c r="H816" i="80" l="1"/>
  <c r="G816" i="80" s="1"/>
  <c r="H817" i="80" l="1"/>
  <c r="G817" i="80" s="1"/>
  <c r="H818" i="80" l="1"/>
  <c r="G818" i="80" s="1"/>
  <c r="H819" i="80" l="1"/>
  <c r="G819" i="80" s="1"/>
  <c r="H820" i="80" l="1"/>
  <c r="G820" i="80" s="1"/>
  <c r="H821" i="80" l="1"/>
  <c r="G821" i="80" s="1"/>
  <c r="H822" i="80" l="1"/>
  <c r="G822" i="80" s="1"/>
  <c r="H823" i="80" l="1"/>
  <c r="G823" i="80" s="1"/>
  <c r="H824" i="80" l="1"/>
  <c r="G824" i="80" s="1"/>
  <c r="H825" i="80" l="1"/>
  <c r="G825" i="80" s="1"/>
  <c r="H826" i="80" l="1"/>
  <c r="G826" i="80" s="1"/>
  <c r="H827" i="80" l="1"/>
  <c r="G827" i="80" s="1"/>
  <c r="H828" i="80" l="1"/>
  <c r="G828" i="80" s="1"/>
  <c r="H829" i="80" l="1"/>
  <c r="G829" i="80" s="1"/>
  <c r="H830" i="80" l="1"/>
  <c r="G830" i="80" s="1"/>
  <c r="H831" i="80" l="1"/>
  <c r="G831" i="80" s="1"/>
  <c r="H832" i="80" l="1"/>
  <c r="G832" i="80" s="1"/>
  <c r="H833" i="80" l="1"/>
  <c r="G833" i="80" s="1"/>
  <c r="H834" i="80" l="1"/>
  <c r="G834" i="80" s="1"/>
  <c r="H835" i="80" l="1"/>
  <c r="G835" i="80" s="1"/>
  <c r="H836" i="80" l="1"/>
  <c r="G836" i="80" s="1"/>
  <c r="H837" i="80" l="1"/>
  <c r="G837" i="80" s="1"/>
  <c r="H838" i="80" l="1"/>
  <c r="G838" i="80" s="1"/>
  <c r="H839" i="80" l="1"/>
  <c r="G839" i="80" s="1"/>
  <c r="H840" i="80" l="1"/>
  <c r="G840" i="80" s="1"/>
  <c r="H841" i="80" l="1"/>
  <c r="G841" i="80" s="1"/>
  <c r="H842" i="80" l="1"/>
  <c r="G842" i="80" s="1"/>
  <c r="H843" i="80" l="1"/>
  <c r="G843" i="80" s="1"/>
  <c r="H844" i="80" l="1"/>
  <c r="G844" i="80" s="1"/>
  <c r="H845" i="80" l="1"/>
  <c r="G845" i="80" s="1"/>
  <c r="H846" i="80" l="1"/>
  <c r="G846" i="80" s="1"/>
  <c r="H847" i="80" l="1"/>
  <c r="G847" i="80" s="1"/>
  <c r="H848" i="80" l="1"/>
  <c r="G848" i="80" s="1"/>
  <c r="H849" i="80" l="1"/>
  <c r="G849" i="80" s="1"/>
  <c r="H850" i="80" l="1"/>
  <c r="G850" i="80" s="1"/>
  <c r="H851" i="80" l="1"/>
  <c r="G851" i="80" s="1"/>
  <c r="H852" i="80" l="1"/>
  <c r="G852" i="80" s="1"/>
  <c r="H853" i="80" l="1"/>
  <c r="G853" i="80" s="1"/>
  <c r="H854" i="80" l="1"/>
  <c r="G854" i="80" s="1"/>
  <c r="H855" i="80" l="1"/>
  <c r="G855" i="80" s="1"/>
  <c r="H856" i="80" l="1"/>
  <c r="G856" i="80" s="1"/>
  <c r="H857" i="80" l="1"/>
  <c r="G857" i="80" s="1"/>
  <c r="H858" i="80" l="1"/>
  <c r="G858" i="80" s="1"/>
  <c r="H859" i="80" l="1"/>
  <c r="G859" i="80" s="1"/>
  <c r="H860" i="80" l="1"/>
  <c r="G860" i="80" s="1"/>
  <c r="H861" i="80" l="1"/>
  <c r="G861" i="80" s="1"/>
  <c r="H862" i="80" l="1"/>
  <c r="G862" i="80" s="1"/>
  <c r="H863" i="80" l="1"/>
  <c r="G863" i="80" s="1"/>
  <c r="H864" i="80" l="1"/>
  <c r="G864" i="80" s="1"/>
  <c r="H865" i="80" l="1"/>
  <c r="G865" i="80" s="1"/>
  <c r="H866" i="80" l="1"/>
  <c r="G866" i="80" s="1"/>
  <c r="H867" i="80" l="1"/>
  <c r="G867" i="80" s="1"/>
  <c r="H868" i="80" l="1"/>
  <c r="G868" i="80" s="1"/>
  <c r="H869" i="80" l="1"/>
  <c r="G869" i="80" s="1"/>
  <c r="H870" i="80" l="1"/>
  <c r="G870" i="80" s="1"/>
  <c r="H871" i="80" l="1"/>
  <c r="G871" i="80" s="1"/>
  <c r="H872" i="80" l="1"/>
  <c r="G872" i="80" s="1"/>
  <c r="H873" i="80" l="1"/>
  <c r="G873" i="80" s="1"/>
  <c r="H874" i="80" l="1"/>
  <c r="G874" i="80" s="1"/>
  <c r="H875" i="80" l="1"/>
  <c r="G875" i="80" s="1"/>
  <c r="H876" i="80" l="1"/>
  <c r="G876" i="80" s="1"/>
  <c r="H877" i="80" l="1"/>
  <c r="G877" i="80" s="1"/>
  <c r="H878" i="80" l="1"/>
  <c r="G878" i="80" s="1"/>
  <c r="H879" i="80" l="1"/>
  <c r="G879" i="80" s="1"/>
  <c r="H880" i="80" l="1"/>
  <c r="G880" i="80" s="1"/>
  <c r="H881" i="80" l="1"/>
  <c r="G881" i="80" s="1"/>
  <c r="H882" i="80" l="1"/>
  <c r="G882" i="80" s="1"/>
  <c r="H883" i="80" l="1"/>
  <c r="G883" i="80" s="1"/>
  <c r="H884" i="80" l="1"/>
  <c r="G884" i="80" s="1"/>
  <c r="H885" i="80" l="1"/>
  <c r="G885" i="80" s="1"/>
  <c r="H886" i="80" l="1"/>
  <c r="G886" i="80" s="1"/>
  <c r="H887" i="80" l="1"/>
  <c r="G887" i="80" s="1"/>
  <c r="H888" i="80" l="1"/>
  <c r="G888" i="80" s="1"/>
  <c r="H889" i="80" l="1"/>
  <c r="G889" i="80" s="1"/>
  <c r="H890" i="80" l="1"/>
  <c r="G890" i="80" s="1"/>
  <c r="H891" i="80" l="1"/>
  <c r="G891" i="80" s="1"/>
  <c r="H892" i="80" l="1"/>
  <c r="G892" i="80" s="1"/>
  <c r="H893" i="80" l="1"/>
  <c r="G893" i="80" s="1"/>
  <c r="H894" i="80" l="1"/>
  <c r="G894" i="80" s="1"/>
  <c r="H895" i="80" l="1"/>
  <c r="G895" i="80" s="1"/>
  <c r="H896" i="80" l="1"/>
  <c r="G896" i="80" s="1"/>
  <c r="H897" i="80" l="1"/>
  <c r="G897" i="80" s="1"/>
  <c r="H898" i="80" l="1"/>
  <c r="G898" i="80" s="1"/>
  <c r="H899" i="80" l="1"/>
  <c r="G899" i="80" s="1"/>
  <c r="H900" i="80" l="1"/>
  <c r="G900" i="80" s="1"/>
  <c r="H901" i="80" l="1"/>
  <c r="G901" i="80" s="1"/>
  <c r="H902" i="80" l="1"/>
  <c r="G902" i="80" s="1"/>
  <c r="H903" i="80" l="1"/>
  <c r="G903" i="80" s="1"/>
  <c r="H904" i="80" l="1"/>
  <c r="G904" i="80" s="1"/>
  <c r="H905" i="80" l="1"/>
  <c r="G905" i="80" s="1"/>
  <c r="H906" i="80" l="1"/>
  <c r="G906" i="80" s="1"/>
  <c r="H907" i="80" l="1"/>
  <c r="G907" i="80" s="1"/>
  <c r="H908" i="80" l="1"/>
  <c r="G908" i="80" s="1"/>
  <c r="H909" i="80" l="1"/>
  <c r="G909" i="80" s="1"/>
  <c r="H910" i="80" l="1"/>
  <c r="G910" i="80" s="1"/>
  <c r="H911" i="80" l="1"/>
  <c r="G911" i="80" s="1"/>
  <c r="H912" i="80" l="1"/>
  <c r="G912" i="80" s="1"/>
  <c r="H913" i="80" l="1"/>
  <c r="G913" i="80" s="1"/>
  <c r="H914" i="80" l="1"/>
  <c r="G914" i="80" s="1"/>
  <c r="H915" i="80" l="1"/>
  <c r="G915" i="80" s="1"/>
  <c r="H916" i="80" l="1"/>
  <c r="G916" i="80" s="1"/>
  <c r="H917" i="80" l="1"/>
  <c r="G917" i="80" s="1"/>
  <c r="H918" i="80" l="1"/>
  <c r="G918" i="80" s="1"/>
  <c r="H919" i="80" l="1"/>
  <c r="G919" i="80" s="1"/>
  <c r="H920" i="80" l="1"/>
  <c r="G920" i="80" s="1"/>
  <c r="H921" i="80" l="1"/>
  <c r="G921" i="80" s="1"/>
  <c r="H922" i="80" l="1"/>
  <c r="G922" i="80" s="1"/>
  <c r="H923" i="80" l="1"/>
  <c r="G923" i="80" s="1"/>
  <c r="H924" i="80" l="1"/>
  <c r="G924" i="80" s="1"/>
  <c r="H925" i="80" l="1"/>
  <c r="G925" i="80" s="1"/>
  <c r="H926" i="80" l="1"/>
  <c r="G926" i="80" s="1"/>
  <c r="H927" i="80" l="1"/>
  <c r="G927" i="80" s="1"/>
  <c r="H928" i="80" l="1"/>
  <c r="G928" i="80" s="1"/>
  <c r="H929" i="80" l="1"/>
  <c r="G929" i="80" s="1"/>
  <c r="H930" i="80" l="1"/>
  <c r="G930" i="80" s="1"/>
  <c r="H931" i="80" l="1"/>
  <c r="G931" i="80" s="1"/>
  <c r="H932" i="80" l="1"/>
  <c r="G932" i="80" s="1"/>
  <c r="H933" i="80" l="1"/>
  <c r="G933" i="80" s="1"/>
  <c r="H934" i="80" l="1"/>
  <c r="G934" i="80" s="1"/>
  <c r="H935" i="80" l="1"/>
  <c r="G935" i="80" s="1"/>
  <c r="H936" i="80" l="1"/>
  <c r="G936" i="80" s="1"/>
  <c r="H937" i="80" l="1"/>
  <c r="G937" i="80" s="1"/>
  <c r="H938" i="80" l="1"/>
  <c r="G938" i="80" s="1"/>
  <c r="H939" i="80" l="1"/>
  <c r="G939" i="80" s="1"/>
  <c r="H940" i="80" l="1"/>
  <c r="G940" i="80" s="1"/>
  <c r="H941" i="80" l="1"/>
  <c r="G941" i="80" s="1"/>
  <c r="H942" i="80" l="1"/>
  <c r="G942" i="80" s="1"/>
  <c r="H943" i="80" l="1"/>
  <c r="G943" i="80" s="1"/>
  <c r="H944" i="80" l="1"/>
  <c r="G944" i="80" s="1"/>
  <c r="H945" i="80" l="1"/>
  <c r="G945" i="80" s="1"/>
  <c r="H946" i="80" l="1"/>
  <c r="G946" i="80" s="1"/>
  <c r="H947" i="80" l="1"/>
  <c r="G947" i="80" s="1"/>
  <c r="H948" i="80" l="1"/>
  <c r="G948" i="80" s="1"/>
  <c r="H949" i="80" l="1"/>
  <c r="G949" i="80" s="1"/>
  <c r="H950" i="80" l="1"/>
  <c r="G950" i="80" s="1"/>
  <c r="H951" i="80" l="1"/>
  <c r="G951" i="80" s="1"/>
  <c r="H952" i="80" l="1"/>
  <c r="G952" i="80" s="1"/>
  <c r="H953" i="80" l="1"/>
  <c r="G953" i="80" s="1"/>
  <c r="H954" i="80" l="1"/>
  <c r="G954" i="80" s="1"/>
  <c r="H955" i="80" l="1"/>
  <c r="G955" i="80" s="1"/>
  <c r="H956" i="80" l="1"/>
  <c r="G956" i="80" s="1"/>
  <c r="H957" i="80" l="1"/>
  <c r="G957" i="80" s="1"/>
  <c r="H958" i="80" l="1"/>
  <c r="G958" i="80" s="1"/>
  <c r="H959" i="80" l="1"/>
  <c r="G959" i="80" s="1"/>
  <c r="H960" i="80" l="1"/>
  <c r="G960" i="80" s="1"/>
  <c r="H961" i="80" l="1"/>
  <c r="G961" i="80" s="1"/>
  <c r="H962" i="80" l="1"/>
  <c r="G962" i="80" s="1"/>
  <c r="H963" i="80" l="1"/>
  <c r="G963" i="80" s="1"/>
  <c r="H964" i="80" l="1"/>
  <c r="G964" i="80" s="1"/>
  <c r="H965" i="80" l="1"/>
  <c r="G965" i="80" s="1"/>
  <c r="H966" i="80" l="1"/>
  <c r="G966" i="80" s="1"/>
  <c r="H967" i="80" l="1"/>
  <c r="G967" i="80" s="1"/>
  <c r="H968" i="80" l="1"/>
  <c r="G968" i="80" s="1"/>
  <c r="H969" i="80" l="1"/>
  <c r="G969" i="80" s="1"/>
  <c r="H970" i="80" l="1"/>
  <c r="G970" i="80" s="1"/>
  <c r="H971" i="80" l="1"/>
  <c r="G971" i="80" s="1"/>
  <c r="H972" i="80" l="1"/>
  <c r="G972" i="80" s="1"/>
  <c r="H973" i="80" l="1"/>
  <c r="G973" i="80" s="1"/>
  <c r="H974" i="80" l="1"/>
  <c r="G974" i="80" s="1"/>
  <c r="H975" i="80" l="1"/>
  <c r="G975" i="80" s="1"/>
  <c r="H976" i="80" l="1"/>
  <c r="G976" i="80" s="1"/>
  <c r="H977" i="80" l="1"/>
  <c r="G977" i="80" s="1"/>
  <c r="H978" i="80" l="1"/>
  <c r="G978" i="80" s="1"/>
  <c r="H979" i="80" l="1"/>
  <c r="G979" i="80" s="1"/>
  <c r="H980" i="80" l="1"/>
  <c r="G980" i="80" s="1"/>
  <c r="H981" i="80" l="1"/>
  <c r="G981" i="80" s="1"/>
  <c r="H982" i="80" l="1"/>
  <c r="G982" i="80" s="1"/>
  <c r="H983" i="80" l="1"/>
  <c r="G983" i="80" s="1"/>
  <c r="H984" i="80" l="1"/>
  <c r="G984" i="80" s="1"/>
  <c r="H985" i="80" l="1"/>
  <c r="G985" i="80" s="1"/>
  <c r="H986" i="80" l="1"/>
  <c r="G986" i="80" s="1"/>
  <c r="H987" i="80" l="1"/>
  <c r="G987" i="80" s="1"/>
  <c r="H988" i="80" l="1"/>
  <c r="G988" i="80" s="1"/>
  <c r="H989" i="80" l="1"/>
  <c r="G989" i="80" s="1"/>
  <c r="H990" i="80" l="1"/>
  <c r="G990" i="80" s="1"/>
  <c r="H991" i="80" l="1"/>
  <c r="G991" i="80" s="1"/>
  <c r="H992" i="80" l="1"/>
  <c r="G992" i="80" s="1"/>
  <c r="H993" i="80" l="1"/>
  <c r="G993" i="80" s="1"/>
  <c r="H994" i="80" l="1"/>
  <c r="G994" i="80" s="1"/>
  <c r="H995" i="80" l="1"/>
  <c r="G995" i="80" s="1"/>
  <c r="H996" i="80" l="1"/>
  <c r="G996" i="80" s="1"/>
  <c r="H997" i="80" l="1"/>
  <c r="G997" i="80" s="1"/>
  <c r="H998" i="80" l="1"/>
  <c r="G998" i="80" s="1"/>
  <c r="H999" i="80" l="1"/>
  <c r="G999" i="80" s="1"/>
  <c r="H1000" i="80" l="1"/>
  <c r="G1000" i="80" s="1"/>
  <c r="H1001" i="80" l="1"/>
  <c r="G1001" i="80" s="1"/>
  <c r="H1002" i="80" l="1"/>
  <c r="G1002" i="80" s="1"/>
  <c r="H1003" i="80" l="1"/>
  <c r="G1003" i="80" s="1"/>
  <c r="H1004" i="80" l="1"/>
  <c r="G1004" i="80" s="1"/>
  <c r="H1005" i="80" l="1"/>
  <c r="G1005" i="80" s="1"/>
  <c r="H1006" i="80" l="1"/>
  <c r="G1006" i="80" s="1"/>
  <c r="H1007" i="80" l="1"/>
  <c r="G1007" i="80" s="1"/>
  <c r="H1008" i="80" l="1"/>
  <c r="G1008" i="80" s="1"/>
  <c r="H1009" i="80" l="1"/>
  <c r="G1009" i="80" s="1"/>
  <c r="H1010" i="80" l="1"/>
  <c r="G1010" i="80" s="1"/>
  <c r="H1011" i="80" l="1"/>
  <c r="G1011" i="80" s="1"/>
  <c r="H1012" i="80" l="1"/>
  <c r="G1012" i="80" s="1"/>
  <c r="H1013" i="80" l="1"/>
  <c r="G1013" i="80" s="1"/>
  <c r="H1014" i="80" l="1"/>
  <c r="G1014" i="80" s="1"/>
  <c r="H1015" i="80" l="1"/>
  <c r="G1015" i="80" s="1"/>
  <c r="H1016" i="80" l="1"/>
  <c r="G1016" i="80" s="1"/>
  <c r="H1017" i="80" l="1"/>
  <c r="G1017" i="80" s="1"/>
  <c r="H1018" i="80" l="1"/>
  <c r="G1018" i="80" s="1"/>
  <c r="H1019" i="80" l="1"/>
  <c r="G1019" i="80" s="1"/>
  <c r="H1020" i="80" l="1"/>
  <c r="G1020" i="80" s="1"/>
  <c r="H1021" i="80" l="1"/>
  <c r="G1021" i="80" s="1"/>
  <c r="H1022" i="80" l="1"/>
  <c r="G1022" i="80" s="1"/>
  <c r="H1023" i="80" l="1"/>
  <c r="G1023" i="80" s="1"/>
  <c r="H1024" i="80" l="1"/>
  <c r="G1024" i="80" s="1"/>
  <c r="H1025" i="80" l="1"/>
  <c r="G1025" i="80" s="1"/>
  <c r="H1026" i="80" l="1"/>
  <c r="G1026" i="80" s="1"/>
  <c r="H1027" i="80" l="1"/>
  <c r="G1027" i="80" s="1"/>
  <c r="H1028" i="80" l="1"/>
  <c r="G1028" i="80" s="1"/>
  <c r="H1029" i="80" l="1"/>
  <c r="G1029" i="80" s="1"/>
  <c r="H1030" i="80" l="1"/>
  <c r="G1030" i="80" s="1"/>
  <c r="H1031" i="80" l="1"/>
  <c r="G1031" i="80" s="1"/>
  <c r="H1032" i="80" l="1"/>
  <c r="G1032" i="80" s="1"/>
  <c r="H1033" i="80" l="1"/>
  <c r="G1033" i="80" s="1"/>
  <c r="H1034" i="80" l="1"/>
  <c r="G1034" i="80" s="1"/>
  <c r="H1035" i="80" l="1"/>
  <c r="G1035" i="80" s="1"/>
  <c r="H1036" i="80" l="1"/>
  <c r="G1036" i="80" s="1"/>
  <c r="H1037" i="80" l="1"/>
  <c r="G1037" i="80" s="1"/>
  <c r="H1038" i="80" l="1"/>
  <c r="G1038" i="80" s="1"/>
  <c r="H1039" i="80" l="1"/>
  <c r="G1039" i="80" s="1"/>
  <c r="H1040" i="80" l="1"/>
  <c r="G1040" i="80" s="1"/>
  <c r="H1041" i="80" l="1"/>
  <c r="G1041" i="80" s="1"/>
  <c r="H1042" i="80" l="1"/>
  <c r="G1042" i="80" s="1"/>
  <c r="H1043" i="80" l="1"/>
  <c r="G1043" i="80" s="1"/>
  <c r="H1044" i="80" l="1"/>
  <c r="G1044" i="80" s="1"/>
  <c r="H1045" i="80" l="1"/>
  <c r="G1045" i="80" s="1"/>
  <c r="H1046" i="80" l="1"/>
  <c r="G1046" i="80" s="1"/>
  <c r="H1047" i="80" l="1"/>
  <c r="G1047" i="80" s="1"/>
  <c r="H1048" i="80" l="1"/>
  <c r="G1048" i="80" s="1"/>
  <c r="H1049" i="80" l="1"/>
  <c r="G1049" i="80" s="1"/>
  <c r="H1050" i="80" l="1"/>
  <c r="G1050" i="80" s="1"/>
  <c r="H1051" i="80" l="1"/>
  <c r="G1051" i="80" s="1"/>
  <c r="H1052" i="80" l="1"/>
  <c r="G1052" i="80" s="1"/>
  <c r="H1053" i="80" l="1"/>
  <c r="G1053" i="80" s="1"/>
  <c r="H1054" i="80" l="1"/>
  <c r="G1054" i="80" s="1"/>
  <c r="H1055" i="80" l="1"/>
  <c r="G1055" i="80" s="1"/>
  <c r="H1056" i="80" l="1"/>
  <c r="G1056" i="80" s="1"/>
  <c r="H1057" i="80" l="1"/>
  <c r="G1057" i="80" s="1"/>
  <c r="H1058" i="80" l="1"/>
  <c r="G1058" i="80" s="1"/>
  <c r="H1059" i="80" l="1"/>
  <c r="G1059" i="80" s="1"/>
  <c r="H1060" i="80" l="1"/>
  <c r="G1060" i="80" s="1"/>
  <c r="H1061" i="80" l="1"/>
  <c r="G1061" i="80" s="1"/>
  <c r="H1062" i="80" l="1"/>
  <c r="G1062" i="80" s="1"/>
  <c r="H1063" i="80" l="1"/>
  <c r="G1063" i="80" s="1"/>
  <c r="H1064" i="80" l="1"/>
  <c r="G1064" i="80" s="1"/>
  <c r="H1065" i="80" l="1"/>
  <c r="G1065" i="80" s="1"/>
  <c r="H1066" i="80" l="1"/>
  <c r="G1066" i="80" s="1"/>
  <c r="H1067" i="80" l="1"/>
  <c r="G1068" i="80" l="1"/>
  <c r="G1069" i="80" s="1"/>
  <c r="G1067"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0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在建项目均选择“是”</t>
        </r>
      </text>
    </comment>
    <comment ref="F59" authorId="1" shapeId="0" xr:uid="{00000000-0006-0000-21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100-000006000000}">
      <text>
        <r>
          <rPr>
            <sz val="10"/>
            <color indexed="81"/>
            <rFont val="宋体"/>
            <family val="3"/>
            <charset val="134"/>
          </rPr>
          <t xml:space="preserve">在建
</t>
        </r>
      </text>
    </comment>
    <comment ref="N59" authorId="0" shapeId="0" xr:uid="{00000000-0006-0000-21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B00-000004000000}">
      <text>
        <r>
          <rPr>
            <b/>
            <sz val="12"/>
            <color indexed="81"/>
            <rFont val="宋体"/>
            <family val="3"/>
            <charset val="134"/>
          </rPr>
          <t>所属项目品质或
物业管理</t>
        </r>
      </text>
    </comment>
    <comment ref="B90" authorId="0" shapeId="0" xr:uid="{00000000-0006-0000-2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D00-000004000000}">
      <text>
        <r>
          <rPr>
            <b/>
            <sz val="12"/>
            <color indexed="81"/>
            <rFont val="宋体"/>
            <family val="3"/>
            <charset val="134"/>
          </rPr>
          <t>所属项目品质或
物业管理</t>
        </r>
      </text>
    </comment>
    <comment ref="B86" authorId="0" shapeId="0" xr:uid="{00000000-0006-0000-2D00-000005000000}">
      <text>
        <r>
          <rPr>
            <b/>
            <sz val="12"/>
            <color indexed="81"/>
            <rFont val="宋体"/>
            <family val="3"/>
            <charset val="134"/>
          </rPr>
          <t>所属项目品质</t>
        </r>
      </text>
    </comment>
    <comment ref="B89" authorId="0" shapeId="0" xr:uid="{00000000-0006-0000-2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200-000002000000}">
      <text>
        <r>
          <rPr>
            <sz val="11"/>
            <color indexed="81"/>
            <rFont val="宋体"/>
            <family val="3"/>
            <charset val="134"/>
          </rPr>
          <t xml:space="preserve">录入层数，将对应的结果录入至左侧相应层的楼层修正系数单元格中
</t>
        </r>
      </text>
    </comment>
    <comment ref="C16" authorId="1" shapeId="0" xr:uid="{00000000-0006-0000-3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3200-000004000000}">
      <text>
        <r>
          <rPr>
            <sz val="12"/>
            <color indexed="81"/>
            <rFont val="宋体"/>
            <family val="3"/>
            <charset val="134"/>
          </rPr>
          <t>1.05~1.1</t>
        </r>
        <r>
          <rPr>
            <sz val="9"/>
            <color indexed="81"/>
            <rFont val="宋体"/>
            <family val="3"/>
            <charset val="134"/>
          </rPr>
          <t xml:space="preserve">
</t>
        </r>
      </text>
    </comment>
    <comment ref="E16" authorId="1" shapeId="0" xr:uid="{00000000-0006-0000-3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3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3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3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3200-000009000000}">
      <text>
        <r>
          <rPr>
            <sz val="9"/>
            <color indexed="81"/>
            <rFont val="宋体"/>
            <family val="3"/>
            <charset val="134"/>
          </rPr>
          <t xml:space="preserve">需在此处填写剩余土地年限
</t>
        </r>
      </text>
    </comment>
    <comment ref="C111" authorId="0" shapeId="0" xr:uid="{00000000-0006-0000-3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3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3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3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3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3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3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3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3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3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3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3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3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7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7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8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8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8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8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8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8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8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900-000001000000}">
      <text>
        <r>
          <rPr>
            <sz val="12"/>
            <color indexed="81"/>
            <rFont val="宋体"/>
            <family val="3"/>
            <charset val="134"/>
          </rPr>
          <t xml:space="preserve">指区域居住用地比例、居住小区规模和社区发展完善程度
</t>
        </r>
      </text>
    </comment>
    <comment ref="F3" authorId="0" shapeId="0" xr:uid="{00000000-0006-0000-1900-000002000000}">
      <text>
        <r>
          <rPr>
            <sz val="12"/>
            <color indexed="81"/>
            <rFont val="宋体"/>
            <family val="3"/>
            <charset val="134"/>
          </rPr>
          <t xml:space="preserve">也指工业区成熟度，工业区性质、相关产业的配套及集聚状况
</t>
        </r>
      </text>
    </comment>
    <comment ref="B4" authorId="0" shapeId="0" xr:uid="{00000000-0006-0000-19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9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9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9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900-000007000000}">
      <text>
        <r>
          <rPr>
            <sz val="12"/>
            <color indexed="81"/>
            <rFont val="宋体"/>
            <family val="3"/>
            <charset val="134"/>
          </rPr>
          <t>主要指污染排放状况及治理状况、距离危险设施或污染源的临近程度、自然条件等</t>
        </r>
      </text>
    </comment>
    <comment ref="B9" authorId="0" shapeId="0" xr:uid="{00000000-0006-0000-19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B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B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B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B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<sst xmlns="http://schemas.openxmlformats.org/spreadsheetml/2006/main" count="21493" uniqueCount="5966">
  <si>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</si>
  <si>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</si>
  <si>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</si>
  <si>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</si>
  <si>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</si>
  <si>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</si>
  <si>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</si>
  <si>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</si>
  <si>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</si>
  <si>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</si>
  <si>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</si>
  <si>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</si>
  <si>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</si>
  <si>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</si>
  <si>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</si>
  <si>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</si>
  <si>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</si>
  <si>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</si>
  <si>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</si>
  <si>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</si>
  <si>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</si>
  <si>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</si>
  <si>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</si>
  <si>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</si>
  <si>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</si>
  <si>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</si>
  <si>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</si>
  <si>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</si>
  <si>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</si>
  <si>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</si>
  <si>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</si>
  <si>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</si>
  <si>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</si>
  <si>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</si>
  <si>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</si>
  <si>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</si>
  <si>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</si>
  <si>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</si>
  <si>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</si>
  <si>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</si>
  <si>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</si>
  <si>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</si>
  <si>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</si>
  <si>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</si>
  <si>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</si>
  <si>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</si>
  <si>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</si>
  <si>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</si>
  <si>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</si>
  <si>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</si>
  <si>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</si>
  <si>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</si>
  <si>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</si>
  <si>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</si>
  <si>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</si>
  <si>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</si>
  <si>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</si>
  <si>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</si>
  <si>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</si>
  <si>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</si>
  <si>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</si>
  <si>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</si>
  <si>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</si>
  <si>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</si>
  <si>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</si>
  <si>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</si>
  <si>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</si>
  <si>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</si>
  <si>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</si>
  <si>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</si>
  <si>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</si>
  <si>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</si>
  <si>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</si>
  <si>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</si>
  <si>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</si>
  <si>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</si>
  <si>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</si>
  <si>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</si>
  <si>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</si>
  <si>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</si>
  <si>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</si>
  <si>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</si>
  <si>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</si>
  <si>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</si>
  <si>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</si>
  <si>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</si>
  <si>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</si>
  <si>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</si>
  <si>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</si>
  <si>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</si>
  <si>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</si>
  <si>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</si>
  <si>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</si>
  <si>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</si>
  <si>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</si>
  <si>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</si>
  <si>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</si>
  <si>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</si>
  <si>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</si>
  <si>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</si>
  <si>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</si>
  <si>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</si>
  <si>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</si>
  <si>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</si>
  <si>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</si>
  <si>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</si>
  <si>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</si>
  <si>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</si>
  <si>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</si>
  <si>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</si>
  <si>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</si>
  <si>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</si>
  <si>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</si>
  <si>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</si>
  <si>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</si>
  <si>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</si>
  <si>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</si>
  <si>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</si>
  <si>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</si>
  <si>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</si>
  <si>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</si>
  <si>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</si>
  <si>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</si>
  <si>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</si>
  <si>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</si>
  <si>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</si>
  <si>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</si>
  <si>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</si>
  <si>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</si>
  <si>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</si>
  <si>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</si>
  <si>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</si>
  <si>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</si>
  <si>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</si>
  <si>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</si>
  <si>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</si>
  <si>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</si>
  <si>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</si>
  <si>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</si>
  <si>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</si>
  <si>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</si>
  <si>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</si>
  <si>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</si>
  <si>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</si>
  <si>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</si>
  <si>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</si>
  <si>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</si>
  <si>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</si>
  <si>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</si>
  <si>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</si>
  <si>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</si>
  <si>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</si>
  <si>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</si>
  <si>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</si>
  <si>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</si>
  <si>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</si>
  <si>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</si>
  <si>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</si>
  <si>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</si>
  <si>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</si>
  <si>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</si>
  <si>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</si>
  <si>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</si>
  <si>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</si>
  <si>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</si>
  <si>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</si>
  <si>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</si>
  <si>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</si>
  <si>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</si>
  <si>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</si>
  <si>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</si>
  <si>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</si>
  <si>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</si>
  <si>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</si>
  <si>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</si>
  <si>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</si>
  <si>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</si>
  <si>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</si>
  <si>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</si>
  <si>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</si>
  <si>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</si>
  <si>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</si>
  <si>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</si>
  <si>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</si>
  <si>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</si>
  <si>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</si>
  <si>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</si>
  <si>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</si>
  <si>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</si>
  <si>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</si>
  <si>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</si>
  <si>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</si>
  <si>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</si>
  <si>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</si>
  <si>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</si>
  <si>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</si>
  <si>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</si>
  <si>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</si>
  <si>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</si>
  <si>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</si>
  <si>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</si>
  <si>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</si>
  <si>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</si>
  <si>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</si>
  <si>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</si>
  <si>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</si>
  <si>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</si>
  <si>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</si>
  <si>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</si>
  <si>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</si>
  <si>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</si>
  <si>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</si>
  <si>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</si>
  <si>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</si>
  <si>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</si>
  <si>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</si>
  <si>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</si>
  <si>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</si>
  <si>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</si>
  <si>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</si>
  <si>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</si>
  <si>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</si>
  <si>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</si>
  <si>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</si>
  <si>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</si>
  <si>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</si>
  <si>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</si>
  <si>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</si>
  <si>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</si>
  <si>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</si>
  <si>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</si>
  <si>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</si>
  <si>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</si>
  <si>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</si>
  <si>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</si>
  <si>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</si>
  <si>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</si>
  <si>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</si>
  <si>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</si>
  <si>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</si>
  <si>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</si>
  <si>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</si>
  <si>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</si>
  <si>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</si>
  <si>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</si>
  <si>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</si>
  <si>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</si>
  <si>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</si>
  <si>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</si>
  <si>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</si>
  <si>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</si>
  <si>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</si>
  <si>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</si>
  <si>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</si>
  <si>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</si>
  <si>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</si>
  <si>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</si>
  <si>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</si>
  <si>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</si>
  <si>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</si>
  <si>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</si>
  <si>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</si>
  <si>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</si>
  <si>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</si>
  <si>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</si>
  <si>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</si>
  <si>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</si>
  <si>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</si>
  <si>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</si>
  <si>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</si>
  <si>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</si>
  <si>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</si>
  <si>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</si>
  <si>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</si>
  <si>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</si>
  <si>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</si>
  <si>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</si>
  <si>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</si>
  <si>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</si>
  <si>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</si>
  <si>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</si>
  <si>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</si>
  <si>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</si>
  <si>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</si>
  <si>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</si>
  <si>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</si>
  <si>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</si>
  <si>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</si>
  <si>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</si>
  <si>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</si>
  <si>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</si>
  <si>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</si>
  <si>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</si>
  <si>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</si>
  <si>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</si>
  <si>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</si>
  <si>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</si>
  <si>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</si>
  <si>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</si>
  <si>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</si>
  <si>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</si>
  <si>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</si>
  <si>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</si>
  <si>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</si>
  <si>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</si>
  <si>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</si>
  <si>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</si>
  <si>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</si>
  <si>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</si>
  <si>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</si>
  <si>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</si>
  <si>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</si>
  <si>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</si>
  <si>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</si>
  <si>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</si>
  <si>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</si>
  <si>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</si>
  <si>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</si>
  <si>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</si>
  <si>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</si>
  <si>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</si>
  <si>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</si>
  <si>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</si>
  <si>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</si>
  <si>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</si>
  <si>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</si>
  <si>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</si>
  <si>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</si>
  <si>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</si>
  <si>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</si>
  <si>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</si>
  <si>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</si>
  <si>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</si>
  <si>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</si>
  <si>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</si>
  <si>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</si>
  <si>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</si>
  <si>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</si>
  <si>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</si>
  <si>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</si>
  <si>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</si>
  <si>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</si>
  <si>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</si>
  <si>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</si>
  <si>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</si>
  <si>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</si>
  <si>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</si>
  <si>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</si>
  <si>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</si>
  <si>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</si>
  <si>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</si>
  <si>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</si>
  <si>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</si>
  <si>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</si>
  <si>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</si>
  <si>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</si>
  <si>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</si>
  <si>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</si>
  <si>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</si>
  <si>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</si>
  <si>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</si>
  <si>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</si>
  <si>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</si>
  <si>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</si>
  <si>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</si>
  <si>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</si>
  <si>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</si>
  <si>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</si>
  <si>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</si>
  <si>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</si>
  <si>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</si>
  <si>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</si>
  <si>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</si>
  <si>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</si>
  <si>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</si>
  <si>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</si>
  <si>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</si>
  <si>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</si>
  <si>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</si>
  <si>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</si>
  <si>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</si>
  <si>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</si>
  <si>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</si>
  <si>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</si>
  <si>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</si>
  <si>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</si>
  <si>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</si>
  <si>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</si>
  <si>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</si>
  <si>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</si>
  <si>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</si>
  <si>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</si>
  <si>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</si>
  <si>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</si>
  <si>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</si>
  <si>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</si>
  <si>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</si>
  <si>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</si>
  <si>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</si>
  <si>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</si>
  <si>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</si>
  <si>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</si>
  <si>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</si>
  <si>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</si>
  <si>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</si>
  <si>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</si>
  <si>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</si>
  <si>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</si>
  <si>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</si>
  <si>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</si>
  <si>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</si>
  <si>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</si>
  <si>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</si>
  <si>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</si>
  <si>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</si>
  <si>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</si>
  <si>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</si>
  <si>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</si>
  <si>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</si>
  <si>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</si>
  <si>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</si>
  <si>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</si>
  <si>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</si>
  <si>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</si>
  <si>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</si>
  <si>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</si>
  <si>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</si>
  <si>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</si>
  <si>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</si>
  <si>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</si>
  <si>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</si>
  <si>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</si>
  <si>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</si>
  <si>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</si>
  <si>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</si>
  <si>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</si>
  <si>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</si>
  <si>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</si>
  <si>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</si>
  <si>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</si>
  <si>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</si>
  <si>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</si>
  <si>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</si>
  <si>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</si>
  <si>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</si>
  <si>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</si>
  <si>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</si>
  <si>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</si>
  <si>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</si>
  <si>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</si>
  <si>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</si>
  <si>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</si>
  <si>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</si>
  <si>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</si>
  <si>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</si>
  <si>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</si>
  <si>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</si>
  <si>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</si>
  <si>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</si>
  <si>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</si>
  <si>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</si>
  <si>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</si>
  <si>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</si>
  <si>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</si>
  <si>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</si>
  <si>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</si>
  <si>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</si>
  <si>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</si>
  <si>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</si>
  <si>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</si>
  <si>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</si>
  <si>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</si>
  <si>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</si>
  <si>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</si>
  <si>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</si>
  <si>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</si>
  <si>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</si>
  <si>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</si>
  <si>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</si>
  <si>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</si>
  <si>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</si>
  <si>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</si>
  <si>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</si>
  <si>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</si>
  <si>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</si>
  <si>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</si>
  <si>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</si>
  <si>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</si>
  <si>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</si>
  <si>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</si>
  <si>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</si>
  <si>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</si>
  <si>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</si>
  <si>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</si>
  <si>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</si>
  <si>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</si>
  <si>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</si>
  <si>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</si>
  <si>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</si>
  <si>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</si>
  <si>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</si>
  <si>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</si>
  <si>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</si>
  <si>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</si>
  <si>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</si>
  <si>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</si>
  <si>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</si>
  <si>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</si>
  <si>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</si>
  <si>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</si>
  <si>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</si>
  <si>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</si>
  <si>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</si>
  <si>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</si>
  <si>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</si>
  <si>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</si>
  <si>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</si>
  <si>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</si>
  <si>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</si>
  <si>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</si>
  <si>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</si>
  <si>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</si>
  <si>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</si>
  <si>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</si>
  <si>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</si>
  <si>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</si>
  <si>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</si>
  <si>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</si>
  <si>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</si>
  <si>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</si>
  <si>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</si>
  <si>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</si>
  <si>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</si>
  <si>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</si>
  <si>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</si>
  <si>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</si>
  <si>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</si>
  <si>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</si>
  <si>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</si>
  <si>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</si>
  <si>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</si>
  <si>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</si>
  <si>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</si>
  <si>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</si>
  <si>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</si>
  <si>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</si>
  <si>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</si>
  <si>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</si>
  <si>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</si>
  <si>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</si>
  <si>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</si>
  <si>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</si>
  <si>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</si>
  <si>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</si>
  <si>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</si>
  <si>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</si>
  <si>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</si>
  <si>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</si>
  <si>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</si>
  <si>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</si>
  <si>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</si>
  <si>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</si>
  <si>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</si>
  <si>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</si>
  <si>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</si>
  <si>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</si>
  <si>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</si>
  <si>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</si>
  <si>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</si>
  <si>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</si>
  <si>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</si>
  <si>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</si>
  <si>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</si>
  <si>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</si>
  <si>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</si>
  <si>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</si>
  <si>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</si>
  <si>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</si>
  <si>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</si>
  <si>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</si>
  <si>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</si>
  <si>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</si>
  <si>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</si>
  <si>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</si>
  <si>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</si>
  <si>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</si>
  <si>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</si>
  <si>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</si>
  <si>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</si>
  <si>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</si>
  <si>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</si>
  <si>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</si>
  <si>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</si>
  <si>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</si>
  <si>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</si>
  <si>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</si>
  <si>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</si>
  <si>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</si>
  <si>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</si>
  <si>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</si>
  <si>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</si>
  <si>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</si>
  <si>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</si>
  <si>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</si>
  <si>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</si>
  <si>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</si>
  <si>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</si>
  <si>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</si>
  <si>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</si>
  <si>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</si>
  <si>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</si>
  <si>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</si>
  <si>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</si>
  <si>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</si>
  <si>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</si>
  <si>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</si>
  <si>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</si>
  <si>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</si>
  <si>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</si>
  <si>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</si>
  <si>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</si>
  <si>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</si>
  <si>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</si>
  <si>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</si>
  <si>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</si>
  <si>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</si>
  <si>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</si>
  <si>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</si>
  <si>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</si>
  <si>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</si>
  <si>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</si>
  <si>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</si>
  <si>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</si>
  <si>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</si>
  <si>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</si>
  <si>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</si>
  <si>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</si>
  <si>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</si>
  <si>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</si>
  <si>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</si>
  <si>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</si>
  <si>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</si>
  <si>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</si>
  <si>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</si>
  <si>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</si>
  <si>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</si>
  <si>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</si>
  <si>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</si>
  <si>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</si>
  <si>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</si>
  <si>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</si>
  <si>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</si>
  <si>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</si>
  <si>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</si>
  <si>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</si>
  <si>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</si>
  <si>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</si>
  <si>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</si>
  <si>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</si>
  <si>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</si>
  <si>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</si>
  <si>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</si>
  <si>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</si>
  <si>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</si>
  <si>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</si>
  <si>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</si>
  <si>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</si>
  <si>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</si>
  <si>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</si>
  <si>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</si>
  <si>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</si>
  <si>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</si>
  <si>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</si>
  <si>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</si>
  <si>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</si>
  <si>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</si>
  <si>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</si>
  <si>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</si>
  <si>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</si>
  <si>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</si>
  <si>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</si>
  <si>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</si>
  <si>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</si>
  <si>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</si>
  <si>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</si>
  <si>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</si>
  <si>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</si>
  <si>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</si>
  <si>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</si>
  <si>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</si>
  <si>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</si>
  <si>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</si>
  <si>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</si>
  <si>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</si>
  <si>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</si>
  <si>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</si>
  <si>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</si>
  <si>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</si>
  <si>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</si>
  <si>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</si>
  <si>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</si>
  <si>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</si>
  <si>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</si>
  <si>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</si>
  <si>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</si>
  <si>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</si>
  <si>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</si>
  <si>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</si>
  <si>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</si>
  <si>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</si>
  <si>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</si>
  <si>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</si>
  <si>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</si>
  <si>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</si>
  <si>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</si>
  <si>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</si>
  <si>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</si>
  <si>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</si>
  <si>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</si>
  <si>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</si>
  <si>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</si>
  <si>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</si>
  <si>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</si>
  <si>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</si>
  <si>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</si>
  <si>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</si>
  <si>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</si>
  <si>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</si>
  <si>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</si>
  <si>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</si>
  <si>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</si>
  <si>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</si>
  <si>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</si>
  <si>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</si>
  <si>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</si>
  <si>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</si>
  <si>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</si>
  <si>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</si>
  <si>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</si>
  <si>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</si>
  <si>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</si>
  <si>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</si>
  <si>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</si>
  <si>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</si>
  <si>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</si>
  <si>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</si>
  <si>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</si>
  <si>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</si>
  <si>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</si>
  <si>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</si>
  <si>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</si>
  <si>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</si>
  <si>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</si>
  <si>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</si>
  <si>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</si>
  <si>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</si>
  <si>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</si>
  <si>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</si>
  <si>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</si>
  <si>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</si>
  <si>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</si>
  <si>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</si>
  <si>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</si>
  <si>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</si>
  <si>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</si>
  <si>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</si>
  <si>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</si>
  <si>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</si>
  <si>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</si>
  <si>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</si>
  <si>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</si>
  <si>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</si>
  <si>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</si>
  <si>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</si>
  <si>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</si>
  <si>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</si>
  <si>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</si>
  <si>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</si>
  <si>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</si>
  <si>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</si>
  <si>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</si>
  <si>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</si>
  <si>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</si>
  <si>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</si>
  <si>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</si>
  <si>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</si>
  <si>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</si>
  <si>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</si>
  <si>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</si>
  <si>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</si>
  <si>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</si>
  <si>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</si>
  <si>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</si>
  <si>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</si>
  <si>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</si>
  <si>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</si>
  <si>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</si>
  <si>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</si>
  <si>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</si>
  <si>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</si>
  <si>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</si>
  <si>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</si>
  <si>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</si>
  <si>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</si>
  <si>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</si>
  <si>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</si>
  <si>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</si>
  <si>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</si>
  <si>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</si>
  <si>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</si>
  <si>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</si>
  <si>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</si>
  <si>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</si>
  <si>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</si>
  <si>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</si>
  <si>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</si>
  <si>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</si>
  <si>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</si>
  <si>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</si>
  <si>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</si>
  <si>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</si>
  <si>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</si>
  <si>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</si>
  <si>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</si>
  <si>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</si>
  <si>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</si>
  <si>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</si>
  <si>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</si>
  <si>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</si>
  <si>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</si>
  <si>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</si>
  <si>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</si>
  <si>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</si>
  <si>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</si>
  <si>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</si>
  <si>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</si>
  <si>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</si>
  <si>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</si>
  <si>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</si>
  <si>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</si>
  <si>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</si>
  <si>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</si>
  <si>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</si>
  <si>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</si>
  <si>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</si>
  <si>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</si>
  <si>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</si>
  <si>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</si>
  <si>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</si>
  <si>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</si>
  <si>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</si>
  <si>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</si>
  <si>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</si>
  <si>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</si>
  <si>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</si>
  <si>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</si>
  <si>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</si>
  <si>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</si>
  <si>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</si>
  <si>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</si>
  <si>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</si>
  <si>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</si>
  <si>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</si>
  <si>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</si>
  <si>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</si>
  <si>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</si>
  <si>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</si>
  <si>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</si>
  <si>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</si>
  <si>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</si>
  <si>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</si>
  <si>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</si>
  <si>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</si>
  <si>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</si>
  <si>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</si>
  <si>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</si>
  <si>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</si>
  <si>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</si>
  <si>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</si>
  <si>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</si>
  <si>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</si>
  <si>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</si>
  <si>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</si>
  <si>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</si>
  <si>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</si>
  <si>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</si>
  <si>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</si>
  <si>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</si>
  <si>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</si>
  <si>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</si>
  <si>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</si>
  <si>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</si>
  <si>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</si>
  <si>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</si>
  <si>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</si>
  <si>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</si>
  <si>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</si>
  <si>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</si>
  <si>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</si>
  <si>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</si>
  <si>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</si>
  <si>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</si>
  <si>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</si>
  <si>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</si>
  <si>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</si>
  <si>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</si>
  <si>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</si>
  <si>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</si>
  <si>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</si>
  <si>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</si>
  <si>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</si>
  <si>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</si>
  <si>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</si>
  <si>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</si>
  <si>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</si>
  <si>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</si>
  <si>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</si>
  <si>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</si>
  <si>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</si>
  <si>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</si>
  <si>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</si>
  <si>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</si>
  <si>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</si>
  <si>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</si>
  <si>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</si>
  <si>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</si>
  <si>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</si>
  <si>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</si>
  <si>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</si>
  <si>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</si>
  <si>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</si>
  <si>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</si>
  <si>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</si>
  <si>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</si>
  <si>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</si>
  <si>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</si>
  <si>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</si>
  <si>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</si>
  <si>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</si>
  <si>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</si>
  <si>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</si>
  <si>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</si>
  <si>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</si>
  <si>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</si>
  <si>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</si>
  <si>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</si>
  <si>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</si>
  <si>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</si>
  <si>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</si>
  <si>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</si>
  <si>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</si>
  <si>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</si>
  <si>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</si>
  <si>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</si>
  <si>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</si>
  <si>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</si>
  <si>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</si>
  <si>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</si>
  <si>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</si>
  <si>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</si>
  <si>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</si>
  <si>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</si>
  <si>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</si>
  <si>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</si>
  <si>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</si>
  <si>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</si>
  <si>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</si>
  <si>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</si>
  <si>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</si>
  <si>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</si>
  <si>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</si>
  <si>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</si>
  <si>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</si>
  <si>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</si>
  <si>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</si>
  <si>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</si>
  <si>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</si>
  <si>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</si>
  <si>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</si>
  <si>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</si>
  <si>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</si>
  <si>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</si>
  <si>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</si>
  <si>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</si>
  <si>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</si>
  <si>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</si>
  <si>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</si>
  <si>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</si>
  <si>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</si>
  <si>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</si>
  <si>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</si>
  <si>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</si>
  <si>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</si>
  <si>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</si>
  <si>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</si>
  <si>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</si>
  <si>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</si>
  <si>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</si>
  <si>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</si>
  <si>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</si>
  <si>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</si>
  <si>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</si>
  <si>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</si>
  <si>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</si>
  <si>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</si>
  <si>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</si>
  <si>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</si>
  <si>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</si>
  <si>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</si>
  <si>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</si>
  <si>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</si>
  <si>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</si>
  <si>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</si>
  <si>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</si>
  <si>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</si>
  <si>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</si>
  <si>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</si>
  <si>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</si>
  <si>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</si>
  <si>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</si>
  <si>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</si>
  <si>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</si>
  <si>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</si>
  <si>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</si>
  <si>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</si>
  <si>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</si>
  <si>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</si>
  <si>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</si>
  <si>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</si>
  <si>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</si>
  <si>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</si>
  <si>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</si>
  <si>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</si>
  <si>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</si>
  <si>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</si>
  <si>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</si>
  <si>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</si>
  <si>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</si>
  <si>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</si>
  <si>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</si>
  <si>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</si>
  <si>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</si>
  <si>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</si>
  <si>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</si>
  <si>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</si>
  <si>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</si>
  <si>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</si>
  <si>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</si>
  <si>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</si>
  <si>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</si>
  <si>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</si>
  <si>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</si>
  <si>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</si>
  <si>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</si>
  <si>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</si>
  <si>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</si>
  <si>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</si>
  <si>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</si>
  <si>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</si>
  <si>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</si>
  <si>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</si>
  <si>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</si>
  <si>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</si>
  <si>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</si>
  <si>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</si>
  <si>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</si>
  <si>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</si>
  <si>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</si>
  <si>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</si>
  <si>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</si>
  <si>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</si>
  <si>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</si>
  <si>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</si>
  <si>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</si>
  <si>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</si>
  <si>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</si>
  <si>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</si>
  <si>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</si>
  <si>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</si>
  <si>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</si>
  <si>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</si>
  <si>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</si>
  <si>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</si>
  <si>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</si>
  <si>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</si>
  <si>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</si>
  <si>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</si>
  <si>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</si>
  <si>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</si>
  <si>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</si>
  <si>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</si>
  <si>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</si>
  <si>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</si>
  <si>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</si>
  <si>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</si>
  <si>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</si>
  <si>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</si>
  <si>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</si>
  <si>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</si>
  <si>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</si>
  <si>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</si>
  <si>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</si>
  <si>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</si>
  <si>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</si>
  <si>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</si>
  <si>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</si>
  <si>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</si>
  <si>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</si>
  <si>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</si>
  <si>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</si>
  <si>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</si>
  <si>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</si>
  <si>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</si>
  <si>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</si>
  <si>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</si>
  <si>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</si>
  <si>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</si>
  <si>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</si>
  <si>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</si>
  <si>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</si>
  <si>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</si>
  <si>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</si>
  <si>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</si>
  <si>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</si>
  <si>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</si>
  <si>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</si>
  <si>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</si>
  <si>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</si>
  <si>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</si>
  <si>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</si>
  <si>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</si>
  <si>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</si>
  <si>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</si>
  <si>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</si>
  <si>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</si>
  <si>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</si>
  <si>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</si>
  <si>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</si>
  <si>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</si>
  <si>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</si>
  <si>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</si>
  <si>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</si>
  <si>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</si>
  <si>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</si>
  <si>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</si>
  <si>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</si>
  <si>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</si>
  <si>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</si>
  <si>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</si>
  <si>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</si>
  <si>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</si>
  <si>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</si>
  <si>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</si>
  <si>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</si>
  <si>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</si>
  <si>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</si>
  <si>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</si>
  <si>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</si>
  <si>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</si>
  <si>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</si>
  <si>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</si>
  <si>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</si>
  <si>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</si>
  <si>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</si>
  <si>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</si>
  <si>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</si>
  <si>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</si>
  <si>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</si>
  <si>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</si>
  <si>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</si>
  <si>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</si>
  <si>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</si>
  <si>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</si>
  <si>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</si>
  <si>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</si>
  <si>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</si>
  <si>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</si>
  <si>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</si>
  <si>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</si>
  <si>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</si>
  <si>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</si>
  <si>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</si>
  <si>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</si>
  <si>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</si>
  <si>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</si>
  <si>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</si>
  <si>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</si>
  <si>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</si>
  <si>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</si>
  <si>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</si>
  <si>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</si>
  <si>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</si>
  <si>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</si>
  <si>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</si>
  <si>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</si>
  <si>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</si>
  <si>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</si>
  <si>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</si>
  <si>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</si>
  <si>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</si>
  <si>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</si>
  <si>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</si>
  <si>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</si>
  <si>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</si>
  <si>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</si>
  <si>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</si>
  <si>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</si>
  <si>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</si>
  <si>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</si>
  <si>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</si>
  <si>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</si>
  <si>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</si>
  <si>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</si>
  <si>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</si>
  <si>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</si>
  <si>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</si>
  <si>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</si>
  <si>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</si>
  <si>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</si>
  <si>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</si>
  <si>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</si>
  <si>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</si>
  <si>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</si>
  <si>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</si>
  <si>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</si>
  <si>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</si>
  <si>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</si>
  <si>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</si>
  <si>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</si>
  <si>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</si>
  <si>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</si>
  <si>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</si>
  <si>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</si>
  <si>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</si>
  <si>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</si>
  <si>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</si>
  <si>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</si>
  <si>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</si>
  <si>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</si>
  <si>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</si>
  <si>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</si>
  <si>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</si>
  <si>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</si>
  <si>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</si>
  <si>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</si>
  <si>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</si>
  <si>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</si>
  <si>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</si>
  <si>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</si>
  <si>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</si>
  <si>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</si>
  <si>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</si>
  <si>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</si>
  <si>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</si>
  <si>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</si>
  <si>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</si>
  <si>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</si>
  <si>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</si>
  <si>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</si>
  <si>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</si>
  <si>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</si>
  <si>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</si>
  <si>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</si>
  <si>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</si>
  <si>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</si>
  <si>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</si>
  <si>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</si>
  <si>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</si>
  <si>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</si>
  <si>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</si>
  <si>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</si>
  <si>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</si>
  <si>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</si>
  <si>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</si>
  <si>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</si>
  <si>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</si>
  <si>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</si>
  <si>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</si>
  <si>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</si>
  <si>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</si>
  <si>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</si>
  <si>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</si>
  <si>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</si>
  <si>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</si>
  <si>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</si>
  <si>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</si>
  <si>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</si>
  <si>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</si>
  <si>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</si>
  <si>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</si>
  <si>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</si>
  <si>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</si>
  <si>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</si>
  <si>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</si>
  <si>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</si>
  <si>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</si>
  <si>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</si>
  <si>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</si>
  <si>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</si>
  <si>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</si>
  <si>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</si>
  <si>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</si>
  <si>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</si>
  <si>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</si>
  <si>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</si>
  <si>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</si>
  <si>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</si>
  <si>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</si>
  <si>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</si>
  <si>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</si>
  <si>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</si>
  <si>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</si>
  <si>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</si>
  <si>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</si>
  <si>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</si>
  <si>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</si>
  <si>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</si>
  <si>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</si>
  <si>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</si>
  <si>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</si>
  <si>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</si>
  <si>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</si>
  <si>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</si>
  <si>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</si>
  <si>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</si>
  <si>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</si>
  <si>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</si>
  <si>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</si>
  <si>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</si>
  <si>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</si>
  <si>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</si>
  <si>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</si>
  <si>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</si>
  <si>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</si>
  <si>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</si>
  <si>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</si>
  <si>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</si>
  <si>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</si>
  <si>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</si>
  <si>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</si>
  <si>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</si>
  <si>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</si>
  <si>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</si>
  <si>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</si>
  <si>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</si>
  <si>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</si>
  <si>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</si>
  <si>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</si>
  <si>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</si>
  <si>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</si>
  <si>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</si>
  <si>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</si>
  <si>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</si>
  <si>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</si>
  <si>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</si>
  <si>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</si>
  <si>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</si>
  <si>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</si>
  <si>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</si>
  <si>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</si>
  <si>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</si>
  <si>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</si>
  <si>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</si>
  <si>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</si>
  <si>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</si>
  <si>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</si>
  <si>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</si>
  <si>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</si>
  <si>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</si>
  <si>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</si>
  <si>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</si>
  <si>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</si>
  <si>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</si>
  <si>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</si>
  <si>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</si>
  <si>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</si>
  <si>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</si>
  <si>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</si>
  <si>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</si>
  <si>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</si>
  <si>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</si>
  <si>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</si>
  <si>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</si>
  <si>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</si>
  <si>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</si>
  <si>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</si>
  <si>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</si>
  <si>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</si>
  <si>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</si>
  <si>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</si>
  <si>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</si>
  <si>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</si>
  <si>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</si>
  <si>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</si>
  <si>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</si>
  <si>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</si>
  <si>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</si>
  <si>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</si>
  <si>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</si>
  <si>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</si>
  <si>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</si>
  <si>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</si>
  <si>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</si>
  <si>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</si>
  <si>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</si>
  <si>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</si>
  <si>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</si>
  <si>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</si>
  <si>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</si>
  <si>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</si>
  <si>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</si>
  <si>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</si>
  <si>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</si>
  <si>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</si>
  <si>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</si>
  <si>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</si>
  <si>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</si>
  <si>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</si>
  <si>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</si>
  <si>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</si>
  <si>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</si>
  <si>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</si>
  <si>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</si>
  <si>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</si>
  <si>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</si>
  <si>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</si>
  <si>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</si>
  <si>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</si>
  <si>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</si>
  <si>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</si>
  <si>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</si>
  <si>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</si>
  <si>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</si>
  <si>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</si>
  <si>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</si>
  <si>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</si>
  <si>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</si>
  <si>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</si>
  <si>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</si>
  <si>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</si>
  <si>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</si>
  <si>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</si>
  <si>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</si>
  <si>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</si>
  <si>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</si>
  <si>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</si>
  <si>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</si>
  <si>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</si>
  <si>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</si>
  <si>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</si>
  <si>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</si>
  <si>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</si>
  <si>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</si>
  <si>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</si>
  <si>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</si>
  <si>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</si>
  <si>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</si>
  <si>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</si>
  <si>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</si>
  <si>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</si>
  <si>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</si>
  <si>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</si>
  <si>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</si>
  <si>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</si>
  <si>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</si>
  <si>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</si>
  <si>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</si>
  <si>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</si>
  <si>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</si>
  <si>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</si>
  <si>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</si>
  <si>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</si>
  <si>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</si>
  <si>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</si>
  <si>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</si>
  <si>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</si>
  <si>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</si>
  <si>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</si>
  <si>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</si>
  <si>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</si>
  <si>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</si>
  <si>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</si>
  <si>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</si>
  <si>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</si>
  <si>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</si>
  <si>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</si>
  <si>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</si>
  <si>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</si>
  <si>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</si>
  <si>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</si>
  <si>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</si>
  <si>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</si>
  <si>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</si>
  <si>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</si>
  <si>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</si>
  <si>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</si>
  <si>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</si>
  <si>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</si>
  <si>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</si>
  <si>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</si>
  <si>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</si>
  <si>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</si>
  <si>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</si>
  <si>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</si>
  <si>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</si>
  <si>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</si>
  <si>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</si>
  <si>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</si>
  <si>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</si>
  <si>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</si>
  <si>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</si>
  <si>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</si>
  <si>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</si>
  <si>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</si>
  <si>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</si>
  <si>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</si>
  <si>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</si>
  <si>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</si>
  <si>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</si>
  <si>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</si>
  <si>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</si>
  <si>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</si>
  <si>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</si>
  <si>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</si>
  <si>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</si>
  <si>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</si>
  <si>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</si>
  <si>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</si>
  <si>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</si>
  <si>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</si>
  <si>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</si>
  <si>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</si>
  <si>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</si>
  <si>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</si>
  <si>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</si>
  <si>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</si>
  <si>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</si>
  <si>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</si>
  <si>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</si>
  <si>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</si>
  <si>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</si>
  <si>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</si>
  <si>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</si>
  <si>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</si>
  <si>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</si>
  <si>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</si>
  <si>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</si>
  <si>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</si>
  <si>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</si>
  <si>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</si>
  <si>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</si>
  <si>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</si>
  <si>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</si>
  <si>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</si>
  <si>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</si>
  <si>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</si>
  <si>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</si>
  <si>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</si>
  <si>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</si>
  <si>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</si>
  <si>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</si>
  <si>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</si>
  <si>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</si>
  <si>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</si>
  <si>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</si>
  <si>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</si>
  <si>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</si>
  <si>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</si>
  <si>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</si>
  <si>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</si>
  <si>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</si>
  <si>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</si>
  <si>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</si>
  <si>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</si>
  <si>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</si>
  <si>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</si>
  <si>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</si>
  <si>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</si>
  <si>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</si>
  <si>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</si>
  <si>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</si>
  <si>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</si>
  <si>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</si>
  <si>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</si>
  <si>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</si>
  <si>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</si>
  <si>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</si>
  <si>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</si>
  <si>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</si>
  <si>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</si>
  <si>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</si>
  <si>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</si>
  <si>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</si>
  <si>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</si>
  <si>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</si>
  <si>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</si>
  <si>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</si>
  <si>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</si>
  <si>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</si>
  <si>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</si>
  <si>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</si>
  <si>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</si>
  <si>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</si>
  <si>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</si>
  <si>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</si>
  <si>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</si>
  <si>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</si>
  <si>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</si>
  <si>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</si>
  <si>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</si>
  <si>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</si>
  <si>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</si>
  <si>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</si>
  <si>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</si>
  <si>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</si>
  <si>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</si>
  <si>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</si>
  <si>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</si>
  <si>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</si>
  <si>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</si>
  <si>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</si>
  <si>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</si>
  <si>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</si>
  <si>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</si>
  <si>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</si>
  <si>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</si>
  <si>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</si>
  <si>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</si>
  <si>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</si>
  <si>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</si>
  <si>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</si>
  <si>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</si>
  <si>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</si>
  <si>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</si>
  <si>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</si>
  <si>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</si>
  <si>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</si>
  <si>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</si>
  <si>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</si>
  <si>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</si>
  <si>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</si>
  <si>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</si>
  <si>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</si>
  <si>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</si>
  <si>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</si>
  <si>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</si>
  <si>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</si>
  <si>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</si>
  <si>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</si>
  <si>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</si>
  <si>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</si>
  <si>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</si>
  <si>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</si>
  <si>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</si>
  <si>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</si>
  <si>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</si>
  <si>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</si>
  <si>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</si>
  <si>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</si>
  <si>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</si>
  <si>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</si>
  <si>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</si>
  <si>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</si>
  <si>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</si>
  <si>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</si>
  <si>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</si>
  <si>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</si>
  <si>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</si>
  <si>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</si>
  <si>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</si>
  <si>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</si>
  <si>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</si>
  <si>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</si>
  <si>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</si>
  <si>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</si>
  <si>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</si>
  <si>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</si>
  <si>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</si>
  <si>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</si>
  <si>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</si>
  <si>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</si>
  <si>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</si>
  <si>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</si>
  <si>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</si>
  <si>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</si>
  <si>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</si>
  <si>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</si>
  <si>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</si>
  <si>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</si>
  <si>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</si>
  <si>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</si>
  <si>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</si>
  <si>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</si>
  <si>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</si>
  <si>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</si>
  <si>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</si>
  <si>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</si>
  <si>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</si>
  <si>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</si>
  <si>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</si>
  <si>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</si>
  <si>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</si>
  <si>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</si>
  <si>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</si>
  <si>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</si>
  <si>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</si>
  <si>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</si>
  <si>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</si>
  <si>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</si>
  <si>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</si>
  <si>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</si>
  <si>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</si>
  <si>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</si>
  <si>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</si>
  <si>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</si>
  <si>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</si>
  <si>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</si>
  <si>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</si>
  <si>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</si>
  <si>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</si>
  <si>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</si>
  <si>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</si>
  <si>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</si>
  <si>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</si>
  <si>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</si>
  <si>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</si>
  <si>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</si>
  <si>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</si>
  <si>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</si>
  <si>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</si>
  <si>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</si>
  <si>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</si>
  <si>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</si>
  <si>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</si>
  <si>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</si>
  <si>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</si>
  <si>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</si>
  <si>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</si>
  <si>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</si>
  <si>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</si>
  <si>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</si>
  <si>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</si>
  <si>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</si>
  <si>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</si>
  <si>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</si>
  <si>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</si>
  <si>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</si>
  <si>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</si>
  <si>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</si>
  <si>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</si>
  <si>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</si>
  <si>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</si>
  <si>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</si>
  <si>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</si>
  <si>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</si>
  <si>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</si>
  <si>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</si>
  <si>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</si>
  <si>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</si>
  <si>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</si>
  <si>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</si>
  <si>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</si>
  <si>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</si>
  <si>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</si>
  <si>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</si>
  <si>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</si>
  <si>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</si>
  <si>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</si>
  <si>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</si>
  <si>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</si>
  <si>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</si>
  <si>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</si>
  <si>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</si>
  <si>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</si>
  <si>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</si>
  <si>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</si>
  <si>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</si>
  <si>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</si>
  <si>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</si>
  <si>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</si>
  <si>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</si>
  <si>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</si>
  <si>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</si>
  <si>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</si>
  <si>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</si>
  <si>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</si>
  <si>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</si>
  <si>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</si>
  <si>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</si>
  <si>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</si>
  <si>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</si>
  <si>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</si>
  <si>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</si>
  <si>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</si>
  <si>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</si>
  <si>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</si>
  <si>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</si>
  <si>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</si>
  <si>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</si>
  <si>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</si>
  <si>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</si>
  <si>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</si>
  <si>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</si>
  <si>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</si>
  <si>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</si>
  <si>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</si>
  <si>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</si>
  <si>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</si>
  <si>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</si>
  <si>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</si>
  <si>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</si>
  <si>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</si>
  <si>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</si>
  <si>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</si>
  <si>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</si>
  <si>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</si>
  <si>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</si>
  <si>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</si>
  <si>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</si>
  <si>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</si>
  <si>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</si>
  <si>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</si>
  <si>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</si>
  <si>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</si>
  <si>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</si>
  <si>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</si>
  <si>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</si>
  <si>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</si>
  <si>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</si>
  <si>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</si>
  <si>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</si>
  <si>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</si>
  <si>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</si>
  <si>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</si>
  <si>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</si>
  <si>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</si>
  <si>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</si>
  <si>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</si>
  <si>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</si>
  <si>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</si>
  <si>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</si>
  <si>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</si>
  <si>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</si>
  <si>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</si>
  <si>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</si>
  <si>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</si>
  <si>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</si>
  <si>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</si>
  <si>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</si>
  <si>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</si>
  <si>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</si>
  <si>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</si>
  <si>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</si>
  <si>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</si>
  <si>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</si>
  <si>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</si>
  <si>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</si>
  <si>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</si>
  <si>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</si>
  <si>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</si>
  <si>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</si>
  <si>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</si>
  <si>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</si>
  <si>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</si>
  <si>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</si>
  <si>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</si>
  <si>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</si>
  <si>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</si>
  <si>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</si>
  <si>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</si>
  <si>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</si>
  <si>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</si>
  <si>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</si>
  <si>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</si>
  <si>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</si>
  <si>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</si>
  <si>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</si>
  <si>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</si>
  <si>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</si>
  <si>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</si>
  <si>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</si>
  <si>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</si>
  <si>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</si>
  <si>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</si>
  <si>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</si>
  <si>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</si>
  <si>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</si>
  <si>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</si>
  <si>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</si>
  <si>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</si>
  <si>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</si>
  <si>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</si>
  <si>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</si>
  <si>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</si>
  <si>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</si>
  <si>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</si>
  <si>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</si>
  <si>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</si>
  <si>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</si>
  <si>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</si>
  <si>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</si>
  <si>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</si>
  <si>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</si>
  <si>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</si>
  <si>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</si>
  <si>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</si>
  <si>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</si>
  <si>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</si>
  <si>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</si>
  <si>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</si>
  <si>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</si>
  <si>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</si>
  <si>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</si>
  <si>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</si>
  <si>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</si>
  <si>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</si>
  <si>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</si>
  <si>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</si>
  <si>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</si>
  <si>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</si>
  <si>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</si>
  <si>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</si>
  <si>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</si>
  <si>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</si>
  <si>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</si>
  <si>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</si>
  <si>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</si>
  <si>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</si>
  <si>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</si>
  <si>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</si>
  <si>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</si>
  <si>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</si>
  <si>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</si>
  <si>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</si>
  <si>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</si>
  <si>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</si>
  <si>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</si>
  <si>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</si>
  <si>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</si>
  <si>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</si>
  <si>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</si>
  <si>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</si>
  <si>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</si>
  <si>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</si>
  <si>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</si>
  <si>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</si>
  <si>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</si>
  <si>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</si>
  <si>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</si>
  <si>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</si>
  <si>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</si>
  <si>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</si>
  <si>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</si>
  <si>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</si>
  <si>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</si>
  <si>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</si>
  <si>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</si>
  <si>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</si>
  <si>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</si>
  <si>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</si>
  <si>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</si>
  <si>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</si>
  <si>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</si>
  <si>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</si>
  <si>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</si>
  <si>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</si>
  <si>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</si>
  <si>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</si>
  <si>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</si>
  <si>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</si>
  <si>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</si>
  <si>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</si>
  <si>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</si>
  <si>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</si>
  <si>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</si>
  <si>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</si>
  <si>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</si>
  <si>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</si>
  <si>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</si>
  <si>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</si>
  <si>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</si>
  <si>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</si>
  <si>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</si>
  <si>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</si>
  <si>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</si>
  <si>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</si>
  <si>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</si>
  <si>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</si>
  <si>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</si>
  <si>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</si>
  <si>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</si>
  <si>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</si>
  <si>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</si>
  <si>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</si>
  <si>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</si>
  <si>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</si>
  <si>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</si>
  <si>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</si>
  <si>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</si>
  <si>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</si>
  <si>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</si>
  <si>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</si>
  <si>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</si>
  <si>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</si>
  <si>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</si>
  <si>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</si>
  <si>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</si>
  <si>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</si>
  <si>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</si>
  <si>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</si>
  <si>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</si>
  <si>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</si>
  <si>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</si>
  <si>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</si>
  <si>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</si>
  <si>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</si>
  <si>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</si>
  <si>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</si>
  <si>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</si>
  <si>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</si>
  <si>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</si>
  <si>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</si>
  <si>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</si>
  <si>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</si>
  <si>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</si>
  <si>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</si>
  <si>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</si>
  <si>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</si>
  <si>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</si>
  <si>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</si>
  <si>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</si>
  <si>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</si>
  <si>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</si>
  <si>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</si>
  <si>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</si>
  <si>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</si>
  <si>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</si>
  <si>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</si>
  <si>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</si>
  <si>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</si>
  <si>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</si>
  <si>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</si>
  <si>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</si>
  <si>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</si>
  <si>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</si>
  <si>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</si>
  <si>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</si>
  <si>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</si>
  <si>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</si>
  <si>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</si>
  <si>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</si>
  <si>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</si>
  <si>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</si>
  <si>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</si>
  <si>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</si>
  <si>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</si>
  <si>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</si>
  <si>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</si>
  <si>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</si>
  <si>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</si>
  <si>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</si>
  <si>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</si>
  <si>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</si>
  <si>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</si>
  <si>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</si>
  <si>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</si>
  <si>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</si>
  <si>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</si>
  <si>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</si>
  <si>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</si>
  <si>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</si>
  <si>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</si>
  <si>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</si>
  <si>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</si>
  <si>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</si>
  <si>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</si>
  <si>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</si>
  <si>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</si>
  <si>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</si>
  <si>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</si>
  <si>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</si>
  <si>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</si>
  <si>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</si>
  <si>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</si>
  <si>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</si>
  <si>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</si>
  <si>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</si>
  <si>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</si>
  <si>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</si>
  <si>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</si>
  <si>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</si>
  <si>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</si>
  <si>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</si>
  <si>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</si>
  <si>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</si>
  <si>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</si>
  <si>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</si>
  <si>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</si>
  <si>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</si>
  <si>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</si>
  <si>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</si>
  <si>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</si>
  <si>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</si>
  <si>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</si>
  <si>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</si>
  <si>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</si>
  <si>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</si>
  <si>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</si>
  <si>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</si>
  <si>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</si>
  <si>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</si>
  <si>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</si>
  <si>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</si>
  <si>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</si>
  <si>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</si>
  <si>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</si>
  <si>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</si>
  <si>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</si>
  <si>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</si>
  <si>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</si>
  <si>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</si>
  <si>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</si>
  <si>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</si>
  <si>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</si>
  <si>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</si>
  <si>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</si>
  <si>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</si>
  <si>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</si>
  <si>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</si>
  <si>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</si>
  <si>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</si>
  <si>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</si>
  <si>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</si>
  <si>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</si>
  <si>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</si>
  <si>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</si>
  <si>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</si>
  <si>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</si>
  <si>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</si>
  <si>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</si>
  <si>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</si>
  <si>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</si>
  <si>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</si>
  <si>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</si>
  <si>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</si>
  <si>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</si>
  <si>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</si>
  <si>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</si>
  <si>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</si>
  <si>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</si>
  <si>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</si>
  <si>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</si>
  <si>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</si>
  <si>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</si>
  <si>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</si>
  <si>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</si>
  <si>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</si>
  <si>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</si>
  <si>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</si>
  <si>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</si>
  <si>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</si>
  <si>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</si>
  <si>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</si>
  <si>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</si>
  <si>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</si>
  <si>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</si>
  <si>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</si>
  <si>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</si>
  <si>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</si>
  <si>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</si>
  <si>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</si>
  <si>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</si>
  <si>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</si>
  <si>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</si>
  <si>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</si>
  <si>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</si>
  <si>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</si>
  <si>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</si>
  <si>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</si>
  <si>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</si>
  <si>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</si>
  <si>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</si>
  <si>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</si>
  <si>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</si>
  <si>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</si>
  <si>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</si>
  <si>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</si>
  <si>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</si>
  <si>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</si>
  <si>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</si>
  <si>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</si>
  <si>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</si>
  <si>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</si>
  <si>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</si>
  <si>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</si>
  <si>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</si>
  <si>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</si>
  <si>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</si>
  <si>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</si>
  <si>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</si>
  <si>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</si>
  <si>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</si>
  <si>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</si>
  <si>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</si>
  <si>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</si>
  <si>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</si>
  <si>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</si>
  <si>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</si>
  <si>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</si>
  <si>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</si>
  <si>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</si>
  <si>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</si>
  <si>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</si>
  <si>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</si>
  <si>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</si>
  <si>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</si>
  <si>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</si>
  <si>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</si>
  <si>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</si>
  <si>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</si>
  <si>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</si>
  <si>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</si>
  <si>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</si>
  <si>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</si>
  <si>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</si>
  <si>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</si>
  <si>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</si>
  <si>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</si>
  <si>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</si>
  <si>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</si>
  <si>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</si>
  <si>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</si>
  <si>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</si>
  <si>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</si>
  <si>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</si>
  <si>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</si>
  <si>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</si>
  <si>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</si>
  <si>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</si>
  <si>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</si>
  <si>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</si>
  <si>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</si>
  <si>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</si>
  <si>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</si>
  <si>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</si>
  <si>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</si>
  <si>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</si>
  <si>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</si>
  <si>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</si>
  <si>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</si>
  <si>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</si>
  <si>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</si>
  <si>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</si>
  <si>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</si>
  <si>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</si>
  <si>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</si>
  <si>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</si>
  <si>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</si>
  <si>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</si>
  <si>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</si>
  <si>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</si>
  <si>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</si>
  <si>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</si>
  <si>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</si>
  <si>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</si>
  <si>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</si>
  <si>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</si>
  <si>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</si>
  <si>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</si>
  <si>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</si>
  <si>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</si>
  <si>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</si>
  <si>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</si>
  <si>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</si>
  <si>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</si>
  <si>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</si>
  <si>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</si>
  <si>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</si>
  <si>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</si>
  <si>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</si>
  <si>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</si>
  <si>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</si>
  <si>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</si>
  <si>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</si>
  <si>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</si>
  <si>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</si>
  <si>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</si>
  <si>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</si>
  <si>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</si>
  <si>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</si>
  <si>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</si>
  <si>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</si>
  <si>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</si>
  <si>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</si>
  <si>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</si>
  <si>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</si>
  <si>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</si>
  <si>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</si>
  <si>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</si>
  <si>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</si>
  <si>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</si>
  <si>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</si>
  <si>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</si>
  <si>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</si>
  <si>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</si>
  <si>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</si>
  <si>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</si>
  <si>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</si>
  <si>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</si>
  <si>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</si>
  <si>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</si>
  <si>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</si>
  <si>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</si>
  <si>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</si>
  <si>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</si>
  <si>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</si>
  <si>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</si>
  <si>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</si>
  <si>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</si>
  <si>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</si>
  <si>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</si>
  <si>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</si>
  <si>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</si>
  <si>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</si>
  <si>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</si>
  <si>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</si>
  <si>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</si>
  <si>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</si>
  <si>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</si>
  <si>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</si>
  <si>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</si>
  <si>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</si>
  <si>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</si>
  <si>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</si>
  <si>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</si>
  <si>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</si>
  <si>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</si>
  <si>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</si>
  <si>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</si>
  <si>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</si>
  <si>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</si>
  <si>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</si>
  <si>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</si>
  <si>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</si>
  <si>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</si>
  <si>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</si>
  <si>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</si>
  <si>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</si>
  <si>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</si>
  <si>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</si>
  <si>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</si>
  <si>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</si>
  <si>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</si>
  <si>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</si>
  <si>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</si>
  <si>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</si>
  <si>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</si>
  <si>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</si>
  <si>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</si>
  <si>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</si>
  <si>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</si>
  <si>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</si>
  <si>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</si>
  <si>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</si>
  <si>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</si>
  <si>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</si>
  <si>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</si>
  <si>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</si>
  <si>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</si>
  <si>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</si>
  <si>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</si>
  <si>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</si>
  <si>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</si>
  <si>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</si>
  <si>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</si>
  <si>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</si>
  <si>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</si>
  <si>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</si>
  <si>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</si>
  <si>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</si>
  <si>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</si>
  <si>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</si>
  <si>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</si>
  <si>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</si>
  <si>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</si>
  <si>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</si>
  <si>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</si>
  <si>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</si>
  <si>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</si>
  <si>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</si>
  <si>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</si>
  <si>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</si>
  <si>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</si>
  <si>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</si>
  <si>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</si>
  <si>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</si>
  <si>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</si>
  <si>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</si>
  <si>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</si>
  <si>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</si>
  <si>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</si>
  <si>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</si>
  <si>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</si>
  <si>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</si>
  <si>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</si>
  <si>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</si>
  <si>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</si>
  <si>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</si>
  <si>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</si>
  <si>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</si>
  <si>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</si>
  <si>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</si>
  <si>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</si>
  <si>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</si>
  <si>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</si>
  <si>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</si>
  <si>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</si>
  <si>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</si>
  <si>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</si>
  <si>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</si>
  <si>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</si>
  <si>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</si>
  <si>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</si>
  <si>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</si>
  <si>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</si>
  <si>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</si>
  <si>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</si>
  <si>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</si>
  <si>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</si>
  <si>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</si>
  <si>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</si>
  <si>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</si>
  <si>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</si>
  <si>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</si>
  <si>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</si>
  <si>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</si>
  <si>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</si>
  <si>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</si>
  <si>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</si>
  <si>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</si>
  <si>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</si>
  <si>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</si>
  <si>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</si>
  <si>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</si>
  <si>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</si>
  <si>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</si>
  <si>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</si>
  <si>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</si>
  <si>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</si>
  <si>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</si>
  <si>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</si>
  <si>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</si>
  <si>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</si>
  <si>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</si>
  <si>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</si>
  <si>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</si>
  <si>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</si>
  <si>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</si>
  <si>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</si>
  <si>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</si>
  <si>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</si>
  <si>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</si>
  <si>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</si>
  <si>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</si>
  <si>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</si>
  <si>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</si>
  <si>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</si>
  <si>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</si>
  <si>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</si>
  <si>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</si>
  <si>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</si>
  <si>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</si>
  <si>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</si>
  <si>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</si>
  <si>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</si>
  <si>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</si>
  <si>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</si>
  <si>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</si>
  <si>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</si>
  <si>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</si>
  <si>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</si>
  <si>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</si>
  <si>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</si>
  <si>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</si>
  <si>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</si>
  <si>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</si>
  <si>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</si>
  <si>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</si>
  <si>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</si>
  <si>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</si>
  <si>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</si>
  <si>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</si>
  <si>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</si>
  <si>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</si>
  <si>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</si>
  <si>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</si>
  <si>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</si>
  <si>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</si>
  <si>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</si>
  <si>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</si>
  <si>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</si>
  <si>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</si>
  <si>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</si>
  <si>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</si>
  <si>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</si>
  <si>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</si>
  <si>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</si>
  <si>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</si>
  <si>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</si>
  <si>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</si>
  <si>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</si>
  <si>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</si>
  <si>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</si>
  <si>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</si>
  <si>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</si>
  <si>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</si>
  <si>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</si>
  <si>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</si>
  <si>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</si>
  <si>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</si>
  <si>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</si>
  <si>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</si>
  <si>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</si>
  <si>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</si>
  <si>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</si>
  <si>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</si>
  <si>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</si>
  <si>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</si>
  <si>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</si>
  <si>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</si>
  <si>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</si>
  <si>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</si>
  <si>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</si>
  <si>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</si>
  <si>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</si>
  <si>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</si>
  <si>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</si>
  <si>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</si>
  <si>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</si>
  <si>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</si>
  <si>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</si>
  <si>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</si>
  <si>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</si>
  <si>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</si>
  <si>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</si>
  <si>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</si>
  <si>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</si>
  <si>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</si>
  <si>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</si>
  <si>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</si>
  <si>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</si>
  <si>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</si>
  <si>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</si>
  <si>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</si>
  <si>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</si>
  <si>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</si>
  <si>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</si>
  <si>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</si>
  <si>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</si>
  <si>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</si>
  <si>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</si>
  <si>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</si>
  <si>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</si>
  <si>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</si>
  <si>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</si>
  <si>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</si>
  <si>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</si>
  <si>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</si>
  <si>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</si>
  <si>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</si>
  <si>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</si>
  <si>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</si>
  <si>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</si>
  <si>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</si>
  <si>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</si>
  <si>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</si>
  <si>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</si>
  <si>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</si>
  <si>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</si>
  <si>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</si>
  <si>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</si>
  <si>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</si>
  <si>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</si>
  <si>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</si>
  <si>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</si>
  <si>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</si>
  <si>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</si>
  <si>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</si>
  <si>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</si>
  <si>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</si>
  <si>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</si>
  <si>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</si>
  <si>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</si>
  <si>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</si>
  <si>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</si>
  <si>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</si>
  <si>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</si>
  <si>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</si>
  <si>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</si>
  <si>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</si>
  <si>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</si>
  <si>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</si>
  <si>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</si>
  <si>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</si>
  <si>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</si>
  <si>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</si>
  <si>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</si>
  <si>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</si>
  <si>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</si>
  <si>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</si>
  <si>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</si>
  <si>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</si>
  <si>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</si>
  <si>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</si>
  <si>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</si>
  <si>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</si>
  <si>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</si>
  <si>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</si>
  <si>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</si>
  <si>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</si>
  <si>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</si>
  <si>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</si>
  <si>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</si>
  <si>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</si>
  <si>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</si>
  <si>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</si>
  <si>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</si>
  <si>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</si>
  <si>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</si>
  <si>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</si>
  <si>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</si>
  <si>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</si>
  <si>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</si>
  <si>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</si>
  <si>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</si>
  <si>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</si>
  <si>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</si>
  <si>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</si>
  <si>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</si>
  <si>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</si>
  <si>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</si>
  <si>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</si>
  <si>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</si>
  <si>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</si>
  <si>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</si>
  <si>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</si>
  <si>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</si>
  <si>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</si>
  <si>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</si>
  <si>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</si>
  <si>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</si>
  <si>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</si>
  <si>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</si>
  <si>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</si>
  <si>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</si>
  <si>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</si>
  <si>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</si>
  <si>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</si>
  <si>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</si>
  <si>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</si>
  <si>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</si>
  <si>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</si>
  <si>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</si>
  <si>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</si>
  <si>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</si>
  <si>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</si>
  <si>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</si>
  <si>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</si>
  <si>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</si>
  <si>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</si>
  <si>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</si>
  <si>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</si>
  <si>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</si>
  <si>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</si>
  <si>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</si>
  <si>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</si>
  <si>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</si>
  <si>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</si>
  <si>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</si>
  <si>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</si>
  <si>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</si>
  <si>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</si>
  <si>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</si>
  <si>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</si>
  <si>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</si>
  <si>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</si>
  <si>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</si>
  <si>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</si>
  <si>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</si>
  <si>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</si>
  <si>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</si>
  <si>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</si>
  <si>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</si>
  <si>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</si>
  <si>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</si>
  <si>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</si>
  <si>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</si>
  <si>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</si>
  <si>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</si>
  <si>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</si>
  <si>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</si>
  <si>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</si>
  <si>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</si>
  <si>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</si>
  <si>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</si>
  <si>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</si>
  <si>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</si>
  <si>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</si>
  <si>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</si>
  <si>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</si>
  <si>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</si>
  <si>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</si>
  <si>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</si>
  <si>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</si>
  <si>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</si>
  <si>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</si>
  <si>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</si>
  <si>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</si>
  <si>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</si>
  <si>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</si>
  <si>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</si>
  <si>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</si>
  <si>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</si>
  <si>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</si>
  <si>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</si>
  <si>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</si>
  <si>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</si>
  <si>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</si>
  <si>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</si>
  <si>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</si>
  <si>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</si>
  <si>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</si>
  <si>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</si>
  <si>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</si>
  <si>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</si>
  <si>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</si>
  <si>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</si>
  <si>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</si>
  <si>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</si>
  <si>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</si>
  <si>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</si>
  <si>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</si>
  <si>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</si>
  <si>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</si>
  <si>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</si>
  <si>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</si>
  <si>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</si>
  <si>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</si>
  <si>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</si>
  <si>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</si>
  <si>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</si>
  <si>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</si>
  <si>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</si>
  <si>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</si>
  <si>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</si>
  <si>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</si>
  <si>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</si>
  <si>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</si>
  <si>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</si>
  <si>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</si>
  <si>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</si>
  <si>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</si>
  <si>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</si>
  <si>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</si>
  <si>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</si>
  <si>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</si>
  <si>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</si>
  <si>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</si>
  <si>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</si>
  <si>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</si>
  <si>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</si>
  <si>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</si>
  <si>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</si>
  <si>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</si>
  <si>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</si>
  <si>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</si>
  <si>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</si>
  <si>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</si>
  <si>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</si>
  <si>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</si>
  <si>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</si>
  <si>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</si>
  <si>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</si>
  <si>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</si>
  <si>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</si>
  <si>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</si>
  <si>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</si>
  <si>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</si>
  <si>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</si>
  <si>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</si>
  <si>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</si>
  <si>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</si>
  <si>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</si>
  <si>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</si>
  <si>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</si>
  <si>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</si>
  <si>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</si>
  <si>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</si>
  <si>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</si>
  <si>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</si>
  <si>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</si>
  <si>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</si>
  <si>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</si>
  <si>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</si>
  <si>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</si>
  <si>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</si>
  <si>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</si>
  <si>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</si>
  <si>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</si>
  <si>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</si>
  <si>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</si>
  <si>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</si>
  <si>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</si>
  <si>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</si>
  <si>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</si>
  <si>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</si>
  <si>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</si>
  <si>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</si>
  <si>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</si>
  <si>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</si>
  <si>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</si>
  <si>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</si>
  <si>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</si>
  <si>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</si>
  <si>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</si>
  <si>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</si>
  <si>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</si>
  <si>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</si>
  <si>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</si>
  <si>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</si>
  <si>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</si>
  <si>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</si>
  <si>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</si>
  <si>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</si>
  <si>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</si>
  <si>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</si>
  <si>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</si>
  <si>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</si>
  <si>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</si>
  <si>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</si>
  <si>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</si>
  <si>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</si>
  <si>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</si>
  <si>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</si>
  <si>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</si>
  <si>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</si>
  <si>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</si>
  <si>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</si>
  <si>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</si>
  <si>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</si>
  <si>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</si>
  <si>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</si>
  <si>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</si>
  <si>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</si>
  <si>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</si>
  <si>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</si>
  <si>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</si>
  <si>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</si>
  <si>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</si>
  <si>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</si>
  <si>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</si>
  <si>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</si>
  <si>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</si>
  <si>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</si>
  <si>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</si>
  <si>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</si>
  <si>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</si>
  <si>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</si>
  <si>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</si>
  <si>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</si>
  <si>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</si>
  <si>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</si>
  <si>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</si>
  <si>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</si>
  <si>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</si>
  <si>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</si>
  <si>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</si>
  <si>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</si>
  <si>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</si>
  <si>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</si>
  <si>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</si>
  <si>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</si>
  <si>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</si>
  <si>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</si>
  <si>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</si>
  <si>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</si>
  <si>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</si>
  <si>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</si>
  <si>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</si>
  <si>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</si>
  <si>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</si>
  <si>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</si>
  <si>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</si>
  <si>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</si>
  <si>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</si>
  <si>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</si>
  <si>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</si>
  <si>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</si>
  <si>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</si>
  <si>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</si>
  <si>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</si>
  <si>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</si>
  <si>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</si>
  <si>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</si>
  <si>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</si>
  <si>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</si>
  <si>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</si>
  <si>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</si>
  <si>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</si>
  <si>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</si>
  <si>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</si>
  <si>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</si>
  <si>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</si>
  <si>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</si>
  <si>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</si>
  <si>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</si>
  <si>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</si>
  <si>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</si>
  <si>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</si>
  <si>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</si>
  <si>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</si>
  <si>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</si>
  <si>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</si>
  <si>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</si>
  <si>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</si>
  <si>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</si>
  <si>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</si>
  <si>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</si>
  <si>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</si>
  <si>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</si>
  <si>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</si>
  <si>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</si>
  <si>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</si>
  <si>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</si>
  <si>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</si>
  <si>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</si>
  <si>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</si>
  <si>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</si>
  <si>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</si>
  <si>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</si>
  <si>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</si>
  <si>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</si>
  <si>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</si>
  <si>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</si>
  <si>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</si>
  <si>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</si>
  <si>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</si>
  <si>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</si>
  <si>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</si>
  <si>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</si>
  <si>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</si>
  <si>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</si>
  <si>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</si>
  <si>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</si>
  <si>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</si>
  <si>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</si>
  <si>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</si>
  <si>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</si>
  <si>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</si>
  <si>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</si>
  <si>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</si>
  <si>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</si>
  <si>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</si>
  <si>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</si>
  <si>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</si>
  <si>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</si>
  <si>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</si>
  <si>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</si>
  <si>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</si>
  <si>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</si>
  <si>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</si>
  <si>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</si>
  <si>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</si>
  <si>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</si>
  <si>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</si>
  <si>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</si>
  <si>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</si>
  <si>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</si>
  <si>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</si>
  <si>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</si>
  <si>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</si>
  <si>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</si>
  <si>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</si>
  <si>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</si>
  <si>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</si>
  <si>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</si>
  <si>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</si>
  <si>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</si>
  <si>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</si>
  <si>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</si>
  <si>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</si>
  <si>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</si>
  <si>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</si>
  <si>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</si>
  <si>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</si>
  <si>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</si>
  <si>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</si>
  <si>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</si>
  <si>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</si>
  <si>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</si>
  <si>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</si>
  <si>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</si>
  <si>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</si>
  <si>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</si>
  <si>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</si>
  <si>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</si>
  <si>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</si>
  <si>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</si>
  <si>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</si>
  <si>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</si>
  <si>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</si>
  <si>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</si>
  <si>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</si>
  <si>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</si>
  <si>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</si>
  <si>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</si>
  <si>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</si>
  <si>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</si>
  <si>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</si>
  <si>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</si>
  <si>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</si>
  <si>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</si>
  <si>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</si>
  <si>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</si>
  <si>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</si>
  <si>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</si>
  <si>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</si>
  <si>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</si>
  <si>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</si>
  <si>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</si>
  <si>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</si>
  <si>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</si>
  <si>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</si>
  <si>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</si>
  <si>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</si>
  <si>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</si>
  <si>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</si>
  <si>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</si>
  <si>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</si>
  <si>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</si>
  <si>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</si>
  <si>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</si>
  <si>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</si>
  <si>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</si>
  <si>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</si>
  <si>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</si>
  <si>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</si>
  <si>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</si>
  <si>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</si>
  <si>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</si>
  <si>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</si>
  <si>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</si>
  <si>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</si>
  <si>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</si>
  <si>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</si>
  <si>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</si>
  <si>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</si>
  <si>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</si>
  <si>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</si>
  <si>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</si>
  <si>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</si>
  <si>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</si>
  <si>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</si>
  <si>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</si>
  <si>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</si>
  <si>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</si>
  <si>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</si>
  <si>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</si>
  <si>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</si>
  <si>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</si>
  <si>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</si>
  <si>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</si>
  <si>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</si>
  <si>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</si>
  <si>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</si>
  <si>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</si>
  <si>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</si>
  <si>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</si>
  <si>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</si>
  <si>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</si>
  <si>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</si>
  <si>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</si>
  <si>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</si>
  <si>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</si>
  <si>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</si>
  <si>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</si>
  <si>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</si>
  <si>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</si>
  <si>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</si>
  <si>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</si>
  <si>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</si>
  <si>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</si>
  <si>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</si>
  <si>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</si>
  <si>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</si>
  <si>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</si>
  <si>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</si>
  <si>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</si>
  <si>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</si>
  <si>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</si>
  <si>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</si>
  <si>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</si>
  <si>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</si>
  <si>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</si>
  <si>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</si>
  <si>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</si>
  <si>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</si>
  <si>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</si>
  <si>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</si>
  <si>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</si>
  <si>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</si>
  <si>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</si>
  <si>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</si>
  <si>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</si>
  <si>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</si>
  <si>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</si>
  <si>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</si>
  <si>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</si>
  <si>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</si>
  <si>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</si>
  <si>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</si>
  <si>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</si>
  <si>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</si>
  <si>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</si>
  <si>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</si>
  <si>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</si>
  <si>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</si>
  <si>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</si>
  <si>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</si>
  <si>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</si>
  <si>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</si>
  <si>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</si>
  <si>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</si>
  <si>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</si>
  <si>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</si>
  <si>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</si>
  <si>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</si>
  <si>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</si>
  <si>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</si>
  <si>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</si>
  <si>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</si>
  <si>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</si>
  <si>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</si>
  <si>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</si>
  <si>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</si>
  <si>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</si>
  <si>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</si>
  <si>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</si>
  <si>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</si>
  <si>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</si>
  <si>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</si>
  <si>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</si>
  <si>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</si>
  <si>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</si>
  <si>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</si>
  <si>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</si>
  <si>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</si>
  <si>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</si>
  <si>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</si>
  <si>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</si>
  <si>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</si>
  <si>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</si>
  <si>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</si>
  <si>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</si>
  <si>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</si>
  <si>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</si>
  <si>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</si>
  <si>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</si>
  <si>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</si>
  <si>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</si>
  <si>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</si>
  <si>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</si>
  <si>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</si>
  <si>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</si>
  <si>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</si>
  <si>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</si>
  <si>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</si>
  <si>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</si>
  <si>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</si>
  <si>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</si>
  <si>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</si>
  <si>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</si>
  <si>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</si>
  <si>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</si>
  <si>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</si>
  <si>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</si>
  <si>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</si>
  <si>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</si>
  <si>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</si>
  <si>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</si>
  <si>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</si>
  <si>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</si>
  <si>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</si>
  <si>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</si>
  <si>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</si>
  <si>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</si>
  <si>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</si>
  <si>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</si>
  <si>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</si>
  <si>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</si>
  <si>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</si>
  <si>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</si>
  <si>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</si>
  <si>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</si>
  <si>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</si>
  <si>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</si>
  <si>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</si>
  <si>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</si>
  <si>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</si>
  <si>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</si>
  <si>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</si>
  <si>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</si>
  <si>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</si>
  <si>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</si>
  <si>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</si>
  <si>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</si>
  <si>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</si>
  <si>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</si>
  <si>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</si>
  <si>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</si>
  <si>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</si>
  <si>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</si>
  <si>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</si>
  <si>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</si>
  <si>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</si>
  <si>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</si>
  <si>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</si>
  <si>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</si>
  <si>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</si>
  <si>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</si>
  <si>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</si>
  <si>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</si>
  <si>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</si>
  <si>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</si>
  <si>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</si>
  <si>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</si>
  <si>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</si>
  <si>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</si>
  <si>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</si>
  <si>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</si>
  <si>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</si>
  <si>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</si>
  <si>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</si>
  <si>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</si>
  <si>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</si>
  <si>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</si>
  <si>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</si>
  <si>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</si>
  <si>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</si>
  <si>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</si>
  <si>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</si>
  <si>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</si>
  <si>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</si>
  <si>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</si>
  <si>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</si>
  <si>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</si>
  <si>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</si>
  <si>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</si>
  <si>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</si>
  <si>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</si>
  <si>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</si>
  <si>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</si>
  <si>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</si>
  <si>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</si>
  <si>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</si>
  <si>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</si>
  <si>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</si>
  <si>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</si>
  <si>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</si>
  <si>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</si>
  <si>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</si>
  <si>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</si>
  <si>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</si>
  <si>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</si>
  <si>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</si>
  <si>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</si>
  <si>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</si>
  <si>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</si>
  <si>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</si>
  <si>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</si>
  <si>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</si>
  <si>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</si>
  <si>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</si>
  <si>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</si>
  <si>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</si>
  <si>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</si>
  <si>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</si>
  <si>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</si>
  <si>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</si>
  <si>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</si>
  <si>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</si>
  <si>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</si>
  <si>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</si>
  <si>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</si>
  <si>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</si>
  <si>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</si>
  <si>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</si>
  <si>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</si>
  <si>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</si>
  <si>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</si>
  <si>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</si>
  <si>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</si>
  <si>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</si>
  <si>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</si>
  <si>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</si>
  <si>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</si>
  <si>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</si>
  <si>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</si>
  <si>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</si>
  <si>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</si>
  <si>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</si>
  <si>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</si>
  <si>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</si>
  <si>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</si>
  <si>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</si>
  <si>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</si>
  <si>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</si>
  <si>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</si>
  <si>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</si>
  <si>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</si>
  <si>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</si>
  <si>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</si>
  <si>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</si>
  <si>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</si>
  <si>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</si>
  <si>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</si>
  <si>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</si>
  <si>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</si>
  <si>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</si>
  <si>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</si>
  <si>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</si>
  <si>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</si>
  <si>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</si>
  <si>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</si>
  <si>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</si>
  <si>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</si>
  <si>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</si>
  <si>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</si>
  <si>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</si>
  <si>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</si>
  <si>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</si>
  <si>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</si>
  <si>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</si>
  <si>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</si>
  <si>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</si>
  <si>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</si>
  <si>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</si>
  <si>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</si>
  <si>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</si>
  <si>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</si>
  <si>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</si>
  <si>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</si>
  <si>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</si>
  <si>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</si>
  <si>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</si>
  <si>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</si>
  <si>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</si>
  <si>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</si>
  <si>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</si>
  <si>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</si>
  <si>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</si>
  <si>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</si>
  <si>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</si>
  <si>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</si>
  <si>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</si>
  <si>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</si>
  <si>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</si>
  <si>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</si>
  <si>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</si>
  <si>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</si>
  <si>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</si>
  <si>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</si>
  <si>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</si>
  <si>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</si>
  <si>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</si>
  <si>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</si>
  <si>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</si>
  <si>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</si>
  <si>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</si>
  <si>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</si>
  <si>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</si>
  <si>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</si>
  <si>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</si>
  <si>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</si>
  <si>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</si>
  <si>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</si>
  <si>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</si>
  <si>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</si>
  <si>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</si>
  <si>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</si>
  <si>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</si>
  <si>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</si>
  <si>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</si>
  <si>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</si>
  <si>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</si>
  <si>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</si>
  <si>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</si>
  <si>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</si>
  <si>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</si>
  <si>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</si>
  <si>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</si>
  <si>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楼号</t>
    <phoneticPr fontId="134" type="noConversion"/>
  </si>
  <si>
    <t>总面积</t>
    <phoneticPr fontId="134" type="noConversion"/>
  </si>
  <si>
    <t>仓储</t>
    <phoneticPr fontId="134" type="noConversion"/>
  </si>
  <si>
    <t>车库</t>
    <phoneticPr fontId="134" type="noConversion"/>
  </si>
  <si>
    <t>1#住宅楼</t>
  </si>
  <si>
    <t>2#住宅楼</t>
  </si>
  <si>
    <t>3#住宅楼</t>
  </si>
  <si>
    <t>4#住宅楼</t>
  </si>
  <si>
    <t>5#住宅楼</t>
  </si>
  <si>
    <t>6#住宅楼</t>
  </si>
  <si>
    <t>7#住宅楼</t>
  </si>
  <si>
    <t>9#住宅楼</t>
  </si>
  <si>
    <t>10#住宅楼</t>
  </si>
  <si>
    <t>11#住宅楼</t>
  </si>
  <si>
    <t>12#住宅楼</t>
  </si>
  <si>
    <t>13#住宅楼</t>
  </si>
  <si>
    <t>14#住宅楼</t>
  </si>
  <si>
    <t>15#住宅楼</t>
  </si>
  <si>
    <t>16#住宅楼</t>
  </si>
  <si>
    <t>17#住宅楼</t>
  </si>
  <si>
    <t>19#住宅楼</t>
  </si>
  <si>
    <t>20#住宅楼</t>
  </si>
  <si>
    <t>21#住宅楼</t>
  </si>
  <si>
    <t>22#住宅楼</t>
  </si>
  <si>
    <t>24#住宅楼</t>
  </si>
  <si>
    <t>25#住宅楼</t>
  </si>
  <si>
    <t>26#住宅楼</t>
  </si>
  <si>
    <t>27#住宅楼</t>
  </si>
  <si>
    <t>地下车库</t>
    <phoneticPr fontId="134" type="noConversion"/>
  </si>
  <si>
    <t>总计</t>
    <phoneticPr fontId="134" type="noConversion"/>
  </si>
  <si>
    <t>未售清单</t>
  </si>
  <si>
    <t>-</t>
  </si>
  <si>
    <t>序号</t>
  </si>
  <si>
    <t>楼栋名称</t>
  </si>
  <si>
    <t>产品类型</t>
  </si>
  <si>
    <t>房号</t>
  </si>
  <si>
    <t>房间编码</t>
  </si>
  <si>
    <t>单元号</t>
  </si>
  <si>
    <t>房间名称</t>
  </si>
  <si>
    <t>建筑面积</t>
  </si>
  <si>
    <t>报建价</t>
  </si>
  <si>
    <t>销售状态</t>
  </si>
  <si>
    <t>销售状态：草签、认购、未售</t>
  </si>
  <si>
    <t>1#</t>
  </si>
  <si>
    <t>越秀城建·香山樾-一期-1#-一单元-101</t>
  </si>
  <si>
    <t>P1111-B0001-R0004</t>
  </si>
  <si>
    <t>未售</t>
  </si>
  <si>
    <t>越秀城建·香山樾-一期-1#-一单元-102</t>
  </si>
  <si>
    <t>P1111-B0001-R0003</t>
  </si>
  <si>
    <t>越秀城建·香山樾-一期-1#-一单元-202</t>
  </si>
  <si>
    <t>P1111-B0001-R0007</t>
  </si>
  <si>
    <t>越秀城建·香山樾-一期-1#-一单元-301</t>
  </si>
  <si>
    <t>P1111-B0001-R0012</t>
  </si>
  <si>
    <t>越秀城建·香山樾-一期-1#-一单元-302</t>
  </si>
  <si>
    <t>P1111-B0001-R0011</t>
  </si>
  <si>
    <t>越秀城建·香山樾-一期-1#-二单元-101</t>
  </si>
  <si>
    <t>P1111-B0001-R0002</t>
  </si>
  <si>
    <t>认购</t>
  </si>
  <si>
    <t>越秀城建·香山樾-一期-1#-二单元-102</t>
  </si>
  <si>
    <t>P1111-B0001-R0001</t>
  </si>
  <si>
    <t>越秀城建·香山樾-一期-1#-二单元-201</t>
  </si>
  <si>
    <t>P1111-B0001-R0006</t>
  </si>
  <si>
    <t>草签</t>
  </si>
  <si>
    <t>越秀城建·香山樾-一期-1#-二单元-301</t>
  </si>
  <si>
    <t>P1111-B0001-R0010</t>
  </si>
  <si>
    <t>越秀城建·香山樾-一期-1#-二单元-302</t>
  </si>
  <si>
    <t>P1111-B0001-R0009</t>
  </si>
  <si>
    <t>越秀城建·香山樾-一期-1#-二单元-401</t>
  </si>
  <si>
    <t>P1111-B0001-R0014</t>
  </si>
  <si>
    <t>越秀城建·香山樾-一期-1#-二单元-402</t>
  </si>
  <si>
    <t>P1111-B0001-R0013</t>
  </si>
  <si>
    <t>10#</t>
  </si>
  <si>
    <t>越秀城建·香山樾-一期-10#-一单元-101</t>
  </si>
  <si>
    <t>P1111-B0010-R0005</t>
  </si>
  <si>
    <t>越秀城建·香山樾-一期-10#-一单元-301</t>
  </si>
  <si>
    <t>P1111-B0010-R0015</t>
  </si>
  <si>
    <t>越秀城建·香山樾-一期-10#-二单元-101</t>
  </si>
  <si>
    <t>P1111-B0010-R0003</t>
  </si>
  <si>
    <t>越秀城建·香山樾-一期-10#-二单元-102</t>
  </si>
  <si>
    <t>P1111-B0010-R0002</t>
  </si>
  <si>
    <t>11#</t>
  </si>
  <si>
    <t>越秀城建·香山樾-一期-11#-一单元-102</t>
  </si>
  <si>
    <t>P1111-B0011-R0007</t>
  </si>
  <si>
    <t>越秀城建·香山樾-一期-11#-二单元-101</t>
  </si>
  <si>
    <t>P1111-B0011-R0006</t>
  </si>
  <si>
    <t>越秀城建·香山樾-一期-11#-二单元-302</t>
  </si>
  <si>
    <t>P1111-B0011-R0021</t>
  </si>
  <si>
    <t>越秀城建·香山樾-一期-11#-二单元-402</t>
  </si>
  <si>
    <t>P1111-B0011-R0029</t>
  </si>
  <si>
    <t>越秀城建·香山樾-一期-11#-三单元-101</t>
  </si>
  <si>
    <t>P1111-B0011-R0004</t>
  </si>
  <si>
    <t>越秀城建·香山樾-一期-11#-三单元-302</t>
  </si>
  <si>
    <t>P1111-B0011-R0019</t>
  </si>
  <si>
    <t>12#</t>
  </si>
  <si>
    <t>越秀城建·香山樾-一期-12#-一单元-102</t>
  </si>
  <si>
    <t>P1111-B0012-R0006</t>
  </si>
  <si>
    <t>越秀城建·香山樾-一期-12#-一单元-202</t>
  </si>
  <si>
    <t>P1111-B0012-R0013</t>
  </si>
  <si>
    <t>越秀城建·香山樾-一期-12#-一单元-301</t>
  </si>
  <si>
    <t>P1111-B0012-R0021</t>
  </si>
  <si>
    <t>越秀城建·香山樾-一期-12#-一单元-302</t>
  </si>
  <si>
    <t>P1111-B0012-R0020</t>
  </si>
  <si>
    <t>越秀城建·香山樾-一期-12#-二单元-101</t>
  </si>
  <si>
    <t>P1111-B0012-R0005</t>
  </si>
  <si>
    <t>越秀城建·香山樾-一期-12#-二单元-102</t>
  </si>
  <si>
    <t>P1111-B0012-R0004</t>
  </si>
  <si>
    <t>越秀城建·香山樾-一期-12#-二单元-201</t>
  </si>
  <si>
    <t>P1111-B0012-R0012</t>
  </si>
  <si>
    <t>越秀城建·香山樾-一期-12#-二单元-202</t>
  </si>
  <si>
    <t>P1111-B0012-R0011</t>
  </si>
  <si>
    <t>越秀城建·香山樾-一期-12#-二单元-301</t>
  </si>
  <si>
    <t>P1111-B0012-R0019</t>
  </si>
  <si>
    <t>越秀城建·香山樾-一期-12#-二单元-302</t>
  </si>
  <si>
    <t>P1111-B0012-R0018</t>
  </si>
  <si>
    <t>越秀城建·香山樾-一期-12#-二单元-401</t>
  </si>
  <si>
    <t>P1111-B0012-R0026</t>
  </si>
  <si>
    <t>越秀城建·香山樾-一期-12#-二单元-402</t>
  </si>
  <si>
    <t>P1111-B0012-R0025</t>
  </si>
  <si>
    <t>越秀城建·香山樾-一期-12#-三单元-101</t>
  </si>
  <si>
    <t>P1111-B0012-R0003</t>
  </si>
  <si>
    <t>越秀城建·香山樾-一期-12#-三单元-102</t>
  </si>
  <si>
    <t>P1111-B0012-R0002</t>
  </si>
  <si>
    <t>越秀城建·香山樾-一期-12#-三单元-201</t>
  </si>
  <si>
    <t>P1111-B0012-R0010</t>
  </si>
  <si>
    <t>越秀城建·香山樾-一期-12#-三单元-202</t>
  </si>
  <si>
    <t>P1111-B0012-R0009</t>
  </si>
  <si>
    <t>越秀城建·香山樾-一期-12#-三单元-301</t>
  </si>
  <si>
    <t>P1111-B0012-R0017</t>
  </si>
  <si>
    <t>越秀城建·香山樾-一期-12#-三单元-302</t>
  </si>
  <si>
    <t>P1111-B0012-R0016</t>
  </si>
  <si>
    <t>越秀城建·香山樾-一期-12#-三单元-401</t>
  </si>
  <si>
    <t>P1111-B0012-R0024</t>
  </si>
  <si>
    <t>越秀城建·香山樾-一期-12#-三单元-402</t>
  </si>
  <si>
    <t>P1111-B0012-R0023</t>
  </si>
  <si>
    <t>13#</t>
  </si>
  <si>
    <t>越秀城建·香山樾-一期-13#-一单元-101</t>
  </si>
  <si>
    <t>P1111-B0013-R0004</t>
  </si>
  <si>
    <t>越秀城建·香山樾-一期-13#-一单元-102</t>
  </si>
  <si>
    <t>P1111-B0013-R0003</t>
  </si>
  <si>
    <t>越秀城建·香山樾-一期-13#-一单元-201</t>
  </si>
  <si>
    <t>P1111-B0013-R0008</t>
  </si>
  <si>
    <t>越秀城建·香山樾-一期-13#-一单元-202</t>
  </si>
  <si>
    <t>P1111-B0013-R0007</t>
  </si>
  <si>
    <t>越秀城建·香山樾-一期-13#-一单元-301</t>
  </si>
  <si>
    <t>P1111-B0013-R0012</t>
  </si>
  <si>
    <t>越秀城建·香山樾-一期-13#-一单元-302</t>
  </si>
  <si>
    <t>P1111-B0013-R0011</t>
  </si>
  <si>
    <t>越秀城建·香山樾-一期-13#-一单元-402</t>
  </si>
  <si>
    <t>P1111-B0013-R0015</t>
  </si>
  <si>
    <t>越秀城建·香山樾-一期-13#-二单元-101</t>
  </si>
  <si>
    <t>P1111-B0013-R0002</t>
  </si>
  <si>
    <t>越秀城建·香山樾-一期-13#-二单元-102</t>
  </si>
  <si>
    <t>P1111-B0013-R0001</t>
  </si>
  <si>
    <t>越秀城建·香山樾-一期-13#-二单元-201</t>
  </si>
  <si>
    <t>P1111-B0013-R0006</t>
  </si>
  <si>
    <t>越秀城建·香山樾-一期-13#-二单元-301</t>
  </si>
  <si>
    <t>P1111-B0013-R0010</t>
  </si>
  <si>
    <t>越秀城建·香山樾-一期-13#-二单元-401</t>
  </si>
  <si>
    <t>P1111-B0013-R0014</t>
  </si>
  <si>
    <t>14#</t>
  </si>
  <si>
    <t>越秀城建·香山樾-一期-14#-202</t>
  </si>
  <si>
    <t>P1111-B0014-R0003</t>
  </si>
  <si>
    <t>越秀城建·香山樾-一期-14#-301</t>
  </si>
  <si>
    <t>P1111-B0014-R0006</t>
  </si>
  <si>
    <t>越秀城建·香山樾-一期-14#-302</t>
  </si>
  <si>
    <t>P1111-B0014-R0005</t>
  </si>
  <si>
    <t>15#</t>
  </si>
  <si>
    <t>越秀城建·香山樾-一期-15#-102</t>
  </si>
  <si>
    <t>P1111-B0015-R0001</t>
  </si>
  <si>
    <t>越秀城建·香山樾-一期-15#-402</t>
  </si>
  <si>
    <t>P1111-B0015-R0007</t>
  </si>
  <si>
    <t>16#</t>
  </si>
  <si>
    <t>越秀城建·香山樾-一期-16#-一单元-101</t>
  </si>
  <si>
    <t>P1111-B0016-R0004</t>
  </si>
  <si>
    <t>越秀城建·香山樾-一期-16#-一单元-102</t>
  </si>
  <si>
    <t>P1111-B0016-R0003</t>
  </si>
  <si>
    <t>越秀城建·香山樾-一期-16#-一单元-201</t>
  </si>
  <si>
    <t>P1111-B0016-R0008</t>
  </si>
  <si>
    <t>越秀城建·香山樾-一期-16#-一单元-202</t>
  </si>
  <si>
    <t>P1111-B0016-R0007</t>
  </si>
  <si>
    <t>越秀城建·香山樾-一期-16#-一单元-301</t>
  </si>
  <si>
    <t>P1111-B0016-R0012</t>
  </si>
  <si>
    <t>越秀城建·香山樾-一期-16#-一单元-401</t>
  </si>
  <si>
    <t>P1111-B0016-R0016</t>
  </si>
  <si>
    <t>越秀城建·香山樾-一期-16#-二单元-101</t>
  </si>
  <si>
    <t>P1111-B0016-R0002</t>
  </si>
  <si>
    <t>越秀城建·香山樾-一期-16#-二单元-102</t>
  </si>
  <si>
    <t>P1111-B0016-R0001</t>
  </si>
  <si>
    <t>越秀城建·香山樾-一期-16#-二单元-202</t>
  </si>
  <si>
    <t>P1111-B0016-R0005</t>
  </si>
  <si>
    <t>17#</t>
  </si>
  <si>
    <t>越秀城建·香山樾-一期-17#-二单元-101</t>
  </si>
  <si>
    <t>P1111-B0017-R0007</t>
  </si>
  <si>
    <t>越秀城建·香山樾-一期-17#-三单元-101</t>
  </si>
  <si>
    <t>P1111-B0017-R0005</t>
  </si>
  <si>
    <t>越秀城建·香山樾-一期-17#-三单元-102</t>
  </si>
  <si>
    <t>P1111-B0017-R0004</t>
  </si>
  <si>
    <t>越秀城建·香山樾-一期-17#-三单元-202</t>
  </si>
  <si>
    <t>P1111-B0017-R0013</t>
  </si>
  <si>
    <t>19#</t>
  </si>
  <si>
    <t>越秀城建·香山樾-一期-19#-一单元-101</t>
  </si>
  <si>
    <t>P1111-B0019-R0004</t>
  </si>
  <si>
    <t>越秀城建·香山樾-一期-19#-一单元-102</t>
  </si>
  <si>
    <t>P1111-B0019-R0003</t>
  </si>
  <si>
    <t>越秀城建·香山樾-一期-19#-一单元-202</t>
  </si>
  <si>
    <t>P1111-B0019-R0007</t>
  </si>
  <si>
    <t>越秀城建·香山樾-一期-19#-一单元-402</t>
  </si>
  <si>
    <t>P1111-B0019-R0015</t>
  </si>
  <si>
    <t>越秀城建·香山樾-一期-19#-二单元-101</t>
  </si>
  <si>
    <t>P1111-B0019-R0002</t>
  </si>
  <si>
    <t>越秀城建·香山樾-一期-19#-二单元-201</t>
  </si>
  <si>
    <t>P1111-B0019-R0006</t>
  </si>
  <si>
    <t>2#</t>
  </si>
  <si>
    <t>越秀城建·香山樾-一期-2#-一单元-102</t>
  </si>
  <si>
    <t>P1111-B0002-R0005</t>
  </si>
  <si>
    <t>越秀城建·香山樾-一期-2#-一单元-301</t>
  </si>
  <si>
    <t>P1111-B0002-R0018</t>
  </si>
  <si>
    <t>越秀城建·香山樾-一期-2#-一单元-402</t>
  </si>
  <si>
    <t>P1111-B0002-R0023</t>
  </si>
  <si>
    <t>越秀城建·香山樾-一期-2#-二单元-101</t>
  </si>
  <si>
    <t>P1111-B0002-R0004</t>
  </si>
  <si>
    <t>越秀城建·香山樾-一期-2#-二单元-102</t>
  </si>
  <si>
    <t>P1111-B0002-R0003</t>
  </si>
  <si>
    <t>越秀城建·香山樾-一期-2#-二单元-302</t>
  </si>
  <si>
    <t>P1111-B0002-R0015</t>
  </si>
  <si>
    <t>越秀城建·香山樾-一期-2#-二单元-401</t>
  </si>
  <si>
    <t>P1111-B0002-R0022</t>
  </si>
  <si>
    <t>越秀城建·香山樾-一期-2#-三单元-101</t>
  </si>
  <si>
    <t>P1111-B0002-R0002</t>
  </si>
  <si>
    <t>越秀城建·香山樾-一期-2#-三单元-102</t>
  </si>
  <si>
    <t>P1111-B0002-R0001</t>
  </si>
  <si>
    <t>越秀城建·香山樾-一期-2#-三单元-201</t>
  </si>
  <si>
    <t>P1111-B0002-R0008</t>
  </si>
  <si>
    <t>越秀城建·香山樾-一期-2#-三单元-202</t>
  </si>
  <si>
    <t>P1111-B0002-R0007</t>
  </si>
  <si>
    <t>越秀城建·香山樾-一期-2#-三单元-301</t>
  </si>
  <si>
    <t>P1111-B0002-R0014</t>
  </si>
  <si>
    <t>越秀城建·香山樾-一期-2#-三单元-302</t>
  </si>
  <si>
    <t>P1111-B0002-R0013</t>
  </si>
  <si>
    <t>越秀城建·香山樾-一期-2#-三单元-401</t>
  </si>
  <si>
    <t>P1111-B0002-R0020</t>
  </si>
  <si>
    <t>20#</t>
  </si>
  <si>
    <t>越秀城建·香山樾-一期-20#-一单元-102</t>
  </si>
  <si>
    <t>P1111-B0020-R0003</t>
  </si>
  <si>
    <t>越秀城建·香山樾-一期-20#-一单元-201</t>
  </si>
  <si>
    <t>P1111-B0020-R0008</t>
  </si>
  <si>
    <t>越秀城建·香山樾-一期-20#-二单元-101</t>
  </si>
  <si>
    <t>P1111-B0020-R0002</t>
  </si>
  <si>
    <t>越秀城建·香山樾-一期-20#-二单元-102</t>
  </si>
  <si>
    <t>P1111-B0020-R0001</t>
  </si>
  <si>
    <t>越秀城建·香山樾-一期-20#-二单元-202</t>
  </si>
  <si>
    <t>P1111-B0020-R0005</t>
  </si>
  <si>
    <t>越秀城建·香山樾-一期-20#-二单元-302</t>
  </si>
  <si>
    <t>P1111-B0020-R0009</t>
  </si>
  <si>
    <t>21#</t>
  </si>
  <si>
    <t>越秀城建·香山樾-一期-21#-一单元-102</t>
  </si>
  <si>
    <t>P1111-B0021-R0006</t>
  </si>
  <si>
    <t>越秀城建·香山樾-一期-21#-一单元-302</t>
  </si>
  <si>
    <t>P1111-B0021-R0020</t>
  </si>
  <si>
    <t>越秀城建·香山樾-一期-21#-二单元-102</t>
  </si>
  <si>
    <t>P1111-B0021-R0004</t>
  </si>
  <si>
    <t>22#</t>
  </si>
  <si>
    <t>越秀城建·香山樾-一期-22#-一单元-101</t>
  </si>
  <si>
    <t>P1111-B0022-R0004</t>
  </si>
  <si>
    <t>越秀城建·香山樾-一期-22#-一单元-102</t>
  </si>
  <si>
    <t>P1111-B0022-R0003</t>
  </si>
  <si>
    <t>越秀城建·香山樾-一期-22#-一单元-201</t>
  </si>
  <si>
    <t>P1111-B0022-R0008</t>
  </si>
  <si>
    <t>越秀城建·香山樾-一期-22#-一单元-202</t>
  </si>
  <si>
    <t>P1111-B0022-R0007</t>
  </si>
  <si>
    <t>越秀城建·香山樾-一期-22#-一单元-301</t>
  </si>
  <si>
    <t>P1111-B0022-R0012</t>
  </si>
  <si>
    <t>越秀城建·香山樾-一期-22#-一单元-302</t>
  </si>
  <si>
    <t>P1111-B0022-R0011</t>
  </si>
  <si>
    <t>越秀城建·香山樾-一期-22#-一单元-401</t>
  </si>
  <si>
    <t>P1111-B0022-R0016</t>
  </si>
  <si>
    <t>越秀城建·香山樾-一期-22#-一单元-402</t>
  </si>
  <si>
    <t>P1111-B0022-R0015</t>
  </si>
  <si>
    <t>越秀城建·香山樾-一期-22#-二单元-101</t>
  </si>
  <si>
    <t>P1111-B0022-R0002</t>
  </si>
  <si>
    <t>越秀城建·香山樾-一期-22#-二单元-201</t>
  </si>
  <si>
    <t>P1111-B0022-R0006</t>
  </si>
  <si>
    <t>越秀城建·香山樾-一期-22#-二单元-401</t>
  </si>
  <si>
    <t>P1111-B0022-R0014</t>
  </si>
  <si>
    <t>24#</t>
  </si>
  <si>
    <t>越秀城建·香山樾-一期-24#-一单元-102</t>
  </si>
  <si>
    <t>P1111-B0024-R0005</t>
  </si>
  <si>
    <t>越秀城建·香山樾-一期-24#-一单元-201</t>
  </si>
  <si>
    <t>P1111-B0024-R0012</t>
  </si>
  <si>
    <t>越秀城建·香山樾-一期-24#-一单元-302</t>
  </si>
  <si>
    <t>P1111-B0024-R0017</t>
  </si>
  <si>
    <t>越秀城建·香山樾-一期-24#-一单元-402</t>
  </si>
  <si>
    <t>P1111-B0024-R0023</t>
  </si>
  <si>
    <t>越秀城建·香山樾-一期-24#-二单元-101</t>
  </si>
  <si>
    <t>P1111-B0024-R0004</t>
  </si>
  <si>
    <t>越秀城建·香山樾-一期-24#-二单元-102</t>
  </si>
  <si>
    <t>P1111-B0024-R0003</t>
  </si>
  <si>
    <t>越秀城建·香山樾-一期-24#-二单元-201</t>
  </si>
  <si>
    <t>P1111-B0024-R0010</t>
  </si>
  <si>
    <t>越秀城建·香山樾-一期-24#-二单元-202</t>
  </si>
  <si>
    <t>P1111-B0024-R0009</t>
  </si>
  <si>
    <t>越秀城建·香山樾-一期-24#-二单元-301</t>
  </si>
  <si>
    <t>P1111-B0024-R0016</t>
  </si>
  <si>
    <t>越秀城建·香山樾-一期-24#-二单元-302</t>
  </si>
  <si>
    <t>P1111-B0024-R0015</t>
  </si>
  <si>
    <t>越秀城建·香山樾-一期-24#-二单元-401</t>
  </si>
  <si>
    <t>P1111-B0024-R0022</t>
  </si>
  <si>
    <t>越秀城建·香山樾-一期-24#-三单元-101</t>
  </si>
  <si>
    <t>P1111-B0024-R0002</t>
  </si>
  <si>
    <t>越秀城建·香山樾-一期-24#-三单元-401</t>
  </si>
  <si>
    <t>P1111-B0024-R0020</t>
  </si>
  <si>
    <t>25#</t>
  </si>
  <si>
    <t>越秀城建·香山樾-一期-25#-一单元-102</t>
  </si>
  <si>
    <t>P1111-B0025-R0005</t>
  </si>
  <si>
    <t>越秀城建·香山樾-一期-25#-一单元-201</t>
  </si>
  <si>
    <t>P1111-B0025-R0012</t>
  </si>
  <si>
    <t>越秀城建·香山樾-一期-25#-一单元-302</t>
  </si>
  <si>
    <t>P1111-B0025-R0017</t>
  </si>
  <si>
    <t>越秀城建·香山樾-一期-25#-一单元-401</t>
  </si>
  <si>
    <t>P1111-B0025-R0024</t>
  </si>
  <si>
    <t>越秀城建·香山樾-一期-25#-二单元-101</t>
  </si>
  <si>
    <t>P1111-B0025-R0004</t>
  </si>
  <si>
    <t>越秀城建·香山樾-一期-25#-二单元-102</t>
  </si>
  <si>
    <t>P1111-B0025-R0003</t>
  </si>
  <si>
    <t>越秀城建·香山樾-一期-25#-二单元-302</t>
  </si>
  <si>
    <t>P1111-B0025-R0015</t>
  </si>
  <si>
    <t>越秀城建·香山樾-一期-25#-二单元-401</t>
  </si>
  <si>
    <t>P1111-B0025-R0022</t>
  </si>
  <si>
    <t>越秀城建·香山樾-一期-25#-三单元-101</t>
  </si>
  <si>
    <t>P1111-B0025-R0002</t>
  </si>
  <si>
    <t>越秀城建·香山樾-一期-25#-三单元-102</t>
  </si>
  <si>
    <t>P1111-B0025-R0001</t>
  </si>
  <si>
    <t>越秀城建·香山樾-一期-25#-三单元-201</t>
  </si>
  <si>
    <t>P1111-B0025-R0008</t>
  </si>
  <si>
    <t>越秀城建·香山樾-一期-25#-三单元-202</t>
  </si>
  <si>
    <t>P1111-B0025-R0007</t>
  </si>
  <si>
    <t>越秀城建·香山樾-一期-25#-三单元-301</t>
  </si>
  <si>
    <t>P1111-B0025-R0014</t>
  </si>
  <si>
    <t>越秀城建·香山樾-一期-25#-三单元-302</t>
  </si>
  <si>
    <t>P1111-B0025-R0013</t>
  </si>
  <si>
    <t>26#</t>
  </si>
  <si>
    <t>越秀城建·香山樾-一期-26#-一单元-101</t>
  </si>
  <si>
    <t>P1111-B0048-R0008</t>
  </si>
  <si>
    <t>越秀城建·香山樾-一期-26#-一单元-102</t>
  </si>
  <si>
    <t>P1111-B0048-R0007</t>
  </si>
  <si>
    <t>越秀城建·香山樾-一期-26#-一单元-201</t>
  </si>
  <si>
    <t>P1111-B0048-R0016</t>
  </si>
  <si>
    <t>越秀城建·香山樾-一期-26#-一单元-301</t>
  </si>
  <si>
    <t>P1111-B0048-R0024</t>
  </si>
  <si>
    <t>越秀城建·香山樾-一期-26#-二单元-101</t>
  </si>
  <si>
    <t>P1111-B0048-R0006</t>
  </si>
  <si>
    <t>越秀城建·香山樾-一期-26#-二单元-102</t>
  </si>
  <si>
    <t>P1111-B0048-R0005</t>
  </si>
  <si>
    <t>越秀城建·香山樾-一期-26#-三单元-301</t>
  </si>
  <si>
    <t>P1111-B0048-R0020</t>
  </si>
  <si>
    <t>27#</t>
  </si>
  <si>
    <t>越秀城建·香山樾-一期-27#-一单元-101</t>
  </si>
  <si>
    <t>P1111-B0049-R0008</t>
  </si>
  <si>
    <t>越秀城建·香山樾-一期-27#-一单元-201</t>
  </si>
  <si>
    <t>P1111-B0049-R0016</t>
  </si>
  <si>
    <t>越秀城建·香山樾-一期-27#-一单元-202</t>
  </si>
  <si>
    <t>P1111-B0049-R0015</t>
  </si>
  <si>
    <t>越秀城建·香山樾-一期-27#-二单元-101</t>
  </si>
  <si>
    <t>P1111-B0049-R0006</t>
  </si>
  <si>
    <t>越秀城建·香山樾-一期-27#-二单元-402</t>
  </si>
  <si>
    <t>P1111-B0049-R0029</t>
  </si>
  <si>
    <t>越秀城建·香山樾-一期-27#-三单元-101</t>
  </si>
  <si>
    <t>P1111-B0049-R0004</t>
  </si>
  <si>
    <t>越秀城建·香山樾-一期-27#-三单元-102</t>
  </si>
  <si>
    <t>P1111-B0049-R0003</t>
  </si>
  <si>
    <t>3#</t>
  </si>
  <si>
    <t>越秀城建·香山樾-一期-3#-一单元-102</t>
  </si>
  <si>
    <t>P1111-B0003-R0007</t>
  </si>
  <si>
    <t>越秀城建·香山樾-一期-3#-二单元-101</t>
  </si>
  <si>
    <t>P1111-B0003-R0006</t>
  </si>
  <si>
    <t>越秀城建·香山樾-一期-3#-二单元-102</t>
  </si>
  <si>
    <t>P1111-B0003-R0005</t>
  </si>
  <si>
    <t>越秀城建·香山樾-一期-3#-三单元-101</t>
  </si>
  <si>
    <t>P1111-B0003-R0004</t>
  </si>
  <si>
    <t>越秀城建·香山樾-一期-3#-三单元-102</t>
  </si>
  <si>
    <t>P1111-B0003-R0003</t>
  </si>
  <si>
    <t>越秀城建·香山樾-一期-3#-三单元-302</t>
  </si>
  <si>
    <t>P1111-B0003-R0019</t>
  </si>
  <si>
    <t>4#</t>
  </si>
  <si>
    <t>越秀城建·香山樾-一期-4#-一单元-101</t>
  </si>
  <si>
    <t>P1111-B0004-R0005</t>
  </si>
  <si>
    <t>越秀城建·香山樾-一期-4#-一单元-102</t>
  </si>
  <si>
    <t>P1111-B0004-R0004</t>
  </si>
  <si>
    <t>越秀城建·香山樾-一期-4#-一单元-201</t>
  </si>
  <si>
    <t>P1111-B0004-R0010</t>
  </si>
  <si>
    <t>越秀城建·香山樾-一期-4#-一单元-301</t>
  </si>
  <si>
    <t>P1111-B0004-R0015</t>
  </si>
  <si>
    <t>越秀城建·香山樾-一期-4#-一单元-302</t>
  </si>
  <si>
    <t>P1111-B0004-R0014</t>
  </si>
  <si>
    <t>越秀城建·香山樾-一期-4#-一单元-401</t>
  </si>
  <si>
    <t>P1111-B0004-R0020</t>
  </si>
  <si>
    <t>越秀城建·香山樾-一期-4#-二单元-101</t>
  </si>
  <si>
    <t>P1111-B0004-R0003</t>
  </si>
  <si>
    <t>5#</t>
  </si>
  <si>
    <t>越秀城建·香山樾-一期-5#-101</t>
  </si>
  <si>
    <t>P1111-B0005-R0003</t>
  </si>
  <si>
    <t>越秀城建·香山樾-一期-5#-102</t>
  </si>
  <si>
    <t>P1111-B0005-R0002</t>
  </si>
  <si>
    <t>越秀城建·香山樾-一期-5#-201</t>
  </si>
  <si>
    <t>P1111-B0005-R0006</t>
  </si>
  <si>
    <t>越秀城建·香山樾-一期-5#-302</t>
  </si>
  <si>
    <t>P1111-B0005-R0008</t>
  </si>
  <si>
    <t>越秀城建·香山樾-一期-5#-401</t>
  </si>
  <si>
    <t>P1111-B0005-R0012</t>
  </si>
  <si>
    <t>6#</t>
  </si>
  <si>
    <t>越秀城建·香山樾-一期-6#-102</t>
  </si>
  <si>
    <t>P1111-B0006-R0002</t>
  </si>
  <si>
    <t>越秀城建·香山樾-一期-6#-301</t>
  </si>
  <si>
    <t>P1111-B0006-R0009</t>
  </si>
  <si>
    <t>7#</t>
  </si>
  <si>
    <t>越秀城建·香山樾-一期-7#-一单元-102</t>
  </si>
  <si>
    <t>P1111-B0007-R0007</t>
  </si>
  <si>
    <t>越秀城建·香山樾-一期-7#-二单元-101</t>
  </si>
  <si>
    <t>P1111-B0007-R0006</t>
  </si>
  <si>
    <t>越秀城建·香山樾-一期-7#-二单元-301</t>
  </si>
  <si>
    <t>P1111-B0007-R0022</t>
  </si>
  <si>
    <t>越秀城建·香山樾-一期-7#-二单元-402</t>
  </si>
  <si>
    <t>P1111-B0007-R0029</t>
  </si>
  <si>
    <t>越秀城建·香山樾-一期-7#-三单元-101</t>
  </si>
  <si>
    <t>P1111-B0007-R0004</t>
  </si>
  <si>
    <t>越秀城建·香山樾-一期-7#-三单元-102</t>
  </si>
  <si>
    <t>P1111-B0007-R0003</t>
  </si>
  <si>
    <t>9#</t>
  </si>
  <si>
    <t>越秀城建·香山樾-一期-9#-一单元-101</t>
  </si>
  <si>
    <t>P1111-B0009-R0005</t>
  </si>
  <si>
    <t>越秀城建·香山樾-一期-9#-一单元-102</t>
  </si>
  <si>
    <t>P1111-B0009-R0004</t>
  </si>
  <si>
    <t>越秀城建·香山樾-一期-9#-一单元-201</t>
  </si>
  <si>
    <t>P1111-B0009-R0010</t>
  </si>
  <si>
    <t>越秀城建·香山樾-一期-9#-一单元-202</t>
  </si>
  <si>
    <t>P1111-B0009-R0009</t>
  </si>
  <si>
    <t>越秀城建·香山樾-一期-9#-一单元-301</t>
  </si>
  <si>
    <t>P1111-B0009-R0015</t>
  </si>
  <si>
    <t>越秀城建·香山樾-一期-9#-一单元-401</t>
  </si>
  <si>
    <t>P1111-B0009-R0020</t>
  </si>
  <si>
    <t>越秀城建·香山樾-一期-9#-一单元-402</t>
  </si>
  <si>
    <t>P1111-B0009-R0019</t>
  </si>
  <si>
    <t>越秀城建·香山樾-一期-9#-二单元-101</t>
  </si>
  <si>
    <t>P1111-B0009-R0003</t>
  </si>
  <si>
    <t>越秀城建·香山樾-一期-9#-二单元-102</t>
  </si>
  <si>
    <t>P1111-B0009-R0002</t>
  </si>
  <si>
    <t>越秀城建·香山樾-一期-9#-二单元-301</t>
  </si>
  <si>
    <t>P1111-B0009-R0013</t>
  </si>
  <si>
    <t>越秀城建·香山樾-一期-9#-二单元-401</t>
  </si>
  <si>
    <t>P1111-B0009-R0018</t>
  </si>
  <si>
    <t>储藏室</t>
  </si>
  <si>
    <t>越秀城建·香山樾-一期-1#储藏室及配套公摊--101</t>
  </si>
  <si>
    <t>P1111-B0027-R0030</t>
  </si>
  <si>
    <t>越秀城建·香山樾-一期-1#储藏室及配套公摊--102</t>
  </si>
  <si>
    <t>P1111-B0027-R0029</t>
  </si>
  <si>
    <t>越秀城建·香山樾-一期-1#储藏室及配套公摊--103</t>
  </si>
  <si>
    <t>P1111-B0027-R0028</t>
  </si>
  <si>
    <t>越秀城建·香山樾-一期-1#储藏室及配套公摊--104</t>
  </si>
  <si>
    <t>P1111-B0027-R0027</t>
  </si>
  <si>
    <t>越秀城建·香山樾-一期-1#储藏室及配套公摊--105</t>
  </si>
  <si>
    <t>P1111-B0027-R0026</t>
  </si>
  <si>
    <t>越秀城建·香山樾-一期-1#储藏室及配套公摊--106</t>
  </si>
  <si>
    <t>P1111-B0027-R0025</t>
  </si>
  <si>
    <t>越秀城建·香山樾-一期-1#储藏室及配套公摊--107</t>
  </si>
  <si>
    <t>P1111-B0027-R0024</t>
  </si>
  <si>
    <t>越秀城建·香山樾-一期-1#储藏室及配套公摊--108</t>
  </si>
  <si>
    <t>P1111-B0027-R0023</t>
  </si>
  <si>
    <t>越秀城建·香山樾-一期-1#储藏室及配套公摊--109</t>
  </si>
  <si>
    <t>P1111-B0027-R0022</t>
  </si>
  <si>
    <t>越秀城建·香山樾-一期-1#储藏室及配套公摊--111</t>
  </si>
  <si>
    <t>P1111-B0027-R0020</t>
  </si>
  <si>
    <t>越秀城建·香山樾-一期-1#储藏室及配套公摊--112</t>
  </si>
  <si>
    <t>P1111-B0027-R0019</t>
  </si>
  <si>
    <t>越秀城建·香山樾-一期-1#储藏室及配套公摊--113</t>
  </si>
  <si>
    <t>P1111-B0027-R0018</t>
  </si>
  <si>
    <t>越秀城建·香山樾-一期-1#储藏室及配套公摊--114</t>
  </si>
  <si>
    <t>P1111-B0027-R0017</t>
  </si>
  <si>
    <t>越秀城建·香山樾-一期-1#储藏室及配套公摊--115</t>
  </si>
  <si>
    <t>P1111-B0027-R0016</t>
  </si>
  <si>
    <t>越秀城建·香山樾-一期-1#储藏室及配套公摊--116</t>
  </si>
  <si>
    <t>P1111-B0027-R0075</t>
  </si>
  <si>
    <t>越秀城建·香山樾-一期-1#储藏室及配套公摊--117</t>
  </si>
  <si>
    <t>P1111-B0027-R0074</t>
  </si>
  <si>
    <t>越秀城建·香山樾-一期-1#储藏室及配套公摊--118</t>
  </si>
  <si>
    <t>P1111-B0027-R0073</t>
  </si>
  <si>
    <t>越秀城建·香山樾-一期-1#储藏室及配套公摊--119</t>
  </si>
  <si>
    <t>P1111-B0027-R0072</t>
  </si>
  <si>
    <t>越秀城建·香山樾-一期-1#储藏室及配套公摊--120</t>
  </si>
  <si>
    <t>P1111-B0027-R0071</t>
  </si>
  <si>
    <t>越秀城建·香山樾-一期-1#储藏室及配套公摊--201</t>
  </si>
  <si>
    <t>P1111-B0027-R0060</t>
  </si>
  <si>
    <t>越秀城建·香山樾-一期-1#储藏室及配套公摊--202</t>
  </si>
  <si>
    <t>P1111-B0027-R0059</t>
  </si>
  <si>
    <t>越秀城建·香山樾-一期-1#储藏室及配套公摊--203</t>
  </si>
  <si>
    <t>P1111-B0027-R0058</t>
  </si>
  <si>
    <t>越秀城建·香山樾-一期-1#储藏室及配套公摊--204</t>
  </si>
  <si>
    <t>P1111-B0027-R0057</t>
  </si>
  <si>
    <t>越秀城建·香山樾-一期-1#储藏室及配套公摊--205</t>
  </si>
  <si>
    <t>P1111-B0027-R0056</t>
  </si>
  <si>
    <t>越秀城建·香山樾-一期-2#储藏室及配套公摊--107</t>
  </si>
  <si>
    <t>P1111-B0028-R0040</t>
  </si>
  <si>
    <t>越秀城建·香山樾-一期-2#储藏室及配套公摊--108</t>
  </si>
  <si>
    <t>P1111-B0028-R0039</t>
  </si>
  <si>
    <t>越秀城建·香山樾-一期-2#储藏室及配套公摊--109</t>
  </si>
  <si>
    <t>P1111-B0028-R0038</t>
  </si>
  <si>
    <t>越秀城建·香山樾-一期-2#储藏室及配套公摊--110</t>
  </si>
  <si>
    <t>P1111-B0028-R0037</t>
  </si>
  <si>
    <t>越秀城建·香山樾-一期-2#储藏室及配套公摊--111</t>
  </si>
  <si>
    <t>P1111-B0028-R0036</t>
  </si>
  <si>
    <t>越秀城建·香山樾-一期-2#储藏室及配套公摊--112</t>
  </si>
  <si>
    <t>P1111-B0028-R0035</t>
  </si>
  <si>
    <t>越秀城建·香山樾-一期-2#储藏室及配套公摊--113</t>
  </si>
  <si>
    <t>P1111-B0028-R0034</t>
  </si>
  <si>
    <t>越秀城建·香山樾-一期-2#储藏室及配套公摊--114</t>
  </si>
  <si>
    <t>P1111-B0028-R0033</t>
  </si>
  <si>
    <t>越秀城建·香山樾-一期-2#储藏室及配套公摊--115</t>
  </si>
  <si>
    <t>P1111-B0028-R0032</t>
  </si>
  <si>
    <t>越秀城建·香山樾-一期-2#储藏室及配套公摊--116</t>
  </si>
  <si>
    <t>P1111-B0028-R0031</t>
  </si>
  <si>
    <t>越秀城建·香山樾-一期-2#储藏室及配套公摊--117</t>
  </si>
  <si>
    <t>P1111-B0028-R0030</t>
  </si>
  <si>
    <t>越秀城建·香山樾-一期-2#储藏室及配套公摊--118</t>
  </si>
  <si>
    <t>P1111-B0028-R0029</t>
  </si>
  <si>
    <t>越秀城建·香山樾-一期-2#储藏室及配套公摊--119</t>
  </si>
  <si>
    <t>P1111-B0028-R0028</t>
  </si>
  <si>
    <t>越秀城建·香山樾-一期-2#储藏室及配套公摊--120</t>
  </si>
  <si>
    <t>P1111-B0028-R0027</t>
  </si>
  <si>
    <t>越秀城建·香山樾-一期-2#储藏室及配套公摊--121</t>
  </si>
  <si>
    <t>P1111-B0028-R0026</t>
  </si>
  <si>
    <t>越秀城建·香山樾-一期-2#储藏室及配套公摊--122</t>
  </si>
  <si>
    <t>P1111-B0028-R0025</t>
  </si>
  <si>
    <t>越秀城建·香山樾-一期-2#储藏室及配套公摊--123</t>
  </si>
  <si>
    <t>P1111-B0028-R0024</t>
  </si>
  <si>
    <t>越秀城建·香山樾-一期-2#储藏室及配套公摊--124</t>
  </si>
  <si>
    <t>P1111-B0028-R0023</t>
  </si>
  <si>
    <t>越秀城建·香山樾-一期-2#储藏室及配套公摊--125</t>
  </si>
  <si>
    <t>P1111-B0028-R0022</t>
  </si>
  <si>
    <t>越秀城建·香山樾-一期-2#储藏室及配套公摊--126</t>
  </si>
  <si>
    <t>P1111-B0028-R0021</t>
  </si>
  <si>
    <t>越秀城建·香山樾-一期-2#储藏室及配套公摊--127</t>
  </si>
  <si>
    <t>P1111-B0028-R0020</t>
  </si>
  <si>
    <t>越秀城建·香山樾-一期-2#储藏室及配套公摊--128</t>
  </si>
  <si>
    <t>P1111-B0028-R0019</t>
  </si>
  <si>
    <t>越秀城建·香山樾-一期-2#储藏室及配套公摊--129</t>
  </si>
  <si>
    <t>P1111-B0028-R0018</t>
  </si>
  <si>
    <t>越秀城建·香山樾-一期-2#储藏室及配套公摊--130</t>
  </si>
  <si>
    <t>P1111-B0028-R0017</t>
  </si>
  <si>
    <t>越秀城建·香山樾-一期-2#储藏室及配套公摊--202</t>
  </si>
  <si>
    <t>P1111-B0028-R0091</t>
  </si>
  <si>
    <t>越秀城建·香山樾-一期-2#储藏室及配套公摊--204</t>
  </si>
  <si>
    <t>P1111-B0028-R0089</t>
  </si>
  <si>
    <t>越秀城建·香山樾-一期-2#储藏室及配套公摊--205</t>
  </si>
  <si>
    <t>P1111-B0028-R0088</t>
  </si>
  <si>
    <t>越秀城建·香山樾-一期-2#储藏室及配套公摊--206</t>
  </si>
  <si>
    <t>P1111-B0028-R0087</t>
  </si>
  <si>
    <t>越秀城建·香山樾-一期-3#储藏室及配套公摊--106</t>
  </si>
  <si>
    <t>P1111-B0029-R0040</t>
  </si>
  <si>
    <t>越秀城建·香山樾-一期-3#储藏室及配套公摊--107</t>
  </si>
  <si>
    <t>P1111-B0029-R0039</t>
  </si>
  <si>
    <t>越秀城建·香山樾-一期-3#储藏室及配套公摊--108</t>
  </si>
  <si>
    <t>P1111-B0029-R0038</t>
  </si>
  <si>
    <t>越秀城建·香山樾-一期-3#储藏室及配套公摊--109</t>
  </si>
  <si>
    <t>P1111-B0029-R0037</t>
  </si>
  <si>
    <t>越秀城建·香山樾-一期-3#储藏室及配套公摊--110</t>
  </si>
  <si>
    <t>P1111-B0029-R0036</t>
  </si>
  <si>
    <t>越秀城建·香山樾-一期-3#储藏室及配套公摊--111</t>
  </si>
  <si>
    <t>P1111-B0029-R0035</t>
  </si>
  <si>
    <t>越秀城建·香山樾-一期-3#储藏室及配套公摊--112</t>
  </si>
  <si>
    <t>P1111-B0029-R0034</t>
  </si>
  <si>
    <t>越秀城建·香山樾-一期-3#储藏室及配套公摊--113</t>
  </si>
  <si>
    <t>P1111-B0029-R0033</t>
  </si>
  <si>
    <t>越秀城建·香山樾-一期-3#储藏室及配套公摊--114</t>
  </si>
  <si>
    <t>P1111-B0029-R0032</t>
  </si>
  <si>
    <t>越秀城建·香山樾-一期-3#储藏室及配套公摊--115</t>
  </si>
  <si>
    <t>P1111-B0029-R0031</t>
  </si>
  <si>
    <t>越秀城建·香山樾-一期-3#储藏室及配套公摊--116</t>
  </si>
  <si>
    <t>P1111-B0029-R0030</t>
  </si>
  <si>
    <t>越秀城建·香山樾-一期-3#储藏室及配套公摊--117</t>
  </si>
  <si>
    <t>P1111-B0029-R0029</t>
  </si>
  <si>
    <t>越秀城建·香山樾-一期-3#储藏室及配套公摊--118</t>
  </si>
  <si>
    <t>P1111-B0029-R0028</t>
  </si>
  <si>
    <t>越秀城建·香山樾-一期-3#储藏室及配套公摊--119</t>
  </si>
  <si>
    <t>P1111-B0029-R0027</t>
  </si>
  <si>
    <t>越秀城建·香山樾-一期-3#储藏室及配套公摊--120</t>
  </si>
  <si>
    <t>P1111-B0029-R0026</t>
  </si>
  <si>
    <t>越秀城建·香山樾-一期-3#储藏室及配套公摊--121</t>
  </si>
  <si>
    <t>P1111-B0029-R0025</t>
  </si>
  <si>
    <t>越秀城建·香山樾-一期-3#储藏室及配套公摊--122</t>
  </si>
  <si>
    <t>P1111-B0029-R0024</t>
  </si>
  <si>
    <t>越秀城建·香山樾-一期-3#储藏室及配套公摊--123</t>
  </si>
  <si>
    <t>P1111-B0029-R0023</t>
  </si>
  <si>
    <t>越秀城建·香山樾-一期-3#储藏室及配套公摊--124</t>
  </si>
  <si>
    <t>P1111-B0029-R0022</t>
  </si>
  <si>
    <t>越秀城建·香山樾-一期-3#储藏室及配套公摊--125</t>
  </si>
  <si>
    <t>P1111-B0029-R0021</t>
  </si>
  <si>
    <t>越秀城建·香山樾-一期-3#储藏室及配套公摊--126</t>
  </si>
  <si>
    <t>P1111-B0029-R0020</t>
  </si>
  <si>
    <t>越秀城建·香山樾-一期-3#储藏室及配套公摊--127</t>
  </si>
  <si>
    <t>P1111-B0029-R0019</t>
  </si>
  <si>
    <t>越秀城建·香山樾-一期-3#储藏室及配套公摊--128</t>
  </si>
  <si>
    <t>P1111-B0029-R0018</t>
  </si>
  <si>
    <t>越秀城建·香山樾-一期-3#储藏室及配套公摊--130</t>
  </si>
  <si>
    <t>P1111-B0029-R0016</t>
  </si>
  <si>
    <t>越秀城建·香山樾-一期-3#储藏室及配套公摊--202</t>
  </si>
  <si>
    <t>P1111-B0029-R0089</t>
  </si>
  <si>
    <t>越秀城建·香山樾-一期-3#储藏室及配套公摊--203</t>
  </si>
  <si>
    <t>P1111-B0029-R0088</t>
  </si>
  <si>
    <t>越秀城建·香山樾-一期-3#储藏室及配套公摊--204</t>
  </si>
  <si>
    <t>P1111-B0029-R0087</t>
  </si>
  <si>
    <t>越秀城建·香山樾-一期-3#储藏室及配套公摊--205</t>
  </si>
  <si>
    <t>P1111-B0029-R0086</t>
  </si>
  <si>
    <t>越秀城建·香山樾-一期-3#储藏室及配套公摊--206</t>
  </si>
  <si>
    <t>P1111-B0029-R0085</t>
  </si>
  <si>
    <t>越秀城建·香山樾-一期-4#储藏室及配套公摊--101</t>
  </si>
  <si>
    <t>P1111-B0030-R0030</t>
  </si>
  <si>
    <t>越秀城建·香山樾-一期-4#储藏室及配套公摊--102</t>
  </si>
  <si>
    <t>P1111-B0030-R0029</t>
  </si>
  <si>
    <t>越秀城建·香山樾-一期-4#储藏室及配套公摊--103</t>
  </si>
  <si>
    <t>P1111-B0030-R0028</t>
  </si>
  <si>
    <t>越秀城建·香山樾-一期-4#储藏室及配套公摊--104</t>
  </si>
  <si>
    <t>P1111-B0030-R0027</t>
  </si>
  <si>
    <t>越秀城建·香山樾-一期-4#储藏室及配套公摊--105</t>
  </si>
  <si>
    <t>P1111-B0030-R0026</t>
  </si>
  <si>
    <t>越秀城建·香山樾-一期-4#储藏室及配套公摊--106</t>
  </si>
  <si>
    <t>P1111-B0030-R0025</t>
  </si>
  <si>
    <t>越秀城建·香山樾-一期-4#储藏室及配套公摊--107</t>
  </si>
  <si>
    <t>P1111-B0030-R0024</t>
  </si>
  <si>
    <t>越秀城建·香山樾-一期-4#储藏室及配套公摊--108</t>
  </si>
  <si>
    <t>P1111-B0030-R0023</t>
  </si>
  <si>
    <t>越秀城建·香山樾-一期-4#储藏室及配套公摊--109</t>
  </si>
  <si>
    <t>P1111-B0030-R0022</t>
  </si>
  <si>
    <t>越秀城建·香山樾-一期-4#储藏室及配套公摊--110</t>
  </si>
  <si>
    <t>P1111-B0030-R0021</t>
  </si>
  <si>
    <t>越秀城建·香山樾-一期-4#储藏室及配套公摊--111</t>
  </si>
  <si>
    <t>P1111-B0030-R0020</t>
  </si>
  <si>
    <t>越秀城建·香山樾-一期-4#储藏室及配套公摊--117</t>
  </si>
  <si>
    <t>P1111-B0030-R0014</t>
  </si>
  <si>
    <t>越秀城建·香山樾-一期-4#储藏室及配套公摊--118</t>
  </si>
  <si>
    <t>P1111-B0030-R0013</t>
  </si>
  <si>
    <t>越秀城建·香山樾-一期-4#储藏室及配套公摊--119</t>
  </si>
  <si>
    <t>P1111-B0030-R0012</t>
  </si>
  <si>
    <t>越秀城建·香山樾-一期-4#储藏室及配套公摊--120</t>
  </si>
  <si>
    <t>P1111-B0030-R0011</t>
  </si>
  <si>
    <t>越秀城建·香山樾-一期-4#储藏室及配套公摊--201</t>
  </si>
  <si>
    <t>P1111-B0030-R0060</t>
  </si>
  <si>
    <t>越秀城建·香山樾-一期-4#储藏室及配套公摊--202</t>
  </si>
  <si>
    <t>P1111-B0030-R0059</t>
  </si>
  <si>
    <t>越秀城建·香山樾-一期-4#储藏室及配套公摊--203</t>
  </si>
  <si>
    <t>P1111-B0030-R0058</t>
  </si>
  <si>
    <t>越秀城建·香山樾-一期-5#储藏室及配套公摊--101</t>
  </si>
  <si>
    <t>P1111-B0031-R0017</t>
  </si>
  <si>
    <t>越秀城建·香山樾-一期-5#储藏室及配套公摊--102</t>
  </si>
  <si>
    <t>P1111-B0031-R0016</t>
  </si>
  <si>
    <t>越秀城建·香山樾-一期-5#储藏室及配套公摊--103</t>
  </si>
  <si>
    <t>P1111-B0031-R0015</t>
  </si>
  <si>
    <t>越秀城建·香山樾-一期-5#储藏室及配套公摊--104</t>
  </si>
  <si>
    <t>P1111-B0031-R0014</t>
  </si>
  <si>
    <t>越秀城建·香山樾-一期-5#储藏室及配套公摊--105</t>
  </si>
  <si>
    <t>P1111-B0031-R0013</t>
  </si>
  <si>
    <t>越秀城建·香山樾-一期-5#储藏室及配套公摊--106</t>
  </si>
  <si>
    <t>P1111-B0031-R0012</t>
  </si>
  <si>
    <t>越秀城建·香山樾-一期-5#储藏室及配套公摊--107</t>
  </si>
  <si>
    <t>P1111-B0031-R0011</t>
  </si>
  <si>
    <t>越秀城建·香山樾-一期-5#储藏室及配套公摊--108</t>
  </si>
  <si>
    <t>P1111-B0031-R0010</t>
  </si>
  <si>
    <t>越秀城建·香山樾-一期-5#储藏室及配套公摊--109</t>
  </si>
  <si>
    <t>P1111-B0031-R0009</t>
  </si>
  <si>
    <t>越秀城建·香山樾-一期-5#储藏室及配套公摊--201</t>
  </si>
  <si>
    <t>P1111-B0031-R0034</t>
  </si>
  <si>
    <t>越秀城建·香山樾-一期-5#储藏室及配套公摊--202</t>
  </si>
  <si>
    <t>P1111-B0031-R0033</t>
  </si>
  <si>
    <t>越秀城建·香山樾-一期-5#储藏室及配套公摊--203</t>
  </si>
  <si>
    <t>P1111-B0031-R0032</t>
  </si>
  <si>
    <t>越秀城建·香山樾-一期-5#储藏室及配套公摊--204</t>
  </si>
  <si>
    <t>P1111-B0031-R0031</t>
  </si>
  <si>
    <t>越秀城建·香山樾-一期-5#储藏室及配套公摊--205</t>
  </si>
  <si>
    <t>P1111-B0031-R0030</t>
  </si>
  <si>
    <t>越秀城建·香山樾-一期-6#储藏室及配套公摊--106</t>
  </si>
  <si>
    <t>P1111-B0032-R0011</t>
  </si>
  <si>
    <t>越秀城建·香山樾-一期-6#储藏室及配套公摊--107</t>
  </si>
  <si>
    <t>P1111-B0032-R0010</t>
  </si>
  <si>
    <t>越秀城建·香山樾-一期-6#储藏室及配套公摊--108</t>
  </si>
  <si>
    <t>P1111-B0032-R0009</t>
  </si>
  <si>
    <t>越秀城建·香山樾-一期-6#储藏室及配套公摊--109</t>
  </si>
  <si>
    <t>P1111-B0032-R0008</t>
  </si>
  <si>
    <t>越秀城建·香山樾-一期-6#储藏室及配套公摊--110</t>
  </si>
  <si>
    <t>P1111-B0032-R0007</t>
  </si>
  <si>
    <t>越秀城建·香山樾-一期-6#储藏室及配套公摊--201</t>
  </si>
  <si>
    <t>P1111-B0032-R0032</t>
  </si>
  <si>
    <t>越秀城建·香山樾-一期-6#储藏室及配套公摊--203</t>
  </si>
  <si>
    <t>P1111-B0032-R0030</t>
  </si>
  <si>
    <t>越秀城建·香山樾-一期-7#储藏室及配套公摊--106</t>
  </si>
  <si>
    <t>P1111-B0033-R0041</t>
  </si>
  <si>
    <t>越秀城建·香山樾-一期-7#储藏室及配套公摊--107</t>
  </si>
  <si>
    <t>P1111-B0033-R0040</t>
  </si>
  <si>
    <t>越秀城建·香山樾-一期-7#储藏室及配套公摊--108</t>
  </si>
  <si>
    <t>P1111-B0033-R0039</t>
  </si>
  <si>
    <t>越秀城建·香山樾-一期-7#储藏室及配套公摊--109</t>
  </si>
  <si>
    <t>P1111-B0033-R0038</t>
  </si>
  <si>
    <t>越秀城建·香山樾-一期-7#储藏室及配套公摊--110</t>
  </si>
  <si>
    <t>P1111-B0033-R0037</t>
  </si>
  <si>
    <t>越秀城建·香山樾-一期-7#储藏室及配套公摊--111</t>
  </si>
  <si>
    <t>P1111-B0033-R0036</t>
  </si>
  <si>
    <t>越秀城建·香山樾-一期-7#储藏室及配套公摊--115</t>
  </si>
  <si>
    <t>P1111-B0033-R0032</t>
  </si>
  <si>
    <t>越秀城建·香山樾-一期-7#储藏室及配套公摊--116</t>
  </si>
  <si>
    <t>P1111-B0033-R0031</t>
  </si>
  <si>
    <t>越秀城建·香山樾-一期-7#储藏室及配套公摊--117</t>
  </si>
  <si>
    <t>P1111-B0033-R0030</t>
  </si>
  <si>
    <t>越秀城建·香山樾-一期-7#储藏室及配套公摊--118</t>
  </si>
  <si>
    <t>P1111-B0033-R0029</t>
  </si>
  <si>
    <t>越秀城建·香山樾-一期-7#储藏室及配套公摊--119</t>
  </si>
  <si>
    <t>P1111-B0033-R0028</t>
  </si>
  <si>
    <t>越秀城建·香山樾-一期-7#储藏室及配套公摊--120</t>
  </si>
  <si>
    <t>P1111-B0033-R0027</t>
  </si>
  <si>
    <t>越秀城建·香山樾-一期-7#储藏室及配套公摊--121</t>
  </si>
  <si>
    <t>P1111-B0033-R0026</t>
  </si>
  <si>
    <t>越秀城建·香山樾-一期-7#储藏室及配套公摊--122</t>
  </si>
  <si>
    <t>P1111-B0033-R0025</t>
  </si>
  <si>
    <t>越秀城建·香山樾-一期-7#储藏室及配套公摊--123</t>
  </si>
  <si>
    <t>P1111-B0033-R0024</t>
  </si>
  <si>
    <t>越秀城建·香山樾-一期-7#储藏室及配套公摊--124</t>
  </si>
  <si>
    <t>P1111-B0033-R0023</t>
  </si>
  <si>
    <t>越秀城建·香山樾-一期-7#储藏室及配套公摊--126</t>
  </si>
  <si>
    <t>P1111-B0033-R0021</t>
  </si>
  <si>
    <t>越秀城建·香山樾-一期-7#储藏室及配套公摊--127</t>
  </si>
  <si>
    <t>P1111-B0033-R0020</t>
  </si>
  <si>
    <t>越秀城建·香山樾-一期-7#储藏室及配套公摊--128</t>
  </si>
  <si>
    <t>P1111-B0033-R0019</t>
  </si>
  <si>
    <t>越秀城建·香山樾-一期-7#储藏室及配套公摊--202</t>
  </si>
  <si>
    <t>P1111-B0033-R0091</t>
  </si>
  <si>
    <t>越秀城建·香山樾-一期-7#储藏室及配套公摊--203</t>
  </si>
  <si>
    <t>P1111-B0033-R0090</t>
  </si>
  <si>
    <t>越秀城建·香山樾-一期-7#储藏室及配套公摊--205</t>
  </si>
  <si>
    <t>P1111-B0033-R0088</t>
  </si>
  <si>
    <t>越秀城建·香山樾-一期-7#储藏室及配套公摊--206</t>
  </si>
  <si>
    <t>P1111-B0033-R0087</t>
  </si>
  <si>
    <t>越秀城建·香山樾-一期-9#储藏室及配套公摊--101</t>
  </si>
  <si>
    <t>P1111-B0034-R0030</t>
  </si>
  <si>
    <t>越秀城建·香山樾-一期-9#储藏室及配套公摊--102</t>
  </si>
  <si>
    <t>P1111-B0034-R0029</t>
  </si>
  <si>
    <t>越秀城建·香山樾-一期-9#储藏室及配套公摊--103</t>
  </si>
  <si>
    <t>P1111-B0034-R0028</t>
  </si>
  <si>
    <t>越秀城建·香山樾-一期-9#储藏室及配套公摊--104</t>
  </si>
  <si>
    <t>P1111-B0034-R0027</t>
  </si>
  <si>
    <t>越秀城建·香山樾-一期-9#储藏室及配套公摊--105</t>
  </si>
  <si>
    <t>P1111-B0034-R0026</t>
  </si>
  <si>
    <t>越秀城建·香山樾-一期-9#储藏室及配套公摊--106</t>
  </si>
  <si>
    <t>P1111-B0034-R0025</t>
  </si>
  <si>
    <t>越秀城建·香山樾-一期-9#储藏室及配套公摊--107</t>
  </si>
  <si>
    <t>P1111-B0034-R0024</t>
  </si>
  <si>
    <t>越秀城建·香山樾-一期-9#储藏室及配套公摊--108</t>
  </si>
  <si>
    <t>P1111-B0034-R0023</t>
  </si>
  <si>
    <t>越秀城建·香山樾-一期-9#储藏室及配套公摊--109</t>
  </si>
  <si>
    <t>P1111-B0034-R0022</t>
  </si>
  <si>
    <t>越秀城建·香山樾-一期-9#储藏室及配套公摊--110</t>
  </si>
  <si>
    <t>P1111-B0034-R0021</t>
  </si>
  <si>
    <t>越秀城建·香山樾-一期-9#储藏室及配套公摊--112</t>
  </si>
  <si>
    <t>P1111-B0034-R0019</t>
  </si>
  <si>
    <t>越秀城建·香山樾-一期-9#储藏室及配套公摊--113</t>
  </si>
  <si>
    <t>P1111-B0034-R0018</t>
  </si>
  <si>
    <t>越秀城建·香山樾-一期-9#储藏室及配套公摊--114</t>
  </si>
  <si>
    <t>P1111-B0034-R0017</t>
  </si>
  <si>
    <t>越秀城建·香山樾-一期-9#储藏室及配套公摊--115</t>
  </si>
  <si>
    <t>P1111-B0034-R0016</t>
  </si>
  <si>
    <t>越秀城建·香山樾-一期-9#储藏室及配套公摊--116</t>
  </si>
  <si>
    <t>P1111-B0034-R0015</t>
  </si>
  <si>
    <t>越秀城建·香山樾-一期-9#储藏室及配套公摊--117</t>
  </si>
  <si>
    <t>P1111-B0034-R0014</t>
  </si>
  <si>
    <t>越秀城建·香山樾-一期-9#储藏室及配套公摊--118</t>
  </si>
  <si>
    <t>P1111-B0034-R0013</t>
  </si>
  <si>
    <t>越秀城建·香山樾-一期-9#储藏室及配套公摊--119</t>
  </si>
  <si>
    <t>P1111-B0034-R0012</t>
  </si>
  <si>
    <t>越秀城建·香山樾-一期-9#储藏室及配套公摊--120</t>
  </si>
  <si>
    <t>P1111-B0034-R0011</t>
  </si>
  <si>
    <t>越秀城建·香山樾-一期-9#储藏室及配套公摊--201</t>
  </si>
  <si>
    <t>P1111-B0034-R0060</t>
  </si>
  <si>
    <t>越秀城建·香山樾-一期-9#储藏室及配套公摊--203</t>
  </si>
  <si>
    <t>P1111-B0034-R0058</t>
  </si>
  <si>
    <t>越秀城建·香山樾-一期-9#储藏室及配套公摊--204</t>
  </si>
  <si>
    <t>P1111-B0034-R0057</t>
  </si>
  <si>
    <t>越秀城建·香山樾-一期-10#储藏室及配套公摊--101</t>
  </si>
  <si>
    <t>P1111-B0035-R0031</t>
  </si>
  <si>
    <t>越秀城建·香山樾-一期-10#储藏室及配套公摊--102</t>
  </si>
  <si>
    <t>P1111-B0035-R0030</t>
  </si>
  <si>
    <t>越秀城建·香山樾-一期-10#储藏室及配套公摊--103</t>
  </si>
  <si>
    <t>P1111-B0035-R0029</t>
  </si>
  <si>
    <t>越秀城建·香山樾-一期-10#储藏室及配套公摊--104</t>
  </si>
  <si>
    <t>P1111-B0035-R0028</t>
  </si>
  <si>
    <t>越秀城建·香山樾-一期-10#储藏室及配套公摊--105</t>
  </si>
  <si>
    <t>P1111-B0035-R0027</t>
  </si>
  <si>
    <t>越秀城建·香山樾-一期-10#储藏室及配套公摊--107</t>
  </si>
  <si>
    <t>P1111-B0035-R0025</t>
  </si>
  <si>
    <t>越秀城建·香山樾-一期-10#储藏室及配套公摊--108</t>
  </si>
  <si>
    <t>P1111-B0035-R0024</t>
  </si>
  <si>
    <t>越秀城建·香山樾-一期-10#储藏室及配套公摊--109</t>
  </si>
  <si>
    <t>P1111-B0035-R0023</t>
  </si>
  <si>
    <t>越秀城建·香山樾-一期-10#储藏室及配套公摊--110</t>
  </si>
  <si>
    <t>P1111-B0035-R0022</t>
  </si>
  <si>
    <t>越秀城建·香山樾-一期-10#储藏室及配套公摊--112</t>
  </si>
  <si>
    <t>P1111-B0035-R0020</t>
  </si>
  <si>
    <t>越秀城建·香山樾-一期-10#储藏室及配套公摊--113</t>
  </si>
  <si>
    <t>P1111-B0035-R0019</t>
  </si>
  <si>
    <t>越秀城建·香山樾-一期-10#储藏室及配套公摊--114</t>
  </si>
  <si>
    <t>P1111-B0035-R0018</t>
  </si>
  <si>
    <t>越秀城建·香山樾-一期-10#储藏室及配套公摊--115</t>
  </si>
  <si>
    <t>P1111-B0035-R0017</t>
  </si>
  <si>
    <t>越秀城建·香山樾-一期-10#储藏室及配套公摊--116</t>
  </si>
  <si>
    <t>P1111-B0035-R0016</t>
  </si>
  <si>
    <t>越秀城建·香山樾-一期-10#储藏室及配套公摊--119</t>
  </si>
  <si>
    <t>P1111-B0035-R0013</t>
  </si>
  <si>
    <t>越秀城建·香山樾-一期-10#储藏室及配套公摊--120</t>
  </si>
  <si>
    <t>P1111-B0035-R0012</t>
  </si>
  <si>
    <t>越秀城建·香山樾-一期-10#储藏室及配套公摊--201</t>
  </si>
  <si>
    <t>P1111-B0035-R0062</t>
  </si>
  <si>
    <t>越秀城建·香山樾-一期-10#储藏室及配套公摊--203</t>
  </si>
  <si>
    <t>P1111-B0035-R0060</t>
  </si>
  <si>
    <t>越秀城建·香山樾-一期-10#储藏室及配套公摊--204</t>
  </si>
  <si>
    <t>P1111-B0035-R0059</t>
  </si>
  <si>
    <t>越秀城建·香山樾-一期-11#储藏室及配套公摊--106</t>
  </si>
  <si>
    <t>P1111-B0036-R0041</t>
  </si>
  <si>
    <t>越秀城建·香山樾-一期-11#储藏室及配套公摊--107</t>
  </si>
  <si>
    <t>P1111-B0036-R0040</t>
  </si>
  <si>
    <t>越秀城建·香山樾-一期-11#储藏室及配套公摊--108</t>
  </si>
  <si>
    <t>P1111-B0036-R0039</t>
  </si>
  <si>
    <t>越秀城建·香山樾-一期-11#储藏室及配套公摊--109</t>
  </si>
  <si>
    <t>P1111-B0036-R0038</t>
  </si>
  <si>
    <t>越秀城建·香山樾-一期-11#储藏室及配套公摊--110</t>
  </si>
  <si>
    <t>P1111-B0036-R0037</t>
  </si>
  <si>
    <t>越秀城建·香山樾-一期-11#储藏室及配套公摊--111</t>
  </si>
  <si>
    <t>P1111-B0036-R0036</t>
  </si>
  <si>
    <t>越秀城建·香山樾-一期-11#储藏室及配套公摊--115</t>
  </si>
  <si>
    <t>P1111-B0036-R0032</t>
  </si>
  <si>
    <t>越秀城建·香山樾-一期-11#储藏室及配套公摊--116</t>
  </si>
  <si>
    <t>P1111-B0036-R0031</t>
  </si>
  <si>
    <t>越秀城建·香山樾-一期-11#储藏室及配套公摊--117</t>
  </si>
  <si>
    <t>P1111-B0036-R0030</t>
  </si>
  <si>
    <t>越秀城建·香山樾-一期-11#储藏室及配套公摊--123</t>
  </si>
  <si>
    <t>P1111-B0036-R0024</t>
  </si>
  <si>
    <t>越秀城建·香山樾-一期-11#储藏室及配套公摊--124</t>
  </si>
  <si>
    <t>P1111-B0036-R0023</t>
  </si>
  <si>
    <t>越秀城建·香山樾-一期-11#储藏室及配套公摊--125</t>
  </si>
  <si>
    <t>P1111-B0036-R0022</t>
  </si>
  <si>
    <t>越秀城建·香山樾-一期-11#储藏室及配套公摊--127</t>
  </si>
  <si>
    <t>P1111-B0036-R0020</t>
  </si>
  <si>
    <t>越秀城建·香山樾-一期-11#储藏室及配套公摊--128</t>
  </si>
  <si>
    <t>P1111-B0036-R0019</t>
  </si>
  <si>
    <t>越秀城建·香山樾-一期-11#储藏室及配套公摊--129</t>
  </si>
  <si>
    <t>P1111-B0036-R0018</t>
  </si>
  <si>
    <t>越秀城建·香山樾-一期-11#储藏室及配套公摊--130</t>
  </si>
  <si>
    <t>P1111-B0036-R0017</t>
  </si>
  <si>
    <t>越秀城建·香山樾-一期-11#储藏室及配套公摊--202</t>
  </si>
  <si>
    <t>P1111-B0036-R0091</t>
  </si>
  <si>
    <t>越秀城建·香山樾-一期-11#储藏室及配套公摊--203</t>
  </si>
  <si>
    <t>P1111-B0036-R0090</t>
  </si>
  <si>
    <t>越秀城建·香山樾-一期-11#储藏室及配套公摊--205</t>
  </si>
  <si>
    <t>P1111-B0036-R0088</t>
  </si>
  <si>
    <t>越秀城建·香山樾-一期-12#储藏室及配套公摊--106</t>
  </si>
  <si>
    <t>P1111-B0037-R0041</t>
  </si>
  <si>
    <t>越秀城建·香山樾-一期-12#储藏室及配套公摊--107</t>
  </si>
  <si>
    <t>P1111-B0037-R0040</t>
  </si>
  <si>
    <t>越秀城建·香山樾-一期-12#储藏室及配套公摊--108</t>
  </si>
  <si>
    <t>P1111-B0037-R0039</t>
  </si>
  <si>
    <t>越秀城建·香山樾-一期-12#储藏室及配套公摊--109</t>
  </si>
  <si>
    <t>P1111-B0037-R0038</t>
  </si>
  <si>
    <t>越秀城建·香山樾-一期-12#储藏室及配套公摊--110</t>
  </si>
  <si>
    <t>P1111-B0037-R0037</t>
  </si>
  <si>
    <t>越秀城建·香山樾-一期-12#储藏室及配套公摊--111</t>
  </si>
  <si>
    <t>P1111-B0037-R0036</t>
  </si>
  <si>
    <t>越秀城建·香山樾-一期-12#储藏室及配套公摊--112</t>
  </si>
  <si>
    <t>P1111-B0037-R0035</t>
  </si>
  <si>
    <t>越秀城建·香山樾-一期-12#储藏室及配套公摊--113</t>
  </si>
  <si>
    <t>P1111-B0037-R0034</t>
  </si>
  <si>
    <t>越秀城建·香山樾-一期-12#储藏室及配套公摊--114</t>
  </si>
  <si>
    <t>P1111-B0037-R0033</t>
  </si>
  <si>
    <t>越秀城建·香山樾-一期-12#储藏室及配套公摊--115</t>
  </si>
  <si>
    <t>P1111-B0037-R0032</t>
  </si>
  <si>
    <t>越秀城建·香山樾-一期-12#储藏室及配套公摊--116</t>
  </si>
  <si>
    <t>P1111-B0037-R0031</t>
  </si>
  <si>
    <t>越秀城建·香山樾-一期-12#储藏室及配套公摊--117</t>
  </si>
  <si>
    <t>P1111-B0037-R0030</t>
  </si>
  <si>
    <t>越秀城建·香山樾-一期-12#储藏室及配套公摊--118</t>
  </si>
  <si>
    <t>P1111-B0037-R0029</t>
  </si>
  <si>
    <t>越秀城建·香山樾-一期-12#储藏室及配套公摊--119</t>
  </si>
  <si>
    <t>P1111-B0037-R0028</t>
  </si>
  <si>
    <t>越秀城建·香山樾-一期-12#储藏室及配套公摊--120</t>
  </si>
  <si>
    <t>P1111-B0037-R0027</t>
  </si>
  <si>
    <t>越秀城建·香山樾-一期-12#储藏室及配套公摊--121</t>
  </si>
  <si>
    <t>P1111-B0037-R0026</t>
  </si>
  <si>
    <t>越秀城建·香山樾-一期-12#储藏室及配套公摊--122</t>
  </si>
  <si>
    <t>P1111-B0037-R0025</t>
  </si>
  <si>
    <t>越秀城建·香山樾-一期-12#储藏室及配套公摊--123</t>
  </si>
  <si>
    <t>P1111-B0037-R0024</t>
  </si>
  <si>
    <t>越秀城建·香山樾-一期-12#储藏室及配套公摊--124</t>
  </si>
  <si>
    <t>P1111-B0037-R0023</t>
  </si>
  <si>
    <t>越秀城建·香山樾-一期-12#储藏室及配套公摊--126</t>
  </si>
  <si>
    <t>P1111-B0037-R0021</t>
  </si>
  <si>
    <t>越秀城建·香山樾-一期-12#储藏室及配套公摊--127</t>
  </si>
  <si>
    <t>P1111-B0037-R0020</t>
  </si>
  <si>
    <t>越秀城建·香山樾-一期-12#储藏室及配套公摊--202</t>
  </si>
  <si>
    <t>P1111-B0037-R0091</t>
  </si>
  <si>
    <t>越秀城建·香山樾-一期-12#储藏室及配套公摊--203</t>
  </si>
  <si>
    <t>P1111-B0037-R0090</t>
  </si>
  <si>
    <t>越秀城建·香山樾-一期-12#储藏室及配套公摊--204</t>
  </si>
  <si>
    <t>P1111-B0037-R0089</t>
  </si>
  <si>
    <t>越秀城建·香山樾-一期-12#储藏室及配套公摊--205</t>
  </si>
  <si>
    <t>P1111-B0037-R0088</t>
  </si>
  <si>
    <t>越秀城建·香山樾-一期-12#储藏室及配套公摊--206</t>
  </si>
  <si>
    <t>P1111-B0037-R0087</t>
  </si>
  <si>
    <t>越秀城建·香山樾-一期-13#储藏室及配套公摊--102</t>
  </si>
  <si>
    <t>P1111-B0038-R0032</t>
  </si>
  <si>
    <t>越秀城建·香山樾-一期-13#储藏室及配套公摊--103</t>
  </si>
  <si>
    <t>P1111-B0038-R0031</t>
  </si>
  <si>
    <t>越秀城建·香山樾-一期-13#储藏室及配套公摊--104</t>
  </si>
  <si>
    <t>P1111-B0038-R0030</t>
  </si>
  <si>
    <t>越秀城建·香山樾-一期-13#储藏室及配套公摊--105</t>
  </si>
  <si>
    <t>P1111-B0038-R0029</t>
  </si>
  <si>
    <t>越秀城建·香山樾-一期-13#储藏室及配套公摊--106</t>
  </si>
  <si>
    <t>P1111-B0038-R0028</t>
  </si>
  <si>
    <t>越秀城建·香山樾-一期-13#储藏室及配套公摊--107</t>
  </si>
  <si>
    <t>P1111-B0038-R0027</t>
  </si>
  <si>
    <t>越秀城建·香山樾-一期-13#储藏室及配套公摊--108</t>
  </si>
  <si>
    <t>P1111-B0038-R0026</t>
  </si>
  <si>
    <t>越秀城建·香山樾-一期-13#储藏室及配套公摊--109</t>
  </si>
  <si>
    <t>P1111-B0038-R0025</t>
  </si>
  <si>
    <t>越秀城建·香山樾-一期-13#储藏室及配套公摊--110</t>
  </si>
  <si>
    <t>P1111-B0038-R0024</t>
  </si>
  <si>
    <t>越秀城建·香山樾-一期-13#储藏室及配套公摊--111</t>
  </si>
  <si>
    <t>P1111-B0038-R0023</t>
  </si>
  <si>
    <t>越秀城建·香山樾-一期-13#储藏室及配套公摊--112</t>
  </si>
  <si>
    <t>P1111-B0038-R0022</t>
  </si>
  <si>
    <t>越秀城建·香山樾-一期-13#储藏室及配套公摊--113</t>
  </si>
  <si>
    <t>P1111-B0038-R0021</t>
  </si>
  <si>
    <t>越秀城建·香山樾-一期-13#储藏室及配套公摊--114</t>
  </si>
  <si>
    <t>P1111-B0038-R0020</t>
  </si>
  <si>
    <t>越秀城建·香山樾-一期-13#储藏室及配套公摊--115</t>
  </si>
  <si>
    <t>P1111-B0038-R0019</t>
  </si>
  <si>
    <t>越秀城建·香山樾-一期-13#储藏室及配套公摊--116</t>
  </si>
  <si>
    <t>P1111-B0038-R0018</t>
  </si>
  <si>
    <t>越秀城建·香山樾-一期-13#储藏室及配套公摊--117</t>
  </si>
  <si>
    <t>P1111-B0038-R0017</t>
  </si>
  <si>
    <t>越秀城建·香山樾-一期-13#储藏室及配套公摊--118</t>
  </si>
  <si>
    <t>P1111-B0038-R0016</t>
  </si>
  <si>
    <t>越秀城建·香山樾-一期-13#储藏室及配套公摊--119</t>
  </si>
  <si>
    <t>P1111-B0038-R0015</t>
  </si>
  <si>
    <t>越秀城建·香山樾-一期-13#储藏室及配套公摊--201</t>
  </si>
  <si>
    <t>P1111-B0038-R0066</t>
  </si>
  <si>
    <t>越秀城建·香山樾-一期-13#储藏室及配套公摊--202</t>
  </si>
  <si>
    <t>P1111-B0038-R0065</t>
  </si>
  <si>
    <t>越秀城建·香山樾-一期-13#储藏室及配套公摊--203</t>
  </si>
  <si>
    <t>P1111-B0038-R0064</t>
  </si>
  <si>
    <t>越秀城建·香山樾-一期-13#储藏室及配套公摊--204</t>
  </si>
  <si>
    <t>P1111-B0038-R0063</t>
  </si>
  <si>
    <t>越秀城建·香山樾-一期-14#储藏室及配套公摊--109</t>
  </si>
  <si>
    <t>P1111-B0039-R0008</t>
  </si>
  <si>
    <t>越秀城建·香山樾-一期-14#储藏室及配套公摊--202</t>
  </si>
  <si>
    <t>P1111-B0039-R0031</t>
  </si>
  <si>
    <t>越秀城建·香山樾-一期-15#储藏室及配套公摊--106</t>
  </si>
  <si>
    <t>P1111-B0040-R0013</t>
  </si>
  <si>
    <t>越秀城建·香山樾-一期-15#储藏室及配套公摊--107</t>
  </si>
  <si>
    <t>P1111-B0040-R0012</t>
  </si>
  <si>
    <t>越秀城建·香山樾-一期-15#储藏室及配套公摊--108</t>
  </si>
  <si>
    <t>P1111-B0040-R0011</t>
  </si>
  <si>
    <t>越秀城建·香山樾-一期-15#储藏室及配套公摊--109</t>
  </si>
  <si>
    <t>P1111-B0040-R0010</t>
  </si>
  <si>
    <t>越秀城建·香山樾-一期-15#储藏室及配套公摊--202</t>
  </si>
  <si>
    <t>P1111-B0040-R0035</t>
  </si>
  <si>
    <t>越秀城建·香山樾-一期-16#储藏室及配套公摊--101</t>
  </si>
  <si>
    <t>P1111-B0041-R0032</t>
  </si>
  <si>
    <t>越秀城建·香山樾-一期-16#储藏室及配套公摊--102</t>
  </si>
  <si>
    <t>P1111-B0041-R0031</t>
  </si>
  <si>
    <t>越秀城建·香山樾-一期-16#储藏室及配套公摊--103</t>
  </si>
  <si>
    <t>P1111-B0041-R0030</t>
  </si>
  <si>
    <t>越秀城建·香山樾-一期-16#储藏室及配套公摊--104</t>
  </si>
  <si>
    <t>P1111-B0041-R0029</t>
  </si>
  <si>
    <t>越秀城建·香山樾-一期-16#储藏室及配套公摊--105</t>
  </si>
  <si>
    <t>P1111-B0041-R0028</t>
  </si>
  <si>
    <t>越秀城建·香山樾-一期-16#储藏室及配套公摊--106</t>
  </si>
  <si>
    <t>P1111-B0041-R0027</t>
  </si>
  <si>
    <t>越秀城建·香山樾-一期-16#储藏室及配套公摊--107</t>
  </si>
  <si>
    <t>P1111-B0041-R0026</t>
  </si>
  <si>
    <t>越秀城建·香山樾-一期-16#储藏室及配套公摊--108</t>
  </si>
  <si>
    <t>P1111-B0041-R0025</t>
  </si>
  <si>
    <t>越秀城建·香山樾-一期-16#储藏室及配套公摊--109</t>
  </si>
  <si>
    <t>P1111-B0041-R0024</t>
  </si>
  <si>
    <t>越秀城建·香山樾-一期-16#储藏室及配套公摊--110</t>
  </si>
  <si>
    <t>P1111-B0041-R0023</t>
  </si>
  <si>
    <t>越秀城建·香山樾-一期-16#储藏室及配套公摊--111</t>
  </si>
  <si>
    <t>P1111-B0041-R0022</t>
  </si>
  <si>
    <t>越秀城建·香山樾-一期-16#储藏室及配套公摊--112</t>
  </si>
  <si>
    <t>P1111-B0041-R0021</t>
  </si>
  <si>
    <t>越秀城建·香山樾-一期-16#储藏室及配套公摊--113</t>
  </si>
  <si>
    <t>P1111-B0041-R0020</t>
  </si>
  <si>
    <t>越秀城建·香山樾-一期-16#储藏室及配套公摊--114</t>
  </si>
  <si>
    <t>P1111-B0041-R0019</t>
  </si>
  <si>
    <t>越秀城建·香山樾-一期-16#储藏室及配套公摊--115</t>
  </si>
  <si>
    <t>P1111-B0041-R0018</t>
  </si>
  <si>
    <t>越秀城建·香山樾-一期-16#储藏室及配套公摊--116</t>
  </si>
  <si>
    <t>P1111-B0041-R0017</t>
  </si>
  <si>
    <t>越秀城建·香山樾-一期-16#储藏室及配套公摊--117</t>
  </si>
  <si>
    <t>P1111-B0041-R0016</t>
  </si>
  <si>
    <t>越秀城建·香山樾-一期-16#储藏室及配套公摊--118</t>
  </si>
  <si>
    <t>P1111-B0041-R0015</t>
  </si>
  <si>
    <t>越秀城建·香山樾-一期-16#储藏室及配套公摊--201</t>
  </si>
  <si>
    <t>P1111-B0041-R0064</t>
  </si>
  <si>
    <t>越秀城建·香山樾-一期-16#储藏室及配套公摊--202</t>
  </si>
  <si>
    <t>P1111-B0041-R0063</t>
  </si>
  <si>
    <t>越秀城建·香山樾-一期-16#储藏室及配套公摊--203</t>
  </si>
  <si>
    <t>P1111-B0041-R0062</t>
  </si>
  <si>
    <t>越秀城建·香山樾-一期-16#储藏室及配套公摊--204</t>
  </si>
  <si>
    <t>P1111-B0041-R0061</t>
  </si>
  <si>
    <t>越秀城建·香山樾-一期-17#储藏室及配套公摊--109</t>
  </si>
  <si>
    <t>P1111-B0042-R0038</t>
  </si>
  <si>
    <t>越秀城建·香山樾-一期-17#储藏室及配套公摊--110</t>
  </si>
  <si>
    <t>P1111-B0042-R0037</t>
  </si>
  <si>
    <t>越秀城建·香山樾-一期-17#储藏室及配套公摊--111</t>
  </si>
  <si>
    <t>P1111-B0042-R0036</t>
  </si>
  <si>
    <t>越秀城建·香山樾-一期-17#储藏室及配套公摊--115</t>
  </si>
  <si>
    <t>P1111-B0042-R0032</t>
  </si>
  <si>
    <t>越秀城建·香山樾-一期-17#储藏室及配套公摊--116</t>
  </si>
  <si>
    <t>P1111-B0042-R0031</t>
  </si>
  <si>
    <t>越秀城建·香山樾-一期-17#储藏室及配套公摊--117</t>
  </si>
  <si>
    <t>P1111-B0042-R0030</t>
  </si>
  <si>
    <t>越秀城建·香山樾-一期-17#储藏室及配套公摊--118</t>
  </si>
  <si>
    <t>P1111-B0042-R0029</t>
  </si>
  <si>
    <t>越秀城建·香山樾-一期-17#储藏室及配套公摊--119</t>
  </si>
  <si>
    <t>P1111-B0042-R0028</t>
  </si>
  <si>
    <t>越秀城建·香山樾-一期-17#储藏室及配套公摊--120</t>
  </si>
  <si>
    <t>P1111-B0042-R0027</t>
  </si>
  <si>
    <t>越秀城建·香山樾-一期-17#储藏室及配套公摊--121</t>
  </si>
  <si>
    <t>P1111-B0042-R0026</t>
  </si>
  <si>
    <t>越秀城建·香山樾-一期-17#储藏室及配套公摊--122</t>
  </si>
  <si>
    <t>P1111-B0042-R0025</t>
  </si>
  <si>
    <t>越秀城建·香山樾-一期-17#储藏室及配套公摊--123</t>
  </si>
  <si>
    <t>P1111-B0042-R0024</t>
  </si>
  <si>
    <t>越秀城建·香山樾-一期-17#储藏室及配套公摊--125</t>
  </si>
  <si>
    <t>P1111-B0042-R0022</t>
  </si>
  <si>
    <t>越秀城建·香山樾-一期-17#储藏室及配套公摊--126</t>
  </si>
  <si>
    <t>P1111-B0042-R0021</t>
  </si>
  <si>
    <t>越秀城建·香山樾-一期-17#储藏室及配套公摊--127</t>
  </si>
  <si>
    <t>P1111-B0042-R0020</t>
  </si>
  <si>
    <t>越秀城建·香山樾-一期-17#储藏室及配套公摊--128</t>
  </si>
  <si>
    <t>P1111-B0042-R0019</t>
  </si>
  <si>
    <t>越秀城建·香山樾-一期-17#储藏室及配套公摊--130</t>
  </si>
  <si>
    <t>P1111-B0042-R0017</t>
  </si>
  <si>
    <t>越秀城建·香山樾-一期-17#储藏室及配套公摊--203</t>
  </si>
  <si>
    <t>P1111-B0042-R0090</t>
  </si>
  <si>
    <t>越秀城建·香山樾-一期-17#储藏室及配套公摊--210</t>
  </si>
  <si>
    <t>P1111-B0042-R0083</t>
  </si>
  <si>
    <t>越秀城建·香山樾-一期-17#储藏室及配套公摊--211</t>
  </si>
  <si>
    <t>P1111-B0042-R0082</t>
  </si>
  <si>
    <t>越秀城建·香山樾-一期-17#储藏室及配套公摊--212</t>
  </si>
  <si>
    <t>P1111-B0042-R0081</t>
  </si>
  <si>
    <t>越秀城建·香山樾-一期-17#储藏室及配套公摊--213</t>
  </si>
  <si>
    <t>P1111-B0042-R0080</t>
  </si>
  <si>
    <t>越秀城建·香山樾-一期-19#储藏室及配套公摊--102</t>
  </si>
  <si>
    <t>P1111-B0043-R0032</t>
  </si>
  <si>
    <t>越秀城建·香山樾-一期-19#储藏室及配套公摊--103</t>
  </si>
  <si>
    <t>P1111-B0043-R0031</t>
  </si>
  <si>
    <t>越秀城建·香山樾-一期-19#储藏室及配套公摊--104</t>
  </si>
  <si>
    <t>P1111-B0043-R0030</t>
  </si>
  <si>
    <t>越秀城建·香山樾-一期-19#储藏室及配套公摊--105</t>
  </si>
  <si>
    <t>P1111-B0043-R0029</t>
  </si>
  <si>
    <t>越秀城建·香山樾-一期-19#储藏室及配套公摊--106</t>
  </si>
  <si>
    <t>P1111-B0043-R0028</t>
  </si>
  <si>
    <t>越秀城建·香山樾-一期-19#储藏室及配套公摊--107</t>
  </si>
  <si>
    <t>P1111-B0043-R0027</t>
  </si>
  <si>
    <t>越秀城建·香山樾-一期-19#储藏室及配套公摊--108</t>
  </si>
  <si>
    <t>P1111-B0043-R0026</t>
  </si>
  <si>
    <t>越秀城建·香山樾-一期-19#储藏室及配套公摊--109</t>
  </si>
  <si>
    <t>P1111-B0043-R0025</t>
  </si>
  <si>
    <t>越秀城建·香山樾-一期-19#储藏室及配套公摊--110</t>
  </si>
  <si>
    <t>P1111-B0043-R0024</t>
  </si>
  <si>
    <t>越秀城建·香山樾-一期-19#储藏室及配套公摊--111</t>
  </si>
  <si>
    <t>P1111-B0043-R0023</t>
  </si>
  <si>
    <t>越秀城建·香山樾-一期-19#储藏室及配套公摊--112</t>
  </si>
  <si>
    <t>P1111-B0043-R0022</t>
  </si>
  <si>
    <t>越秀城建·香山樾-一期-19#储藏室及配套公摊--113</t>
  </si>
  <si>
    <t>P1111-B0043-R0021</t>
  </si>
  <si>
    <t>越秀城建·香山樾-一期-19#储藏室及配套公摊--120</t>
  </si>
  <si>
    <t>P1111-B0043-R0014</t>
  </si>
  <si>
    <t>越秀城建·香山樾-一期-19#储藏室及配套公摊--201</t>
  </si>
  <si>
    <t>P1111-B0043-R0066</t>
  </si>
  <si>
    <t>越秀城建·香山樾-一期-19#储藏室及配套公摊--202</t>
  </si>
  <si>
    <t>P1111-B0043-R0065</t>
  </si>
  <si>
    <t>越秀城建·香山樾-一期-19#储藏室及配套公摊--203</t>
  </si>
  <si>
    <t>P1111-B0043-R0064</t>
  </si>
  <si>
    <t>越秀城建·香山樾-一期-20#储藏室及配套公摊--106</t>
  </si>
  <si>
    <t>P1111-B0044-R0025</t>
  </si>
  <si>
    <t>越秀城建·香山樾-一期-20#储藏室及配套公摊--107</t>
  </si>
  <si>
    <t>P1111-B0044-R0024</t>
  </si>
  <si>
    <t>越秀城建·香山樾-一期-20#储藏室及配套公摊--108</t>
  </si>
  <si>
    <t>P1111-B0044-R0023</t>
  </si>
  <si>
    <t>越秀城建·香山樾-一期-20#储藏室及配套公摊--109</t>
  </si>
  <si>
    <t>P1111-B0044-R0022</t>
  </si>
  <si>
    <t>越秀城建·香山樾-一期-20#储藏室及配套公摊--110</t>
  </si>
  <si>
    <t>P1111-B0044-R0021</t>
  </si>
  <si>
    <t>越秀城建·香山樾-一期-20#储藏室及配套公摊--111</t>
  </si>
  <si>
    <t>P1111-B0044-R0020</t>
  </si>
  <si>
    <t>越秀城建·香山樾-一期-20#储藏室及配套公摊--112</t>
  </si>
  <si>
    <t>P1111-B0044-R0019</t>
  </si>
  <si>
    <t>越秀城建·香山樾-一期-20#储藏室及配套公摊--113</t>
  </si>
  <si>
    <t>P1111-B0044-R0018</t>
  </si>
  <si>
    <t>越秀城建·香山樾-一期-20#储藏室及配套公摊--114</t>
  </si>
  <si>
    <t>P1111-B0044-R0017</t>
  </si>
  <si>
    <t>越秀城建·香山樾-一期-20#储藏室及配套公摊--115</t>
  </si>
  <si>
    <t>P1111-B0044-R0016</t>
  </si>
  <si>
    <t>越秀城建·香山樾-一期-20#储藏室及配套公摊--116</t>
  </si>
  <si>
    <t>P1111-B0044-R0015</t>
  </si>
  <si>
    <t>越秀城建·香山樾-一期-20#储藏室及配套公摊--202</t>
  </si>
  <si>
    <t>P1111-B0044-R0059</t>
  </si>
  <si>
    <t>越秀城建·香山樾-一期-20#储藏室及配套公摊--203</t>
  </si>
  <si>
    <t>P1111-B0044-R0058</t>
  </si>
  <si>
    <t>越秀城建·香山樾-一期-20#储藏室及配套公摊--204</t>
  </si>
  <si>
    <t>P1111-B0044-R0057</t>
  </si>
  <si>
    <t>越秀城建·香山樾-一期-21#储藏室及配套公摊--106</t>
  </si>
  <si>
    <t>P1111-B0045-R0042</t>
  </si>
  <si>
    <t>越秀城建·香山樾-一期-21#储藏室及配套公摊--107</t>
  </si>
  <si>
    <t>P1111-B0045-R0041</t>
  </si>
  <si>
    <t>越秀城建·香山樾-一期-21#储藏室及配套公摊--108</t>
  </si>
  <si>
    <t>P1111-B0045-R0040</t>
  </si>
  <si>
    <t>越秀城建·香山樾-一期-21#储藏室及配套公摊--112</t>
  </si>
  <si>
    <t>P1111-B0045-R0036</t>
  </si>
  <si>
    <t>越秀城建·香山樾-一期-21#储藏室及配套公摊--113</t>
  </si>
  <si>
    <t>P1111-B0045-R0035</t>
  </si>
  <si>
    <t>越秀城建·香山樾-一期-21#储藏室及配套公摊--114</t>
  </si>
  <si>
    <t>P1111-B0045-R0034</t>
  </si>
  <si>
    <t>越秀城建·香山樾-一期-21#储藏室及配套公摊--202</t>
  </si>
  <si>
    <t>P1111-B0045-R0093</t>
  </si>
  <si>
    <t>越秀城建·香山樾-一期-21#储藏室及配套公摊--204</t>
  </si>
  <si>
    <t>P1111-B0045-R0091</t>
  </si>
  <si>
    <t>越秀城建·香山樾-一期-22#储藏室及配套公摊--101</t>
  </si>
  <si>
    <t>P1111-B0046-R0033</t>
  </si>
  <si>
    <t>越秀城建·香山樾-一期-22#储藏室及配套公摊--102</t>
  </si>
  <si>
    <t>P1111-B0046-R0032</t>
  </si>
  <si>
    <t>越秀城建·香山樾-一期-22#储藏室及配套公摊--103</t>
  </si>
  <si>
    <t>P1111-B0046-R0031</t>
  </si>
  <si>
    <t>越秀城建·香山樾-一期-22#储藏室及配套公摊--104</t>
  </si>
  <si>
    <t>P1111-B0046-R0030</t>
  </si>
  <si>
    <t>越秀城建·香山樾-一期-22#储藏室及配套公摊--105</t>
  </si>
  <si>
    <t>P1111-B0046-R0029</t>
  </si>
  <si>
    <t>越秀城建·香山樾-一期-22#储藏室及配套公摊--106</t>
  </si>
  <si>
    <t>P1111-B0046-R0028</t>
  </si>
  <si>
    <t>越秀城建·香山樾-一期-22#储藏室及配套公摊--107</t>
  </si>
  <si>
    <t>P1111-B0046-R0027</t>
  </si>
  <si>
    <t>越秀城建·香山樾-一期-22#储藏室及配套公摊--108</t>
  </si>
  <si>
    <t>P1111-B0046-R0026</t>
  </si>
  <si>
    <t>越秀城建·香山樾-一期-22#储藏室及配套公摊--109</t>
  </si>
  <si>
    <t>P1111-B0046-R0025</t>
  </si>
  <si>
    <t>越秀城建·香山樾-一期-22#储藏室及配套公摊--110</t>
  </si>
  <si>
    <t>P1111-B0046-R0024</t>
  </si>
  <si>
    <t>越秀城建·香山樾-一期-22#储藏室及配套公摊--111</t>
  </si>
  <si>
    <t>P1111-B0046-R0023</t>
  </si>
  <si>
    <t>越秀城建·香山樾-一期-22#储藏室及配套公摊--112</t>
  </si>
  <si>
    <t>P1111-B0046-R0022</t>
  </si>
  <si>
    <t>越秀城建·香山樾-一期-22#储藏室及配套公摊--113</t>
  </si>
  <si>
    <t>P1111-B0046-R0021</t>
  </si>
  <si>
    <t>越秀城建·香山樾-一期-22#储藏室及配套公摊--118</t>
  </si>
  <si>
    <t>P1111-B0046-R0016</t>
  </si>
  <si>
    <t>越秀城建·香山樾-一期-22#储藏室及配套公摊--119</t>
  </si>
  <si>
    <t>P1111-B0046-R0015</t>
  </si>
  <si>
    <t>越秀城建·香山樾-一期-22#储藏室及配套公摊--120</t>
  </si>
  <si>
    <t>P1111-B0046-R0014</t>
  </si>
  <si>
    <t>越秀城建·香山樾-一期-22#储藏室及配套公摊--201</t>
  </si>
  <si>
    <t>P1111-B0046-R0066</t>
  </si>
  <si>
    <t>越秀城建·香山樾-一期-22#储藏室及配套公摊--202</t>
  </si>
  <si>
    <t>P1111-B0046-R0065</t>
  </si>
  <si>
    <t>越秀城建·香山樾-一期-22#储藏室及配套公摊--203</t>
  </si>
  <si>
    <t>P1111-B0046-R0064</t>
  </si>
  <si>
    <t>越秀城建·香山樾-一期-24#储藏室及配套公摊--106</t>
  </si>
  <si>
    <t>P1111-B0047-R0040</t>
  </si>
  <si>
    <t>越秀城建·香山樾-一期-24#储藏室及配套公摊--107</t>
  </si>
  <si>
    <t>P1111-B0047-R0039</t>
  </si>
  <si>
    <t>越秀城建·香山樾-一期-24#储藏室及配套公摊--108</t>
  </si>
  <si>
    <t>P1111-B0047-R0038</t>
  </si>
  <si>
    <t>越秀城建·香山樾-一期-24#储藏室及配套公摊--109</t>
  </si>
  <si>
    <t>P1111-B0047-R0037</t>
  </si>
  <si>
    <t>越秀城建·香山樾-一期-24#储藏室及配套公摊--110</t>
  </si>
  <si>
    <t>P1111-B0047-R0036</t>
  </si>
  <si>
    <t>越秀城建·香山樾-一期-24#储藏室及配套公摊--111</t>
  </si>
  <si>
    <t>P1111-B0047-R0035</t>
  </si>
  <si>
    <t>越秀城建·香山樾-一期-24#储藏室及配套公摊--112</t>
  </si>
  <si>
    <t>P1111-B0047-R0034</t>
  </si>
  <si>
    <t>越秀城建·香山樾-一期-24#储藏室及配套公摊--113</t>
  </si>
  <si>
    <t>P1111-B0047-R0033</t>
  </si>
  <si>
    <t>越秀城建·香山樾-一期-24#储藏室及配套公摊--114</t>
  </si>
  <si>
    <t>P1111-B0047-R0032</t>
  </si>
  <si>
    <t>越秀城建·香山樾-一期-24#储藏室及配套公摊--115</t>
  </si>
  <si>
    <t>P1111-B0047-R0031</t>
  </si>
  <si>
    <t>越秀城建·香山樾-一期-24#储藏室及配套公摊--116</t>
  </si>
  <si>
    <t>P1111-B0047-R0030</t>
  </si>
  <si>
    <t>越秀城建·香山樾-一期-24#储藏室及配套公摊--117</t>
  </si>
  <si>
    <t>P1111-B0047-R0029</t>
  </si>
  <si>
    <t>越秀城建·香山樾-一期-24#储藏室及配套公摊--123</t>
  </si>
  <si>
    <t>P1111-B0047-R0023</t>
  </si>
  <si>
    <t>越秀城建·香山樾-一期-24#储藏室及配套公摊--124</t>
  </si>
  <si>
    <t>P1111-B0047-R0022</t>
  </si>
  <si>
    <t>越秀城建·香山樾-一期-24#储藏室及配套公摊--125</t>
  </si>
  <si>
    <t>P1111-B0047-R0021</t>
  </si>
  <si>
    <t>越秀城建·香山樾-一期-24#储藏室及配套公摊--126</t>
  </si>
  <si>
    <t>P1111-B0047-R0020</t>
  </si>
  <si>
    <t>越秀城建·香山樾-一期-24#储藏室及配套公摊--127</t>
  </si>
  <si>
    <t>P1111-B0047-R0019</t>
  </si>
  <si>
    <t>越秀城建·香山樾-一期-24#储藏室及配套公摊--202</t>
  </si>
  <si>
    <t>P1111-B0047-R0089</t>
  </si>
  <si>
    <t>越秀城建·香山樾-一期-24#储藏室及配套公摊--203</t>
  </si>
  <si>
    <t>P1111-B0047-R0088</t>
  </si>
  <si>
    <t>越秀城建·香山樾-一期-24#储藏室及配套公摊--204</t>
  </si>
  <si>
    <t>P1111-B0047-R0087</t>
  </si>
  <si>
    <t>越秀城建·香山樾-一期-24#储藏室及配套公摊--205</t>
  </si>
  <si>
    <t>P1111-B0047-R0086</t>
  </si>
  <si>
    <t>越秀城建·香山樾-一期-24#储藏室及配套公摊--206</t>
  </si>
  <si>
    <t>P1111-B0047-R0085</t>
  </si>
  <si>
    <t>越秀城建·香山樾-一期-24#储藏室及配套公摊--207</t>
  </si>
  <si>
    <t>P1111-B0047-R0084</t>
  </si>
  <si>
    <t>越秀城建·香山樾-一期-24#储藏室及配套公摊--209</t>
  </si>
  <si>
    <t>P1111-B0047-R0082</t>
  </si>
  <si>
    <t>越秀城建·香山樾-一期-24#储藏室及配套公摊--211</t>
  </si>
  <si>
    <t>P1111-B0047-R0080</t>
  </si>
  <si>
    <t>越秀城建·香山樾-一期-24#储藏室及配套公摊--212</t>
  </si>
  <si>
    <t>P1111-B0047-R0079</t>
  </si>
  <si>
    <t>越秀城建·香山樾-一期-24#储藏室及配套公摊--213</t>
  </si>
  <si>
    <t>P1111-B0047-R0078</t>
  </si>
  <si>
    <t>越秀城建·香山樾-一期-24#储藏室及配套公摊--214</t>
  </si>
  <si>
    <t>P1111-B0047-R0077</t>
  </si>
  <si>
    <t>越秀城建·香山樾-一期-25#储藏室及配套公摊--106</t>
  </si>
  <si>
    <t>P1111-B0050-R0041</t>
  </si>
  <si>
    <t>越秀城建·香山樾-一期-25#储藏室及配套公摊--107</t>
  </si>
  <si>
    <t>P1111-B0050-R0040</t>
  </si>
  <si>
    <t>越秀城建·香山樾-一期-25#储藏室及配套公摊--108</t>
  </si>
  <si>
    <t>P1111-B0050-R0039</t>
  </si>
  <si>
    <t>越秀城建·香山樾-一期-25#储藏室及配套公摊--109</t>
  </si>
  <si>
    <t>P1111-B0050-R0038</t>
  </si>
  <si>
    <t>越秀城建·香山樾-一期-25#储藏室及配套公摊--110</t>
  </si>
  <si>
    <t>P1111-B0050-R0037</t>
  </si>
  <si>
    <t>越秀城建·香山樾-一期-25#储藏室及配套公摊--111</t>
  </si>
  <si>
    <t>P1111-B0050-R0036</t>
  </si>
  <si>
    <t>越秀城建·香山樾-一期-25#储藏室及配套公摊--112</t>
  </si>
  <si>
    <t>P1111-B0050-R0035</t>
  </si>
  <si>
    <t>越秀城建·香山樾-一期-25#储藏室及配套公摊--113</t>
  </si>
  <si>
    <t>P1111-B0050-R0034</t>
  </si>
  <si>
    <t>越秀城建·香山樾-一期-25#储藏室及配套公摊--114</t>
  </si>
  <si>
    <t>P1111-B0050-R0033</t>
  </si>
  <si>
    <t>越秀城建·香山樾-一期-25#储藏室及配套公摊--115</t>
  </si>
  <si>
    <t>P1111-B0050-R0032</t>
  </si>
  <si>
    <t>越秀城建·香山樾-一期-25#储藏室及配套公摊--116</t>
  </si>
  <si>
    <t>P1111-B0050-R0031</t>
  </si>
  <si>
    <t>越秀城建·香山樾-一期-25#储藏室及配套公摊--117</t>
  </si>
  <si>
    <t>P1111-B0050-R0030</t>
  </si>
  <si>
    <t>越秀城建·香山樾-一期-25#储藏室及配套公摊--118</t>
  </si>
  <si>
    <t>P1111-B0050-R0029</t>
  </si>
  <si>
    <t>越秀城建·香山樾-一期-25#储藏室及配套公摊--119</t>
  </si>
  <si>
    <t>P1111-B0050-R0028</t>
  </si>
  <si>
    <t>越秀城建·香山樾-一期-25#储藏室及配套公摊--120</t>
  </si>
  <si>
    <t>P1111-B0050-R0027</t>
  </si>
  <si>
    <t>越秀城建·香山樾-一期-25#储藏室及配套公摊--121</t>
  </si>
  <si>
    <t>P1111-B0050-R0026</t>
  </si>
  <si>
    <t>越秀城建·香山樾-一期-25#储藏室及配套公摊--122</t>
  </si>
  <si>
    <t>P1111-B0050-R0025</t>
  </si>
  <si>
    <t>越秀城建·香山樾-一期-25#储藏室及配套公摊--123</t>
  </si>
  <si>
    <t>P1111-B0050-R0024</t>
  </si>
  <si>
    <t>越秀城建·香山樾-一期-25#储藏室及配套公摊--124</t>
  </si>
  <si>
    <t>P1111-B0050-R0023</t>
  </si>
  <si>
    <t>越秀城建·香山樾-一期-25#储藏室及配套公摊--125</t>
  </si>
  <si>
    <t>P1111-B0050-R0022</t>
  </si>
  <si>
    <t>越秀城建·香山樾-一期-25#储藏室及配套公摊--126</t>
  </si>
  <si>
    <t>P1111-B0050-R0021</t>
  </si>
  <si>
    <t>越秀城建·香山樾-一期-25#储藏室及配套公摊--127</t>
  </si>
  <si>
    <t>P1111-B0050-R0020</t>
  </si>
  <si>
    <t>越秀城建·香山樾-一期-25#储藏室及配套公摊--202</t>
  </si>
  <si>
    <t>P1111-B0050-R0091</t>
  </si>
  <si>
    <t>越秀城建·香山樾-一期-25#储藏室及配套公摊--203</t>
  </si>
  <si>
    <t>P1111-B0050-R0090</t>
  </si>
  <si>
    <t>越秀城建·香山樾-一期-25#储藏室及配套公摊--204</t>
  </si>
  <si>
    <t>P1111-B0050-R0089</t>
  </si>
  <si>
    <t>越秀城建·香山樾-一期-25#储藏室及配套公摊--205</t>
  </si>
  <si>
    <t>P1111-B0050-R0088</t>
  </si>
  <si>
    <t>越秀城建·香山樾-一期-25#储藏室及配套公摊--206</t>
  </si>
  <si>
    <t>P1111-B0050-R0087</t>
  </si>
  <si>
    <t>越秀城建·香山樾-一期-25#储藏室及配套公摊--207</t>
  </si>
  <si>
    <t>P1111-B0050-R0086</t>
  </si>
  <si>
    <t>越秀城建·香山樾-一期-25#储藏室及配套公摊--208</t>
  </si>
  <si>
    <t>P1111-B0050-R0085</t>
  </si>
  <si>
    <t>越秀城建·香山樾-一期-26#储藏室及配套公摊--101</t>
  </si>
  <si>
    <t>P1111-B0051-R0046</t>
  </si>
  <si>
    <t>越秀城建·香山樾-一期-26#储藏室及配套公摊--102</t>
  </si>
  <si>
    <t>P1111-B0051-R0045</t>
  </si>
  <si>
    <t>越秀城建·香山樾-一期-26#储藏室及配套公摊--103</t>
  </si>
  <si>
    <t>P1111-B0051-R0044</t>
  </si>
  <si>
    <t>越秀城建·香山樾-一期-26#储藏室及配套公摊--104</t>
  </si>
  <si>
    <t>P1111-B0051-R0043</t>
  </si>
  <si>
    <t>越秀城建·香山樾-一期-26#储藏室及配套公摊--105</t>
  </si>
  <si>
    <t>P1111-B0051-R0042</t>
  </si>
  <si>
    <t>越秀城建·香山樾-一期-26#储藏室及配套公摊--106</t>
  </si>
  <si>
    <t>P1111-B0051-R0041</t>
  </si>
  <si>
    <t>越秀城建·香山樾-一期-26#储藏室及配套公摊--107</t>
  </si>
  <si>
    <t>P1111-B0051-R0040</t>
  </si>
  <si>
    <t>越秀城建·香山樾-一期-26#储藏室及配套公摊--108</t>
  </si>
  <si>
    <t>P1111-B0051-R0039</t>
  </si>
  <si>
    <t>越秀城建·香山樾-一期-26#储藏室及配套公摊--109</t>
  </si>
  <si>
    <t>P1111-B0051-R0038</t>
  </si>
  <si>
    <t>越秀城建·香山樾-一期-26#储藏室及配套公摊--110</t>
  </si>
  <si>
    <t>P1111-B0051-R0037</t>
  </si>
  <si>
    <t>越秀城建·香山樾-一期-26#储藏室及配套公摊--111</t>
  </si>
  <si>
    <t>P1111-B0051-R0036</t>
  </si>
  <si>
    <t>越秀城建·香山樾-一期-26#储藏室及配套公摊--112</t>
  </si>
  <si>
    <t>P1111-B0051-R0035</t>
  </si>
  <si>
    <t>越秀城建·香山樾-一期-26#储藏室及配套公摊--113</t>
  </si>
  <si>
    <t>P1111-B0051-R0034</t>
  </si>
  <si>
    <t>越秀城建·香山樾-一期-26#储藏室及配套公摊--114</t>
  </si>
  <si>
    <t>P1111-B0051-R0033</t>
  </si>
  <si>
    <t>越秀城建·香山樾-一期-26#储藏室及配套公摊--124</t>
  </si>
  <si>
    <t>P1111-B0051-R0023</t>
  </si>
  <si>
    <t>越秀城建·香山樾-一期-26#储藏室及配套公摊--125</t>
  </si>
  <si>
    <t>P1111-B0051-R0022</t>
  </si>
  <si>
    <t>越秀城建·香山樾-一期-26#储藏室及配套公摊--126</t>
  </si>
  <si>
    <t>P1111-B0051-R0021</t>
  </si>
  <si>
    <t>越秀城建·香山樾-一期-26#储藏室及配套公摊--201</t>
  </si>
  <si>
    <t>P1111-B0051-R0092</t>
  </si>
  <si>
    <t>越秀城建·香山樾-一期-26#储藏室及配套公摊--202</t>
  </si>
  <si>
    <t>P1111-B0051-R0091</t>
  </si>
  <si>
    <t>越秀城建·香山樾-一期-26#储藏室及配套公摊--203</t>
  </si>
  <si>
    <t>P1111-B0051-R0090</t>
  </si>
  <si>
    <t>越秀城建·香山樾-一期-26#储藏室及配套公摊--204</t>
  </si>
  <si>
    <t>P1111-B0051-R0089</t>
  </si>
  <si>
    <t>越秀城建·香山樾-一期-26#储藏室及配套公摊--207</t>
  </si>
  <si>
    <t>P1111-B0051-R0086</t>
  </si>
  <si>
    <t>越秀城建·香山樾-一期-26#储藏室及配套公摊--208</t>
  </si>
  <si>
    <t>P1111-B0051-R0085</t>
  </si>
  <si>
    <t>越秀城建·香山樾-一期-26#储藏室及配套公摊--209</t>
  </si>
  <si>
    <t>P1111-B0051-R0084</t>
  </si>
  <si>
    <t>越秀城建·香山樾-一期-26#储藏室及配套公摊--210</t>
  </si>
  <si>
    <t>P1111-B0051-R0083</t>
  </si>
  <si>
    <t>越秀城建·香山樾-一期-26#储藏室及配套公摊--213</t>
  </si>
  <si>
    <t>P1111-B0051-R0080</t>
  </si>
  <si>
    <t>越秀城建·香山樾-一期-26#储藏室及配套公摊--216</t>
  </si>
  <si>
    <t>P1111-B0051-R0077</t>
  </si>
  <si>
    <t>越秀城建·香山樾-一期-27#储藏室及配套公摊--101</t>
  </si>
  <si>
    <t>P1111-B0052-R0047</t>
  </si>
  <si>
    <t>越秀城建·香山樾-一期-27#储藏室及配套公摊--102</t>
  </si>
  <si>
    <t>P1111-B0052-R0046</t>
  </si>
  <si>
    <t>越秀城建·香山樾-一期-27#储藏室及配套公摊--103</t>
  </si>
  <si>
    <t>P1111-B0052-R0045</t>
  </si>
  <si>
    <t>越秀城建·香山樾-一期-27#储藏室及配套公摊--104</t>
  </si>
  <si>
    <t>P1111-B0052-R0044</t>
  </si>
  <si>
    <t>越秀城建·香山樾-一期-27#储藏室及配套公摊--105</t>
  </si>
  <si>
    <t>P1111-B0052-R0043</t>
  </si>
  <si>
    <t>越秀城建·香山樾-一期-27#储藏室及配套公摊--109</t>
  </si>
  <si>
    <t>P1111-B0052-R0039</t>
  </si>
  <si>
    <t>越秀城建·香山樾-一期-27#储藏室及配套公摊--110</t>
  </si>
  <si>
    <t>P1111-B0052-R0038</t>
  </si>
  <si>
    <t>越秀城建·香山樾-一期-27#储藏室及配套公摊--111</t>
  </si>
  <si>
    <t>P1111-B0052-R0037</t>
  </si>
  <si>
    <t>越秀城建·香山樾-一期-27#储藏室及配套公摊--115</t>
  </si>
  <si>
    <t>P1111-B0052-R0033</t>
  </si>
  <si>
    <t>越秀城建·香山樾-一期-27#储藏室及配套公摊--116</t>
  </si>
  <si>
    <t>P1111-B0052-R0032</t>
  </si>
  <si>
    <t>越秀城建·香山樾-一期-27#储藏室及配套公摊--117</t>
  </si>
  <si>
    <t>P1111-B0052-R0031</t>
  </si>
  <si>
    <t>越秀城建·香山樾-一期-27#储藏室及配套公摊--118</t>
  </si>
  <si>
    <t>P1111-B0052-R0030</t>
  </si>
  <si>
    <t>越秀城建·香山樾-一期-27#储藏室及配套公摊--119</t>
  </si>
  <si>
    <t>P1111-B0052-R0029</t>
  </si>
  <si>
    <t>越秀城建·香山樾-一期-27#储藏室及配套公摊--120</t>
  </si>
  <si>
    <t>P1111-B0052-R0028</t>
  </si>
  <si>
    <t>越秀城建·香山樾-一期-27#储藏室及配套公摊--121</t>
  </si>
  <si>
    <t>P1111-B0052-R0027</t>
  </si>
  <si>
    <t>越秀城建·香山樾-一期-27#储藏室及配套公摊--122</t>
  </si>
  <si>
    <t>P1111-B0052-R0026</t>
  </si>
  <si>
    <t>越秀城建·香山樾-一期-27#储藏室及配套公摊--126</t>
  </si>
  <si>
    <t>P1111-B0052-R0022</t>
  </si>
  <si>
    <t>越秀城建·香山樾-一期-27#储藏室及配套公摊--201</t>
  </si>
  <si>
    <t>P1111-B0052-R0094</t>
  </si>
  <si>
    <t>越秀城建·香山樾-一期-27#储藏室及配套公摊--202</t>
  </si>
  <si>
    <t>P1111-B0052-R0093</t>
  </si>
  <si>
    <t>越秀城建·香山樾-一期-27#储藏室及配套公摊--203</t>
  </si>
  <si>
    <t>P1111-B0052-R0092</t>
  </si>
  <si>
    <t>越秀城建·香山樾-一期-27#储藏室及配套公摊--204</t>
  </si>
  <si>
    <t>P1111-B0052-R0091</t>
  </si>
  <si>
    <t>越秀城建·香山樾-一期-27#储藏室及配套公摊--208</t>
  </si>
  <si>
    <t>P1111-B0052-R0087</t>
  </si>
  <si>
    <t>越秀城建·香山樾-一期-27#储藏室及配套公摊--209</t>
  </si>
  <si>
    <t>P1111-B0052-R0086</t>
  </si>
  <si>
    <t>越秀城建·香山樾-一期-27#储藏室及配套公摊--211</t>
  </si>
  <si>
    <t>P1111-B0052-R0084</t>
  </si>
  <si>
    <t>地下车位</t>
  </si>
  <si>
    <t>越秀城建·香山樾-一期-地下室--1001</t>
  </si>
  <si>
    <t>P1111-B0026-R0739</t>
  </si>
  <si>
    <t xml:space="preserve"> 2层(2)</t>
  </si>
  <si>
    <t>越秀城建·香山樾-一期-地下室--1002</t>
  </si>
  <si>
    <t>P1111-B0026-R0738</t>
  </si>
  <si>
    <t>越秀城建·香山樾-一期-地下室--1003</t>
  </si>
  <si>
    <t>P1111-B0026-R0737</t>
  </si>
  <si>
    <t>越秀城建·香山樾-一期-地下室--1004</t>
  </si>
  <si>
    <t>P1111-B0026-R0736</t>
  </si>
  <si>
    <t>越秀城建·香山樾-一期-地下室--1005</t>
  </si>
  <si>
    <t>P1111-B0026-R0735</t>
  </si>
  <si>
    <t>越秀城建·香山樾-一期-地下室--1006</t>
  </si>
  <si>
    <t>P1111-B0026-R0734</t>
  </si>
  <si>
    <t>越秀城建·香山樾-一期-地下室--1007</t>
  </si>
  <si>
    <t>P1111-B0026-R0733</t>
  </si>
  <si>
    <t>越秀城建·香山樾-一期-地下室--1008</t>
  </si>
  <si>
    <t>P1111-B0026-R0732</t>
  </si>
  <si>
    <t>越秀城建·香山樾-一期-地下室--1009</t>
  </si>
  <si>
    <t>P1111-B0026-R0731</t>
  </si>
  <si>
    <t>越秀城建·香山樾-一期-地下室--1010</t>
  </si>
  <si>
    <t>P1111-B0026-R0730</t>
  </si>
  <si>
    <t>越秀城建·香山樾-一期-地下室--1011</t>
  </si>
  <si>
    <t>P1111-B0026-R0729</t>
  </si>
  <si>
    <t>越秀城建·香山樾-一期-地下室--1012</t>
  </si>
  <si>
    <t>P1111-B0026-R0728</t>
  </si>
  <si>
    <t>越秀城建·香山樾-一期-地下室--1013</t>
  </si>
  <si>
    <t>P1111-B0026-R0727</t>
  </si>
  <si>
    <t>越秀城建·香山樾-一期-地下室--1014</t>
  </si>
  <si>
    <t>P1111-B0026-R0726</t>
  </si>
  <si>
    <t>越秀城建·香山樾-一期-地下室--1015</t>
  </si>
  <si>
    <t>P1111-B0026-R0725</t>
  </si>
  <si>
    <t>越秀城建·香山樾-一期-地下室--1016</t>
  </si>
  <si>
    <t>P1111-B0026-R0724</t>
  </si>
  <si>
    <t>越秀城建·香山樾-一期-地下室--1017</t>
  </si>
  <si>
    <t>P1111-B0026-R0723</t>
  </si>
  <si>
    <t>越秀城建·香山樾-一期-地下室--1018</t>
  </si>
  <si>
    <t>P1111-B0026-R0722</t>
  </si>
  <si>
    <t>越秀城建·香山樾-一期-地下室--1019</t>
  </si>
  <si>
    <t>P1111-B0026-R0721</t>
  </si>
  <si>
    <t>越秀城建·香山樾-一期-地下室--1020</t>
  </si>
  <si>
    <t>P1111-B0026-R0720</t>
  </si>
  <si>
    <t>越秀城建·香山樾-一期-地下室--1021</t>
  </si>
  <si>
    <t>P1111-B0026-R0719</t>
  </si>
  <si>
    <t>越秀城建·香山樾-一期-地下室--1022</t>
  </si>
  <si>
    <t>P1111-B0026-R0718</t>
  </si>
  <si>
    <t>越秀城建·香山樾-一期-地下室--1023</t>
  </si>
  <si>
    <t>P1111-B0026-R0717</t>
  </si>
  <si>
    <t>越秀城建·香山樾-一期-地下室--1024</t>
  </si>
  <si>
    <t>P1111-B0026-R0716</t>
  </si>
  <si>
    <t>越秀城建·香山樾-一期-地下室--1025</t>
  </si>
  <si>
    <t>P1111-B0026-R0715</t>
  </si>
  <si>
    <t>越秀城建·香山樾-一期-地下室--1026</t>
  </si>
  <si>
    <t>P1111-B0026-R0714</t>
  </si>
  <si>
    <t>越秀城建·香山樾-一期-地下室--1027</t>
  </si>
  <si>
    <t>P1111-B0026-R0713</t>
  </si>
  <si>
    <t>越秀城建·香山樾-一期-地下室--1028</t>
  </si>
  <si>
    <t>P1111-B0026-R0712</t>
  </si>
  <si>
    <t>越秀城建·香山樾-一期-地下室--1031</t>
  </si>
  <si>
    <t>P1111-B0026-R0709</t>
  </si>
  <si>
    <t>越秀城建·香山樾-一期-地下室--1032</t>
  </si>
  <si>
    <t>P1111-B0026-R0708</t>
  </si>
  <si>
    <t>越秀城建·香山樾-一期-地下室--1034</t>
  </si>
  <si>
    <t>P1111-B0026-R0706</t>
  </si>
  <si>
    <t>越秀城建·香山樾-一期-地下室--1035</t>
  </si>
  <si>
    <t>P1111-B0026-R0705</t>
  </si>
  <si>
    <t>越秀城建·香山樾-一期-地下室--1036</t>
  </si>
  <si>
    <t>P1111-B0026-R0704</t>
  </si>
  <si>
    <t>越秀城建·香山樾-一期-地下室--1037</t>
  </si>
  <si>
    <t>P1111-B0026-R0703</t>
  </si>
  <si>
    <t>越秀城建·香山樾-一期-地下室--1038</t>
  </si>
  <si>
    <t>P1111-B0026-R0702</t>
  </si>
  <si>
    <t>越秀城建·香山樾-一期-地下室--1040</t>
  </si>
  <si>
    <t>P1111-B0026-R0700</t>
  </si>
  <si>
    <t>越秀城建·香山樾-一期-地下室--1041</t>
  </si>
  <si>
    <t>P1111-B0026-R0699</t>
  </si>
  <si>
    <t>越秀城建·香山樾-一期-地下室--1044</t>
  </si>
  <si>
    <t>P1111-B0026-R0696</t>
  </si>
  <si>
    <t>越秀城建·香山樾-一期-地下室--1045</t>
  </si>
  <si>
    <t>P1111-B0026-R0695</t>
  </si>
  <si>
    <t>越秀城建·香山樾-一期-地下室--1046</t>
  </si>
  <si>
    <t>P1111-B0026-R0694</t>
  </si>
  <si>
    <t>越秀城建·香山樾-一期-地下室--1047</t>
  </si>
  <si>
    <t>P1111-B0026-R0693</t>
  </si>
  <si>
    <t>越秀城建·香山樾-一期-地下室--1048</t>
  </si>
  <si>
    <t>P1111-B0026-R0692</t>
  </si>
  <si>
    <t>越秀城建·香山樾-一期-地下室--1049</t>
  </si>
  <si>
    <t>P1111-B0026-R0691</t>
  </si>
  <si>
    <t>越秀城建·香山樾-一期-地下室--1050</t>
  </si>
  <si>
    <t>P1111-B0026-R0690</t>
  </si>
  <si>
    <t>越秀城建·香山樾-一期-地下室--1057</t>
  </si>
  <si>
    <t>P1111-B0026-R0683</t>
  </si>
  <si>
    <t>越秀城建·香山樾-一期-地下室--1058</t>
  </si>
  <si>
    <t>P1111-B0026-R0682</t>
  </si>
  <si>
    <t>越秀城建·香山樾-一期-地下室--1059</t>
  </si>
  <si>
    <t>P1111-B0026-R0681</t>
  </si>
  <si>
    <t>越秀城建·香山樾-一期-地下室--1060</t>
  </si>
  <si>
    <t>P1111-B0026-R0680</t>
  </si>
  <si>
    <t>越秀城建·香山樾-一期-地下室--1061</t>
  </si>
  <si>
    <t>P1111-B0026-R0679</t>
  </si>
  <si>
    <t>越秀城建·香山樾-一期-地下室--1062</t>
  </si>
  <si>
    <t>P1111-B0026-R0678</t>
  </si>
  <si>
    <t>越秀城建·香山樾-一期-地下室--1063</t>
  </si>
  <si>
    <t>P1111-B0026-R0677</t>
  </si>
  <si>
    <t>越秀城建·香山樾-一期-地下室--1064</t>
  </si>
  <si>
    <t>P1111-B0026-R0676</t>
  </si>
  <si>
    <t>越秀城建·香山樾-一期-地下室--1065</t>
  </si>
  <si>
    <t>P1111-B0026-R0675</t>
  </si>
  <si>
    <t>越秀城建·香山樾-一期-地下室--1067</t>
  </si>
  <si>
    <t>P1111-B0026-R0673</t>
  </si>
  <si>
    <t>越秀城建·香山樾-一期-地下室--1069</t>
  </si>
  <si>
    <t>P1111-B0026-R0671</t>
  </si>
  <si>
    <t>越秀城建·香山樾-一期-地下室--1070</t>
  </si>
  <si>
    <t>P1111-B0026-R0670</t>
  </si>
  <si>
    <t>越秀城建·香山樾-一期-地下室--1074</t>
  </si>
  <si>
    <t>P1111-B0026-R0666</t>
  </si>
  <si>
    <t>越秀城建·香山樾-一期-地下室--1075</t>
  </si>
  <si>
    <t>P1111-B0026-R0665</t>
  </si>
  <si>
    <t>越秀城建·香山樾-一期-地下室--1076</t>
  </si>
  <si>
    <t>P1111-B0026-R0664</t>
  </si>
  <si>
    <t>越秀城建·香山樾-一期-地下室--1077</t>
  </si>
  <si>
    <t>P1111-B0026-R0663</t>
  </si>
  <si>
    <t>越秀城建·香山樾-一期-地下室--1080</t>
  </si>
  <si>
    <t>P1111-B0026-R0660</t>
  </si>
  <si>
    <t>越秀城建·香山樾-一期-地下室--1081</t>
  </si>
  <si>
    <t>P1111-B0026-R0659</t>
  </si>
  <si>
    <t>越秀城建·香山樾-一期-地下室--1082</t>
  </si>
  <si>
    <t>P1111-B0026-R0658</t>
  </si>
  <si>
    <t>越秀城建·香山樾-一期-地下室--1083</t>
  </si>
  <si>
    <t>P1111-B0026-R0657</t>
  </si>
  <si>
    <t>越秀城建·香山樾-一期-地下室--1084</t>
  </si>
  <si>
    <t>P1111-B0026-R0656</t>
  </si>
  <si>
    <t>越秀城建·香山樾-一期-地下室--1086</t>
  </si>
  <si>
    <t>P1111-B0026-R0654</t>
  </si>
  <si>
    <t>越秀城建·香山樾-一期-地下室--1087</t>
  </si>
  <si>
    <t>P1111-B0026-R0653</t>
  </si>
  <si>
    <t>越秀城建·香山樾-一期-地下室--1088</t>
  </si>
  <si>
    <t>P1111-B0026-R0652</t>
  </si>
  <si>
    <t>越秀城建·香山樾-一期-地下室--1089</t>
  </si>
  <si>
    <t>P1111-B0026-R0651</t>
  </si>
  <si>
    <t>越秀城建·香山樾-一期-地下室--1090</t>
  </si>
  <si>
    <t>P1111-B0026-R0650</t>
  </si>
  <si>
    <t>越秀城建·香山樾-一期-地下室--1091</t>
  </si>
  <si>
    <t>P1111-B0026-R0649</t>
  </si>
  <si>
    <t>越秀城建·香山樾-一期-地下室--1092</t>
  </si>
  <si>
    <t>P1111-B0026-R0648</t>
  </si>
  <si>
    <t>越秀城建·香山樾-一期-地下室--1093</t>
  </si>
  <si>
    <t>P1111-B0026-R0647</t>
  </si>
  <si>
    <t>越秀城建·香山樾-一期-地下室--1094</t>
  </si>
  <si>
    <t>P1111-B0026-R0646</t>
  </si>
  <si>
    <t>越秀城建·香山樾-一期-地下室--1095</t>
  </si>
  <si>
    <t>P1111-B0026-R0645</t>
  </si>
  <si>
    <t>越秀城建·香山樾-一期-地下室--1096</t>
  </si>
  <si>
    <t>P1111-B0026-R0644</t>
  </si>
  <si>
    <t>越秀城建·香山樾-一期-地下室--1097</t>
  </si>
  <si>
    <t>P1111-B0026-R0643</t>
  </si>
  <si>
    <t>越秀城建·香山樾-一期-地下室--1098</t>
  </si>
  <si>
    <t>P1111-B0026-R0642</t>
  </si>
  <si>
    <t>越秀城建·香山樾-一期-地下室--1099</t>
  </si>
  <si>
    <t>P1111-B0026-R0641</t>
  </si>
  <si>
    <t>越秀城建·香山樾-一期-地下室--1100</t>
  </si>
  <si>
    <t>P1111-B0026-R0640</t>
  </si>
  <si>
    <t>越秀城建·香山樾-一期-地下室--1101</t>
  </si>
  <si>
    <t>P1111-B0026-R0639</t>
  </si>
  <si>
    <t>越秀城建·香山樾-一期-地下室--1102</t>
  </si>
  <si>
    <t>P1111-B0026-R0638</t>
  </si>
  <si>
    <t>越秀城建·香山樾-一期-地下室--1103</t>
  </si>
  <si>
    <t>P1111-B0026-R0637</t>
  </si>
  <si>
    <t>越秀城建·香山樾-一期-地下室--1104</t>
  </si>
  <si>
    <t>P1111-B0026-R0636</t>
  </si>
  <si>
    <t>越秀城建·香山樾-一期-地下室--1105</t>
  </si>
  <si>
    <t>P1111-B0026-R0635</t>
  </si>
  <si>
    <t>越秀城建·香山樾-一期-地下室--1106</t>
  </si>
  <si>
    <t>P1111-B0026-R0634</t>
  </si>
  <si>
    <t>越秀城建·香山樾-一期-地下室--1107</t>
  </si>
  <si>
    <t>P1111-B0026-R0633</t>
  </si>
  <si>
    <t>越秀城建·香山樾-一期-地下室--1108</t>
  </si>
  <si>
    <t>P1111-B0026-R0632</t>
  </si>
  <si>
    <t>越秀城建·香山樾-一期-地下室--1109</t>
  </si>
  <si>
    <t>P1111-B0026-R0631</t>
  </si>
  <si>
    <t>越秀城建·香山樾-一期-地下室--1110</t>
  </si>
  <si>
    <t>P1111-B0026-R0630</t>
  </si>
  <si>
    <t>越秀城建·香山樾-一期-地下室--1111</t>
  </si>
  <si>
    <t>P1111-B0026-R0629</t>
  </si>
  <si>
    <t>越秀城建·香山樾-一期-地下室--1112</t>
  </si>
  <si>
    <t>P1111-B0026-R0628</t>
  </si>
  <si>
    <t>越秀城建·香山樾-一期-地下室--1115</t>
  </si>
  <si>
    <t>P1111-B0026-R0625</t>
  </si>
  <si>
    <t>越秀城建·香山樾-一期-地下室--1116</t>
  </si>
  <si>
    <t>P1111-B0026-R0624</t>
  </si>
  <si>
    <t>越秀城建·香山樾-一期-地下室--1119</t>
  </si>
  <si>
    <t>P1111-B0026-R0621</t>
  </si>
  <si>
    <t>越秀城建·香山樾-一期-地下室--1120</t>
  </si>
  <si>
    <t>P1111-B0026-R0620</t>
  </si>
  <si>
    <t>越秀城建·香山樾-一期-地下室--1121</t>
  </si>
  <si>
    <t>P1111-B0026-R0619</t>
  </si>
  <si>
    <t>越秀城建·香山樾-一期-地下室--1123</t>
  </si>
  <si>
    <t>P1111-B0026-R0617</t>
  </si>
  <si>
    <t>越秀城建·香山樾-一期-地下室--1124</t>
  </si>
  <si>
    <t>P1111-B0026-R0616</t>
  </si>
  <si>
    <t>越秀城建·香山樾-一期-地下室--1127</t>
  </si>
  <si>
    <t>P1111-B0026-R0613</t>
  </si>
  <si>
    <t>越秀城建·香山樾-一期-地下室--1128</t>
  </si>
  <si>
    <t>P1111-B0026-R0612</t>
  </si>
  <si>
    <t>越秀城建·香山樾-一期-地下室--1129</t>
  </si>
  <si>
    <t>P1111-B0026-R0611</t>
  </si>
  <si>
    <t>越秀城建·香山樾-一期-地下室--1130</t>
  </si>
  <si>
    <t>P1111-B0026-R0610</t>
  </si>
  <si>
    <t>越秀城建·香山樾-一期-地下室--1131</t>
  </si>
  <si>
    <t>P1111-B0026-R0609</t>
  </si>
  <si>
    <t>越秀城建·香山樾-一期-地下室--1134</t>
  </si>
  <si>
    <t>P1111-B0026-R0606</t>
  </si>
  <si>
    <t>越秀城建·香山樾-一期-地下室--1137</t>
  </si>
  <si>
    <t>P1111-B0026-R0603</t>
  </si>
  <si>
    <t>越秀城建·香山樾-一期-地下室--1141</t>
  </si>
  <si>
    <t>P1111-B0026-R0599</t>
  </si>
  <si>
    <t>越秀城建·香山樾-一期-地下室--1142</t>
  </si>
  <si>
    <t>P1111-B0026-R0598</t>
  </si>
  <si>
    <t>越秀城建·香山樾-一期-地下室--1146</t>
  </si>
  <si>
    <t>P1111-B0026-R0594</t>
  </si>
  <si>
    <t>越秀城建·香山樾-一期-地下室--1147</t>
  </si>
  <si>
    <t>P1111-B0026-R0593</t>
  </si>
  <si>
    <t>越秀城建·香山樾-一期-地下室--1148</t>
  </si>
  <si>
    <t>P1111-B0026-R0592</t>
  </si>
  <si>
    <t>越秀城建·香山樾-一期-地下室--1150</t>
  </si>
  <si>
    <t>P1111-B0026-R0590</t>
  </si>
  <si>
    <t>越秀城建·香山樾-一期-地下室--1152</t>
  </si>
  <si>
    <t>P1111-B0026-R0588</t>
  </si>
  <si>
    <t>越秀城建·香山樾-一期-地下室--1153</t>
  </si>
  <si>
    <t>P1111-B0026-R0587</t>
  </si>
  <si>
    <t>越秀城建·香山樾-一期-地下室--1154</t>
  </si>
  <si>
    <t>P1111-B0026-R0586</t>
  </si>
  <si>
    <t>越秀城建·香山樾-一期-地下室--1155</t>
  </si>
  <si>
    <t>P1111-B0026-R0585</t>
  </si>
  <si>
    <t>越秀城建·香山樾-一期-地下室--1157</t>
  </si>
  <si>
    <t>P1111-B0026-R0583</t>
  </si>
  <si>
    <t>越秀城建·香山樾-一期-地下室--1158</t>
  </si>
  <si>
    <t>P1111-B0026-R0582</t>
  </si>
  <si>
    <t>越秀城建·香山樾-一期-地下室--1159</t>
  </si>
  <si>
    <t>P1111-B0026-R0581</t>
  </si>
  <si>
    <t>越秀城建·香山樾-一期-地下室--1160</t>
  </si>
  <si>
    <t>P1111-B0026-R0580</t>
  </si>
  <si>
    <t>越秀城建·香山樾-一期-地下室--1161</t>
  </si>
  <si>
    <t>P1111-B0026-R0579</t>
  </si>
  <si>
    <t>越秀城建·香山樾-一期-地下室--1162</t>
  </si>
  <si>
    <t>P1111-B0026-R0578</t>
  </si>
  <si>
    <t>越秀城建·香山樾-一期-地下室--1163</t>
  </si>
  <si>
    <t>P1111-B0026-R0577</t>
  </si>
  <si>
    <t>越秀城建·香山樾-一期-地下室--1164</t>
  </si>
  <si>
    <t>P1111-B0026-R0576</t>
  </si>
  <si>
    <t>越秀城建·香山樾-一期-地下室--1165</t>
  </si>
  <si>
    <t>P1111-B0026-R0575</t>
  </si>
  <si>
    <t>越秀城建·香山樾-一期-地下室--1166</t>
  </si>
  <si>
    <t>P1111-B0026-R0574</t>
  </si>
  <si>
    <t>越秀城建·香山樾-一期-地下室--1168</t>
  </si>
  <si>
    <t>P1111-B0026-R0572</t>
  </si>
  <si>
    <t>越秀城建·香山樾-一期-地下室--1169</t>
  </si>
  <si>
    <t>P1111-B0026-R0571</t>
  </si>
  <si>
    <t>越秀城建·香山樾-一期-地下室--1170</t>
  </si>
  <si>
    <t>P1111-B0026-R0570</t>
  </si>
  <si>
    <t>越秀城建·香山樾-一期-地下室--1171</t>
  </si>
  <si>
    <t>P1111-B0026-R0569</t>
  </si>
  <si>
    <t>越秀城建·香山樾-一期-地下室--1174</t>
  </si>
  <si>
    <t>P1111-B0026-R0566</t>
  </si>
  <si>
    <t>越秀城建·香山樾-一期-地下室--1175</t>
  </si>
  <si>
    <t>P1111-B0026-R0565</t>
  </si>
  <si>
    <t>越秀城建·香山樾-一期-地下室--1177</t>
  </si>
  <si>
    <t>P1111-B0026-R0563</t>
  </si>
  <si>
    <t>越秀城建·香山樾-一期-地下室--1178</t>
  </si>
  <si>
    <t>P1111-B0026-R0562</t>
  </si>
  <si>
    <t>越秀城建·香山樾-一期-地下室--1179</t>
  </si>
  <si>
    <t>P1111-B0026-R0561</t>
  </si>
  <si>
    <t>越秀城建·香山樾-一期-地下室--1180</t>
  </si>
  <si>
    <t>P1111-B0026-R0560</t>
  </si>
  <si>
    <t>越秀城建·香山樾-一期-地下室--1181</t>
  </si>
  <si>
    <t>P1111-B0026-R0559</t>
  </si>
  <si>
    <t>越秀城建·香山樾-一期-地下室--1182</t>
  </si>
  <si>
    <t>P1111-B0026-R0558</t>
  </si>
  <si>
    <t>越秀城建·香山樾-一期-地下室--1183</t>
  </si>
  <si>
    <t>P1111-B0026-R0557</t>
  </si>
  <si>
    <t>越秀城建·香山樾-一期-地下室--1184</t>
  </si>
  <si>
    <t>P1111-B0026-R0556</t>
  </si>
  <si>
    <t>越秀城建·香山樾-一期-地下室--1186</t>
  </si>
  <si>
    <t>P1111-B0026-R0554</t>
  </si>
  <si>
    <t>越秀城建·香山樾-一期-地下室--1187</t>
  </si>
  <si>
    <t>P1111-B0026-R0553</t>
  </si>
  <si>
    <t>越秀城建·香山樾-一期-地下室--1196</t>
  </si>
  <si>
    <t>P1111-B0026-R0544</t>
  </si>
  <si>
    <t>越秀城建·香山樾-一期-地下室--1197</t>
  </si>
  <si>
    <t>P1111-B0026-R0543</t>
  </si>
  <si>
    <t>越秀城建·香山樾-一期-地下室--1198</t>
  </si>
  <si>
    <t>P1111-B0026-R0542</t>
  </si>
  <si>
    <t>越秀城建·香山樾-一期-地下室--1199</t>
  </si>
  <si>
    <t>P1111-B0026-R0541</t>
  </si>
  <si>
    <t>越秀城建·香山樾-一期-地下室--1200</t>
  </si>
  <si>
    <t>P1111-B0026-R0540</t>
  </si>
  <si>
    <t>越秀城建·香山樾-一期-地下室--1201</t>
  </si>
  <si>
    <t>P1111-B0026-R0539</t>
  </si>
  <si>
    <t>越秀城建·香山樾-一期-地下室--1202</t>
  </si>
  <si>
    <t>P1111-B0026-R0538</t>
  </si>
  <si>
    <t>越秀城建·香山樾-一期-地下室--1204</t>
  </si>
  <si>
    <t>P1111-B0026-R0536</t>
  </si>
  <si>
    <t>越秀城建·香山樾-一期-地下室--1205</t>
  </si>
  <si>
    <t>P1111-B0026-R0535</t>
  </si>
  <si>
    <t>越秀城建·香山樾-一期-地下室--1206</t>
  </si>
  <si>
    <t>P1111-B0026-R0534</t>
  </si>
  <si>
    <t>越秀城建·香山樾-一期-地下室--1207</t>
  </si>
  <si>
    <t>P1111-B0026-R0533</t>
  </si>
  <si>
    <t>越秀城建·香山樾-一期-地下室--1208</t>
  </si>
  <si>
    <t>P1111-B0026-R0532</t>
  </si>
  <si>
    <t>越秀城建·香山樾-一期-地下室--1213</t>
  </si>
  <si>
    <t>P1111-B0026-R0527</t>
  </si>
  <si>
    <t>越秀城建·香山樾-一期-地下室--1214</t>
  </si>
  <si>
    <t>P1111-B0026-R0526</t>
  </si>
  <si>
    <t>越秀城建·香山樾-一期-地下室--1216</t>
  </si>
  <si>
    <t>P1111-B0026-R0524</t>
  </si>
  <si>
    <t>越秀城建·香山樾-一期-地下室--1218</t>
  </si>
  <si>
    <t>P1111-B0026-R0522</t>
  </si>
  <si>
    <t>越秀城建·香山樾-一期-地下室--1219</t>
  </si>
  <si>
    <t>P1111-B0026-R0521</t>
  </si>
  <si>
    <t>越秀城建·香山樾-一期-地下室--1220</t>
  </si>
  <si>
    <t>P1111-B0026-R0520</t>
  </si>
  <si>
    <t>越秀城建·香山樾-一期-地下室--1221</t>
  </si>
  <si>
    <t>P1111-B0026-R0519</t>
  </si>
  <si>
    <t>越秀城建·香山樾-一期-地下室--1223</t>
  </si>
  <si>
    <t>P1111-B0026-R0517</t>
  </si>
  <si>
    <t>越秀城建·香山樾-一期-地下室--1224</t>
  </si>
  <si>
    <t>P1111-B0026-R0516</t>
  </si>
  <si>
    <t>越秀城建·香山樾-一期-地下室--1225</t>
  </si>
  <si>
    <t>P1111-B0026-R0515</t>
  </si>
  <si>
    <t>越秀城建·香山樾-一期-地下室--1231</t>
  </si>
  <si>
    <t>P1111-B0026-R0509</t>
  </si>
  <si>
    <t>越秀城建·香山樾-一期-地下室--1233</t>
  </si>
  <si>
    <t>P1111-B0026-R0507</t>
  </si>
  <si>
    <t>越秀城建·香山樾-一期-地下室--1237</t>
  </si>
  <si>
    <t>P1111-B0026-R0503</t>
  </si>
  <si>
    <t>越秀城建·香山樾-一期-地下室--1238</t>
  </si>
  <si>
    <t>P1111-B0026-R0502</t>
  </si>
  <si>
    <t>越秀城建·香山樾-一期-地下室--1239</t>
  </si>
  <si>
    <t>P1111-B0026-R0501</t>
  </si>
  <si>
    <t>越秀城建·香山樾-一期-地下室--1240</t>
  </si>
  <si>
    <t>P1111-B0026-R0500</t>
  </si>
  <si>
    <t>越秀城建·香山樾-一期-地下室--1242</t>
  </si>
  <si>
    <t>P1111-B0026-R0498</t>
  </si>
  <si>
    <t>越秀城建·香山樾-一期-地下室--1243</t>
  </si>
  <si>
    <t>P1111-B0026-R0497</t>
  </si>
  <si>
    <t>越秀城建·香山樾-一期-地下室--1244</t>
  </si>
  <si>
    <t>P1111-B0026-R0496</t>
  </si>
  <si>
    <t>越秀城建·香山樾-一期-地下室--1245</t>
  </si>
  <si>
    <t>P1111-B0026-R0495</t>
  </si>
  <si>
    <t>越秀城建·香山樾-一期-地下室--1246</t>
  </si>
  <si>
    <t>P1111-B0026-R0494</t>
  </si>
  <si>
    <t>越秀城建·香山樾-一期-地下室--1247</t>
  </si>
  <si>
    <t>P1111-B0026-R0493</t>
  </si>
  <si>
    <t>越秀城建·香山樾-一期-地下室--1248</t>
  </si>
  <si>
    <t>P1111-B0026-R0492</t>
  </si>
  <si>
    <t>越秀城建·香山樾-一期-地下室--1249</t>
  </si>
  <si>
    <t>P1111-B0026-R0491</t>
  </si>
  <si>
    <t>越秀城建·香山樾-一期-地下室--1250</t>
  </si>
  <si>
    <t>P1111-B0026-R0490</t>
  </si>
  <si>
    <t>越秀城建·香山樾-一期-地下室--1251</t>
  </si>
  <si>
    <t>P1111-B0026-R0489</t>
  </si>
  <si>
    <t>越秀城建·香山樾-一期-地下室--1252</t>
  </si>
  <si>
    <t>P1111-B0026-R0488</t>
  </si>
  <si>
    <t>越秀城建·香山樾-一期-地下室--1253</t>
  </si>
  <si>
    <t>P1111-B0026-R0487</t>
  </si>
  <si>
    <t>越秀城建·香山樾-一期-地下室--1255</t>
  </si>
  <si>
    <t>P1111-B0026-R0485</t>
  </si>
  <si>
    <t>越秀城建·香山樾-一期-地下室--1256</t>
  </si>
  <si>
    <t>P1111-B0026-R0484</t>
  </si>
  <si>
    <t>越秀城建·香山樾-一期-地下室--1260</t>
  </si>
  <si>
    <t>P1111-B0026-R0480</t>
  </si>
  <si>
    <t>越秀城建·香山樾-一期-地下室--1269</t>
  </si>
  <si>
    <t>P1111-B0026-R0471</t>
  </si>
  <si>
    <t>越秀城建·香山樾-一期-地下室--1270</t>
  </si>
  <si>
    <t>P1111-B0026-R0470</t>
  </si>
  <si>
    <t>越秀城建·香山樾-一期-地下室--1271</t>
  </si>
  <si>
    <t>P1111-B0026-R0469</t>
  </si>
  <si>
    <t>越秀城建·香山樾-一期-地下室--1272</t>
  </si>
  <si>
    <t>P1111-B0026-R0468</t>
  </si>
  <si>
    <t>越秀城建·香山樾-一期-地下室--1273</t>
  </si>
  <si>
    <t>P1111-B0026-R0467</t>
  </si>
  <si>
    <t>越秀城建·香山樾-一期-地下室--1274</t>
  </si>
  <si>
    <t>P1111-B0026-R0466</t>
  </si>
  <si>
    <t>越秀城建·香山樾-一期-地下室--1277</t>
  </si>
  <si>
    <t>P1111-B0026-R0463</t>
  </si>
  <si>
    <t>越秀城建·香山樾-一期-地下室--1278</t>
  </si>
  <si>
    <t>P1111-B0026-R0462</t>
  </si>
  <si>
    <t>越秀城建·香山樾-一期-地下室--1279</t>
  </si>
  <si>
    <t>P1111-B0026-R0461</t>
  </si>
  <si>
    <t>越秀城建·香山樾-一期-地下室--1281</t>
  </si>
  <si>
    <t>P1111-B0026-R0459</t>
  </si>
  <si>
    <t>越秀城建·香山樾-一期-地下室--1283</t>
  </si>
  <si>
    <t>P1111-B0026-R0457</t>
  </si>
  <si>
    <t>越秀城建·香山樾-一期-地下室--1284</t>
  </si>
  <si>
    <t>P1111-B0026-R0456</t>
  </si>
  <si>
    <t>越秀城建·香山樾-一期-地下室--1287</t>
  </si>
  <si>
    <t>P1111-B0026-R0453</t>
  </si>
  <si>
    <t>越秀城建·香山樾-一期-地下室--1288</t>
  </si>
  <si>
    <t>P1111-B0026-R0452</t>
  </si>
  <si>
    <t>越秀城建·香山樾-一期-地下室--1293</t>
  </si>
  <si>
    <t>P1111-B0026-R0447</t>
  </si>
  <si>
    <t>越秀城建·香山樾-一期-地下室--1294</t>
  </si>
  <si>
    <t>P1111-B0026-R0446</t>
  </si>
  <si>
    <t>越秀城建·香山樾-一期-地下室--1295</t>
  </si>
  <si>
    <t>P1111-B0026-R0445</t>
  </si>
  <si>
    <t>越秀城建·香山樾-一期-地下室--1296</t>
  </si>
  <si>
    <t>P1111-B0026-R0444</t>
  </si>
  <si>
    <t>越秀城建·香山樾-一期-地下室--1297</t>
  </si>
  <si>
    <t>P1111-B0026-R0443</t>
  </si>
  <si>
    <t>越秀城建·香山樾-一期-地下室--1298</t>
  </si>
  <si>
    <t>P1111-B0026-R0442</t>
  </si>
  <si>
    <t>越秀城建·香山樾-一期-地下室--1299</t>
  </si>
  <si>
    <t>P1111-B0026-R0441</t>
  </si>
  <si>
    <t>越秀城建·香山樾-一期-地下室--1300</t>
  </si>
  <si>
    <t>P1111-B0026-R0440</t>
  </si>
  <si>
    <t>越秀城建·香山樾-一期-地下室--1301</t>
  </si>
  <si>
    <t>P1111-B0026-R0439</t>
  </si>
  <si>
    <t>越秀城建·香山樾-一期-地下室--1302</t>
  </si>
  <si>
    <t>P1111-B0026-R0438</t>
  </si>
  <si>
    <t>越秀城建·香山樾-一期-地下室--1303</t>
  </si>
  <si>
    <t>P1111-B0026-R0437</t>
  </si>
  <si>
    <t>越秀城建·香山樾-一期-地下室--1304</t>
  </si>
  <si>
    <t>P1111-B0026-R0436</t>
  </si>
  <si>
    <t>越秀城建·香山樾-一期-地下室--1305</t>
  </si>
  <si>
    <t>P1111-B0026-R0435</t>
  </si>
  <si>
    <t>越秀城建·香山樾-一期-地下室--1306</t>
  </si>
  <si>
    <t>P1111-B0026-R0434</t>
  </si>
  <si>
    <t>越秀城建·香山樾-一期-地下室--1309</t>
  </si>
  <si>
    <t>P1111-B0026-R0431</t>
  </si>
  <si>
    <t>越秀城建·香山樾-一期-地下室--1310</t>
  </si>
  <si>
    <t>P1111-B0026-R0430</t>
  </si>
  <si>
    <t>越秀城建·香山樾-一期-地下室--1311</t>
  </si>
  <si>
    <t>P1111-B0026-R0429</t>
  </si>
  <si>
    <t>越秀城建·香山樾-一期-地下室--1312</t>
  </si>
  <si>
    <t>P1111-B0026-R0428</t>
  </si>
  <si>
    <t>越秀城建·香山樾-一期-地下室--1313</t>
  </si>
  <si>
    <t>P1111-B0026-R0427</t>
  </si>
  <si>
    <t>越秀城建·香山樾-一期-地下室--1315</t>
  </si>
  <si>
    <t>P1111-B0026-R0425</t>
  </si>
  <si>
    <t>越秀城建·香山樾-一期-地下室--1316</t>
  </si>
  <si>
    <t>P1111-B0026-R0424</t>
  </si>
  <si>
    <t>越秀城建·香山樾-一期-地下室--1317</t>
  </si>
  <si>
    <t>P1111-B0026-R0423</t>
  </si>
  <si>
    <t>越秀城建·香山樾-一期-地下室--1318</t>
  </si>
  <si>
    <t>P1111-B0026-R0422</t>
  </si>
  <si>
    <t>越秀城建·香山樾-一期-地下室--1319</t>
  </si>
  <si>
    <t>P1111-B0026-R0421</t>
  </si>
  <si>
    <t>越秀城建·香山樾-一期-地下室--1320</t>
  </si>
  <si>
    <t>P1111-B0026-R0420</t>
  </si>
  <si>
    <t>越秀城建·香山樾-一期-地下室--1321</t>
  </si>
  <si>
    <t>P1111-B0026-R0419</t>
  </si>
  <si>
    <t>越秀城建·香山樾-一期-地下室--1322</t>
  </si>
  <si>
    <t>P1111-B0026-R0418</t>
  </si>
  <si>
    <t>越秀城建·香山樾-一期-地下室--1323</t>
  </si>
  <si>
    <t>P1111-B0026-R0417</t>
  </si>
  <si>
    <t>越秀城建·香山樾-一期-地下室--1324</t>
  </si>
  <si>
    <t>P1111-B0026-R0416</t>
  </si>
  <si>
    <t>越秀城建·香山樾-一期-地下室--1325</t>
  </si>
  <si>
    <t>P1111-B0026-R0415</t>
  </si>
  <si>
    <t>越秀城建·香山樾-一期-地下室--1326</t>
  </si>
  <si>
    <t>P1111-B0026-R0414</t>
  </si>
  <si>
    <t>越秀城建·香山樾-一期-地下室--1327</t>
  </si>
  <si>
    <t>P1111-B0026-R0413</t>
  </si>
  <si>
    <t>越秀城建·香山樾-一期-地下室--1329</t>
  </si>
  <si>
    <t>P1111-B0026-R0411</t>
  </si>
  <si>
    <t>越秀城建·香山樾-一期-地下室--1335</t>
  </si>
  <si>
    <t>P1111-B0026-R0405</t>
  </si>
  <si>
    <t>越秀城建·香山樾-一期-地下室--1336</t>
  </si>
  <si>
    <t>P1111-B0026-R0404</t>
  </si>
  <si>
    <t>越秀城建·香山樾-一期-地下室--1339</t>
  </si>
  <si>
    <t>P1111-B0026-R0401</t>
  </si>
  <si>
    <t>越秀城建·香山樾-一期-地下室--1340</t>
  </si>
  <si>
    <t>P1111-B0026-R0400</t>
  </si>
  <si>
    <t>越秀城建·香山樾-一期-地下室--1341</t>
  </si>
  <si>
    <t>P1111-B0026-R0399</t>
  </si>
  <si>
    <t>越秀城建·香山樾-一期-地下室--1342</t>
  </si>
  <si>
    <t>P1111-B0026-R0398</t>
  </si>
  <si>
    <t>越秀城建·香山樾-一期-地下室--1343</t>
  </si>
  <si>
    <t>P1111-B0026-R0397</t>
  </si>
  <si>
    <t>越秀城建·香山樾-一期-地下室--1344</t>
  </si>
  <si>
    <t>P1111-B0026-R0396</t>
  </si>
  <si>
    <t>越秀城建·香山樾-一期-地下室--1345</t>
  </si>
  <si>
    <t>P1111-B0026-R0395</t>
  </si>
  <si>
    <t>越秀城建·香山樾-一期-地下室--1346</t>
  </si>
  <si>
    <t>P1111-B0026-R0394</t>
  </si>
  <si>
    <t>越秀城建·香山樾-一期-地下室--1347</t>
  </si>
  <si>
    <t>P1111-B0026-R0393</t>
  </si>
  <si>
    <t>越秀城建·香山樾-一期-地下室--1348</t>
  </si>
  <si>
    <t>P1111-B0026-R0392</t>
  </si>
  <si>
    <t>越秀城建·香山樾-一期-地下室--1349</t>
  </si>
  <si>
    <t>P1111-B0026-R0391</t>
  </si>
  <si>
    <t>越秀城建·香山樾-一期-地下室--1350</t>
  </si>
  <si>
    <t>P1111-B0026-R0390</t>
  </si>
  <si>
    <t>越秀城建·香山樾-一期-地下室--1351</t>
  </si>
  <si>
    <t>P1111-B0026-R0389</t>
  </si>
  <si>
    <t>越秀城建·香山樾-一期-地下室--1352</t>
  </si>
  <si>
    <t>P1111-B0026-R0388</t>
  </si>
  <si>
    <t>越秀城建·香山樾-一期-地下室--1353</t>
  </si>
  <si>
    <t>P1111-B0026-R0387</t>
  </si>
  <si>
    <t>越秀城建·香山樾-一期-地下室--1354</t>
  </si>
  <si>
    <t>P1111-B0026-R0386</t>
  </si>
  <si>
    <t>越秀城建·香山樾-一期-地下室--1355</t>
  </si>
  <si>
    <t>P1111-B0026-R0385</t>
  </si>
  <si>
    <t>越秀城建·香山樾-一期-地下室--1361</t>
  </si>
  <si>
    <t>P1111-B0026-R0379</t>
  </si>
  <si>
    <t>越秀城建·香山樾-一期-地下室--1362</t>
  </si>
  <si>
    <t>P1111-B0026-R0378</t>
  </si>
  <si>
    <t>越秀城建·香山樾-一期-地下室--1378</t>
  </si>
  <si>
    <t>P1111-B0026-R0362</t>
  </si>
  <si>
    <t>越秀城建·香山樾-一期-地下室--1379</t>
  </si>
  <si>
    <t>P1111-B0026-R0361</t>
  </si>
  <si>
    <t>越秀城建·香山樾-一期-地下室--1380</t>
  </si>
  <si>
    <t>P1111-B0026-R0360</t>
  </si>
  <si>
    <t>越秀城建·香山樾-一期-地下室--1381</t>
  </si>
  <si>
    <t>P1111-B0026-R0359</t>
  </si>
  <si>
    <t>越秀城建·香山樾-一期-地下室--1382</t>
  </si>
  <si>
    <t>P1111-B0026-R0358</t>
  </si>
  <si>
    <t>越秀城建·香山樾-一期-地下室--1385</t>
  </si>
  <si>
    <t>P1111-B0026-R0355</t>
  </si>
  <si>
    <t>越秀城建·香山樾-一期-地下室--1390</t>
  </si>
  <si>
    <t>P1111-B0026-R0350</t>
  </si>
  <si>
    <t>越秀城建·香山樾-一期-地下室--1391</t>
  </si>
  <si>
    <t>P1111-B0026-R0349</t>
  </si>
  <si>
    <t>越秀城建·香山樾-一期-地下室--1394</t>
  </si>
  <si>
    <t>P1111-B0026-R0346</t>
  </si>
  <si>
    <t>越秀城建·香山樾-一期-地下室--1395</t>
  </si>
  <si>
    <t>P1111-B0026-R0345</t>
  </si>
  <si>
    <t>越秀城建·香山樾-一期-地下室--1396</t>
  </si>
  <si>
    <t>P1111-B0026-R0344</t>
  </si>
  <si>
    <t>越秀城建·香山樾-一期-地下室--1397</t>
  </si>
  <si>
    <t>P1111-B0026-R0343</t>
  </si>
  <si>
    <t>越秀城建·香山樾-一期-地下室--1398</t>
  </si>
  <si>
    <t>P1111-B0026-R0342</t>
  </si>
  <si>
    <t>越秀城建·香山樾-一期-地下室--1399</t>
  </si>
  <si>
    <t>P1111-B0026-R0341</t>
  </si>
  <si>
    <t>越秀城建·香山樾-一期-地下室--1401</t>
  </si>
  <si>
    <t>P1111-B0026-R0339</t>
  </si>
  <si>
    <t>越秀城建·香山樾-一期-地下室--1402</t>
  </si>
  <si>
    <t>P1111-B0026-R0338</t>
  </si>
  <si>
    <t>越秀城建·香山樾-一期-地下室--1403</t>
  </si>
  <si>
    <t>P1111-B0026-R0337</t>
  </si>
  <si>
    <t>越秀城建·香山樾-一期-地下室--1404</t>
  </si>
  <si>
    <t>P1111-B0026-R0336</t>
  </si>
  <si>
    <t>越秀城建·香山樾-一期-地下室--1405</t>
  </si>
  <si>
    <t>P1111-B0026-R0335</t>
  </si>
  <si>
    <t>越秀城建·香山樾-一期-地下室--1406</t>
  </si>
  <si>
    <t>P1111-B0026-R0334</t>
  </si>
  <si>
    <t>越秀城建·香山樾-一期-地下室--1407</t>
  </si>
  <si>
    <t>P1111-B0026-R0333</t>
  </si>
  <si>
    <t>越秀城建·香山樾-一期-地下室--1408</t>
  </si>
  <si>
    <t>P1111-B0026-R0332</t>
  </si>
  <si>
    <t>越秀城建·香山樾-一期-地下室--1409</t>
  </si>
  <si>
    <t>P1111-B0026-R0331</t>
  </si>
  <si>
    <t>越秀城建·香山樾-一期-地下室--1413</t>
  </si>
  <si>
    <t>P1111-B0026-R0327</t>
  </si>
  <si>
    <t>越秀城建·香山樾-一期-地下室--1414</t>
  </si>
  <si>
    <t>P1111-B0026-R0326</t>
  </si>
  <si>
    <t>越秀城建·香山樾-一期-地下室--1415</t>
  </si>
  <si>
    <t>P1111-B0026-R0325</t>
  </si>
  <si>
    <t>越秀城建·香山樾-一期-地下室--1417</t>
  </si>
  <si>
    <t>P1111-B0026-R0323</t>
  </si>
  <si>
    <t>越秀城建·香山樾-一期-地下室--1418</t>
  </si>
  <si>
    <t>P1111-B0026-R0322</t>
  </si>
  <si>
    <t>越秀城建·香山樾-一期-地下室--1419</t>
  </si>
  <si>
    <t>P1111-B0026-R0321</t>
  </si>
  <si>
    <t>越秀城建·香山樾-一期-地下室--1420</t>
  </si>
  <si>
    <t>P1111-B0026-R0320</t>
  </si>
  <si>
    <t>越秀城建·香山樾-一期-地下室--1421</t>
  </si>
  <si>
    <t>P1111-B0026-R0319</t>
  </si>
  <si>
    <t>越秀城建·香山樾-一期-地下室--1422</t>
  </si>
  <si>
    <t>P1111-B0026-R0318</t>
  </si>
  <si>
    <t>越秀城建·香山樾-一期-地下室--1423</t>
  </si>
  <si>
    <t>P1111-B0026-R0317</t>
  </si>
  <si>
    <t>越秀城建·香山樾-一期-地下室--1424</t>
  </si>
  <si>
    <t>P1111-B0026-R0316</t>
  </si>
  <si>
    <t>越秀城建·香山樾-一期-地下室--1425</t>
  </si>
  <si>
    <t>P1111-B0026-R0315</t>
  </si>
  <si>
    <t>越秀城建·香山樾-一期-地下室--1427</t>
  </si>
  <si>
    <t>P1111-B0026-R0313</t>
  </si>
  <si>
    <t>越秀城建·香山樾-一期-地下室--1432</t>
  </si>
  <si>
    <t>P1111-B0026-R0308</t>
  </si>
  <si>
    <t>越秀城建·香山樾-一期-地下室--1437</t>
  </si>
  <si>
    <t>P1111-B0026-R0303</t>
  </si>
  <si>
    <t>越秀城建·香山樾-一期-地下室--1438</t>
  </si>
  <si>
    <t>P1111-B0026-R0302</t>
  </si>
  <si>
    <t>越秀城建·香山樾-一期-地下室--1439</t>
  </si>
  <si>
    <t>P1111-B0026-R0301</t>
  </si>
  <si>
    <t>越秀城建·香山樾-一期-地下室--1440</t>
  </si>
  <si>
    <t>P1111-B0026-R0300</t>
  </si>
  <si>
    <t>越秀城建·香山樾-一期-地下室--1441</t>
  </si>
  <si>
    <t>P1111-B0026-R0299</t>
  </si>
  <si>
    <t>越秀城建·香山樾-一期-地下室--1442</t>
  </si>
  <si>
    <t>P1111-B0026-R0298</t>
  </si>
  <si>
    <t>越秀城建·香山樾-一期-地下室--1443</t>
  </si>
  <si>
    <t>P1111-B0026-R0297</t>
  </si>
  <si>
    <t>越秀城建·香山樾-一期-地下室--1444</t>
  </si>
  <si>
    <t>P1111-B0026-R0296</t>
  </si>
  <si>
    <t>越秀城建·香山樾-一期-地下室--1445</t>
  </si>
  <si>
    <t>P1111-B0026-R0295</t>
  </si>
  <si>
    <t>越秀城建·香山樾-一期-地下室--1446</t>
  </si>
  <si>
    <t>P1111-B0026-R0294</t>
  </si>
  <si>
    <t>越秀城建·香山樾-一期-地下室--1449</t>
  </si>
  <si>
    <t>P1111-B0026-R0291</t>
  </si>
  <si>
    <t>越秀城建·香山樾-一期-地下室--1450</t>
  </si>
  <si>
    <t>P1111-B0026-R0290</t>
  </si>
  <si>
    <t>越秀城建·香山樾-一期-地下室--1451</t>
  </si>
  <si>
    <t>P1111-B0026-R0289</t>
  </si>
  <si>
    <t>越秀城建·香山樾-一期-地下室--1453</t>
  </si>
  <si>
    <t>P1111-B0026-R0287</t>
  </si>
  <si>
    <t>越秀城建·香山樾-一期-地下室--1454</t>
  </si>
  <si>
    <t>P1111-B0026-R0286</t>
  </si>
  <si>
    <t>越秀城建·香山樾-一期-地下室--1459</t>
  </si>
  <si>
    <t>P1111-B0026-R0281</t>
  </si>
  <si>
    <t>越秀城建·香山樾-一期-地下室--1460</t>
  </si>
  <si>
    <t>P1111-B0026-R0280</t>
  </si>
  <si>
    <t>越秀城建·香山樾-一期-地下室--1463</t>
  </si>
  <si>
    <t>P1111-B0026-R0277</t>
  </si>
  <si>
    <t>越秀城建·香山樾-一期-地下室--1464</t>
  </si>
  <si>
    <t>P1111-B0026-R0276</t>
  </si>
  <si>
    <t>越秀城建·香山樾-一期-地下室--1465</t>
  </si>
  <si>
    <t>P1111-B0026-R0275</t>
  </si>
  <si>
    <t>越秀城建·香山樾-一期-地下室--1471</t>
  </si>
  <si>
    <t>P1111-B0026-R0269</t>
  </si>
  <si>
    <t>越秀城建·香山樾-一期-地下室--1479</t>
  </si>
  <si>
    <t>P1111-B0026-R0261</t>
  </si>
  <si>
    <t>越秀城建·香山樾-一期-地下室--1480</t>
  </si>
  <si>
    <t>P1111-B0026-R0260</t>
  </si>
  <si>
    <t>越秀城建·香山樾-一期-地下室--1482</t>
  </si>
  <si>
    <t>P1111-B0026-R0258</t>
  </si>
  <si>
    <t>越秀城建·香山樾-一期-地下室--1483</t>
  </si>
  <si>
    <t>P1111-B0026-R0257</t>
  </si>
  <si>
    <t>越秀城建·香山樾-一期-地下室--1484</t>
  </si>
  <si>
    <t>P1111-B0026-R0256</t>
  </si>
  <si>
    <t>越秀城建·香山樾-一期-地下室--1485</t>
  </si>
  <si>
    <t>P1111-B0026-R0255</t>
  </si>
  <si>
    <t>越秀城建·香山樾-一期-地下室--1487</t>
  </si>
  <si>
    <t>P1111-B0026-R0253</t>
  </si>
  <si>
    <t>越秀城建·香山樾-一期-地下室--1494</t>
  </si>
  <si>
    <t>P1111-B0026-R0246</t>
  </si>
  <si>
    <t>越秀城建·香山樾-一期-地下室--1495</t>
  </si>
  <si>
    <t>P1111-B0026-R0245</t>
  </si>
  <si>
    <t>越秀城建·香山樾-一期-地下室--1500</t>
  </si>
  <si>
    <t>P1111-B0026-R0240</t>
  </si>
  <si>
    <t>越秀城建·香山樾-一期-地下室--1501</t>
  </si>
  <si>
    <t>P1111-B0026-R0239</t>
  </si>
  <si>
    <t>越秀城建·香山樾-一期-地下室--1502</t>
  </si>
  <si>
    <t>P1111-B0026-R0238</t>
  </si>
  <si>
    <t>越秀城建·香山樾-一期-地下室--1503</t>
  </si>
  <si>
    <t>P1111-B0026-R0237</t>
  </si>
  <si>
    <t>越秀城建·香山樾-一期-地下室--1504</t>
  </si>
  <si>
    <t>P1111-B0026-R0236</t>
  </si>
  <si>
    <t>越秀城建·香山樾-一期-地下室--1505</t>
  </si>
  <si>
    <t>P1111-B0026-R0235</t>
  </si>
  <si>
    <t>越秀城建·香山樾-一期-地下室--1506</t>
  </si>
  <si>
    <t>P1111-B0026-R0234</t>
  </si>
  <si>
    <t>越秀城建·香山樾-一期-地下室--1507</t>
  </si>
  <si>
    <t>P1111-B0026-R0233</t>
  </si>
  <si>
    <t>越秀城建·香山樾-一期-地下室--1508</t>
  </si>
  <si>
    <t>P1111-B0026-R0232</t>
  </si>
  <si>
    <t>越秀城建·香山樾-一期-地下室--1509</t>
  </si>
  <si>
    <t>P1111-B0026-R0231</t>
  </si>
  <si>
    <t>越秀城建·香山樾-一期-地下室--1515</t>
  </si>
  <si>
    <t>P1111-B0026-R0225</t>
  </si>
  <si>
    <t>越秀城建·香山樾-一期-地下室--1520</t>
  </si>
  <si>
    <t>P1111-B0026-R0220</t>
  </si>
  <si>
    <t>越秀城建·香山樾-一期-地下室--1521</t>
  </si>
  <si>
    <t>P1111-B0026-R0219</t>
  </si>
  <si>
    <t>越秀城建·香山樾-一期-地下室--1523</t>
  </si>
  <si>
    <t>P1111-B0026-R0217</t>
  </si>
  <si>
    <t>越秀城建·香山樾-一期-地下室--1524</t>
  </si>
  <si>
    <t>P1111-B0026-R0216</t>
  </si>
  <si>
    <t>越秀城建·香山樾-一期-地下室--1525</t>
  </si>
  <si>
    <t>P1111-B0026-R0215</t>
  </si>
  <si>
    <t>越秀城建·香山樾-一期-地下室--1527</t>
  </si>
  <si>
    <t>P1111-B0026-R0213</t>
  </si>
  <si>
    <t>越秀城建·香山樾-一期-地下室--1530</t>
  </si>
  <si>
    <t>P1111-B0026-R0210</t>
  </si>
  <si>
    <t>越秀城建·香山樾-一期-地下室--1531</t>
  </si>
  <si>
    <t>P1111-B0026-R0209</t>
  </si>
  <si>
    <t>越秀城建·香山樾-一期-地下室--1533</t>
  </si>
  <si>
    <t>P1111-B0026-R0207</t>
  </si>
  <si>
    <t>越秀城建·香山樾-一期-地下室--1535</t>
  </si>
  <si>
    <t>P1111-B0026-R0205</t>
  </si>
  <si>
    <t>越秀城建·香山樾-一期-地下室--1537</t>
  </si>
  <si>
    <t>P1111-B0026-R0203</t>
  </si>
  <si>
    <t>越秀城建·香山樾-一期-地下室--1540</t>
  </si>
  <si>
    <t>P1111-B0026-R0200</t>
  </si>
  <si>
    <t>越秀城建·香山樾-一期-地下室--1541</t>
  </si>
  <si>
    <t>P1111-B0026-R0199</t>
  </si>
  <si>
    <t>越秀城建·香山樾-一期-地下室--1543</t>
  </si>
  <si>
    <t>P1111-B0026-R0197</t>
  </si>
  <si>
    <t>越秀城建·香山樾-一期-地下室--1544</t>
  </si>
  <si>
    <t>P1111-B0026-R0196</t>
  </si>
  <si>
    <t>越秀城建·香山樾-一期-地下室--1545</t>
  </si>
  <si>
    <t>P1111-B0026-R0195</t>
  </si>
  <si>
    <t>越秀城建·香山樾-一期-地下室--1546</t>
  </si>
  <si>
    <t>P1111-B0026-R0194</t>
  </si>
  <si>
    <t>越秀城建·香山樾-一期-地下室--1547</t>
  </si>
  <si>
    <t>P1111-B0026-R0193</t>
  </si>
  <si>
    <t>越秀城建·香山樾-一期-地下室--1548</t>
  </si>
  <si>
    <t>P1111-B0026-R0192</t>
  </si>
  <si>
    <t>越秀城建·香山樾-一期-地下室--1549</t>
  </si>
  <si>
    <t>P1111-B0026-R0191</t>
  </si>
  <si>
    <t>越秀城建·香山樾-一期-地下室--1553</t>
  </si>
  <si>
    <t>P1111-B0026-R0187</t>
  </si>
  <si>
    <t>越秀城建·香山樾-一期-地下室--1554</t>
  </si>
  <si>
    <t>P1111-B0026-R0186</t>
  </si>
  <si>
    <t>越秀城建·香山樾-一期-地下室--1555</t>
  </si>
  <si>
    <t>P1111-B0026-R0185</t>
  </si>
  <si>
    <t>越秀城建·香山樾-一期-地下室--1556</t>
  </si>
  <si>
    <t>P1111-B0026-R0184</t>
  </si>
  <si>
    <t>越秀城建·香山樾-一期-地下室--1557</t>
  </si>
  <si>
    <t>P1111-B0026-R0183</t>
  </si>
  <si>
    <t>越秀城建·香山樾-一期-地下室--1558</t>
  </si>
  <si>
    <t>P1111-B0026-R0182</t>
  </si>
  <si>
    <t>越秀城建·香山樾-一期-地下室--1559</t>
  </si>
  <si>
    <t>P1111-B0026-R0181</t>
  </si>
  <si>
    <t>越秀城建·香山樾-一期-地下室--1560</t>
  </si>
  <si>
    <t>P1111-B0026-R0180</t>
  </si>
  <si>
    <t>越秀城建·香山樾-一期-地下室--1566</t>
  </si>
  <si>
    <t>P1111-B0026-R0174</t>
  </si>
  <si>
    <t>越秀城建·香山樾-一期-地下室--1568</t>
  </si>
  <si>
    <t>P1111-B0026-R0172</t>
  </si>
  <si>
    <t>越秀城建·香山樾-一期-地下室--1569</t>
  </si>
  <si>
    <t>P1111-B0026-R0171</t>
  </si>
  <si>
    <t>越秀城建·香山樾-一期-地下室--1574</t>
  </si>
  <si>
    <t>P1111-B0026-R0166</t>
  </si>
  <si>
    <t>越秀城建·香山樾-一期-地下室--1575</t>
  </si>
  <si>
    <t>P1111-B0026-R0165</t>
  </si>
  <si>
    <t>越秀城建·香山樾-一期-地下室--1576</t>
  </si>
  <si>
    <t>P1111-B0026-R0164</t>
  </si>
  <si>
    <t>越秀城建·香山樾-一期-地下室--1577</t>
  </si>
  <si>
    <t>P1111-B0026-R0163</t>
  </si>
  <si>
    <t>越秀城建·香山樾-一期-地下室--1578</t>
  </si>
  <si>
    <t>P1111-B0026-R0162</t>
  </si>
  <si>
    <t>越秀城建·香山樾-一期-地下室--1580</t>
  </si>
  <si>
    <t>P1111-B0026-R0160</t>
  </si>
  <si>
    <t>越秀城建·香山樾-一期-地下室--1581</t>
  </si>
  <si>
    <t>P1111-B0026-R0159</t>
  </si>
  <si>
    <t>越秀城建·香山樾-一期-地下室--1582</t>
  </si>
  <si>
    <t>P1111-B0026-R0158</t>
  </si>
  <si>
    <t>越秀城建·香山樾-一期-地下室--1584</t>
  </si>
  <si>
    <t>P1111-B0026-R0156</t>
  </si>
  <si>
    <t>越秀城建·香山樾-一期-地下室--1586</t>
  </si>
  <si>
    <t>P1111-B0026-R0154</t>
  </si>
  <si>
    <t>越秀城建·香山樾-一期-地下室--1587</t>
  </si>
  <si>
    <t>P1111-B0026-R0153</t>
  </si>
  <si>
    <t>越秀城建·香山樾-一期-地下室--1589</t>
  </si>
  <si>
    <t>P1111-B0026-R0151</t>
  </si>
  <si>
    <t>越秀城建·香山樾-一期-地下室--1590</t>
  </si>
  <si>
    <t>P1111-B0026-R0150</t>
  </si>
  <si>
    <t>越秀城建·香山樾-一期-地下室--1591</t>
  </si>
  <si>
    <t>P1111-B0026-R0149</t>
  </si>
  <si>
    <t>越秀城建·香山樾-一期-地下室--1592</t>
  </si>
  <si>
    <t>P1111-B0026-R0148</t>
  </si>
  <si>
    <t>越秀城建·香山樾-一期-地下室--1593</t>
  </si>
  <si>
    <t>P1111-B0026-R0147</t>
  </si>
  <si>
    <t>越秀城建·香山樾-一期-地下室--1594</t>
  </si>
  <si>
    <t>P1111-B0026-R0146</t>
  </si>
  <si>
    <t>越秀城建·香山樾-一期-地下室--1595</t>
  </si>
  <si>
    <t>P1111-B0026-R0145</t>
  </si>
  <si>
    <t>越秀城建·香山樾-一期-地下室--1596</t>
  </si>
  <si>
    <t>P1111-B0026-R0144</t>
  </si>
  <si>
    <t>越秀城建·香山樾-一期-地下室--1597</t>
  </si>
  <si>
    <t>P1111-B0026-R0143</t>
  </si>
  <si>
    <t>越秀城建·香山樾-一期-地下室--1603</t>
  </si>
  <si>
    <t>P1111-B0026-R0137</t>
  </si>
  <si>
    <t>越秀城建·香山樾-一期-地下室--1604</t>
  </si>
  <si>
    <t>P1111-B0026-R0136</t>
  </si>
  <si>
    <t>越秀城建·香山樾-一期-地下室--1605</t>
  </si>
  <si>
    <t>P1111-B0026-R0135</t>
  </si>
  <si>
    <t>越秀城建·香山樾-一期-地下室--1606</t>
  </si>
  <si>
    <t>P1111-B0026-R0134</t>
  </si>
  <si>
    <t>越秀城建·香山樾-一期-地下室--1607</t>
  </si>
  <si>
    <t>P1111-B0026-R0133</t>
  </si>
  <si>
    <t>越秀城建·香山樾-一期-地下室--1608</t>
  </si>
  <si>
    <t>P1111-B0026-R0132</t>
  </si>
  <si>
    <t>越秀城建·香山樾-一期-地下室--1609</t>
  </si>
  <si>
    <t>P1111-B0026-R0131</t>
  </si>
  <si>
    <t>越秀城建·香山樾-一期-地下室--1610</t>
  </si>
  <si>
    <t>P1111-B0026-R0130</t>
  </si>
  <si>
    <t>越秀城建·香山樾-一期-地下室--1611</t>
  </si>
  <si>
    <t>P1111-B0026-R0129</t>
  </si>
  <si>
    <t>越秀城建·香山樾-一期-地下室--1612</t>
  </si>
  <si>
    <t>P1111-B0026-R0128</t>
  </si>
  <si>
    <t>越秀城建·香山樾-一期-地下室--1613</t>
  </si>
  <si>
    <t>P1111-B0026-R0127</t>
  </si>
  <si>
    <t>越秀城建·香山樾-一期-地下室--1614</t>
  </si>
  <si>
    <t>P1111-B0026-R0126</t>
  </si>
  <si>
    <t>越秀城建·香山樾-一期-地下室--1615</t>
  </si>
  <si>
    <t>P1111-B0026-R0125</t>
  </si>
  <si>
    <t>越秀城建·香山樾-一期-地下室--1616</t>
  </si>
  <si>
    <t>P1111-B0026-R0124</t>
  </si>
  <si>
    <t>越秀城建·香山樾-一期-地下室--1617</t>
  </si>
  <si>
    <t>P1111-B0026-R0123</t>
  </si>
  <si>
    <t>越秀城建·香山樾-一期-地下室--1618</t>
  </si>
  <si>
    <t>P1111-B0026-R0122</t>
  </si>
  <si>
    <t>越秀城建·香山樾-一期-地下室--1619</t>
  </si>
  <si>
    <t>P1111-B0026-R0121</t>
  </si>
  <si>
    <t>越秀城建·香山樾-一期-地下室--1620</t>
  </si>
  <si>
    <t>P1111-B0026-R0120</t>
  </si>
  <si>
    <t>越秀城建·香山樾-一期-地下室--1621</t>
  </si>
  <si>
    <t>P1111-B0026-R0119</t>
  </si>
  <si>
    <t>越秀城建·香山樾-一期-地下室--1622</t>
  </si>
  <si>
    <t>P1111-B0026-R0118</t>
  </si>
  <si>
    <t>越秀城建·香山樾-一期-地下室--1623</t>
  </si>
  <si>
    <t>P1111-B0026-R0117</t>
  </si>
  <si>
    <t>越秀城建·香山樾-一期-地下室--1624</t>
  </si>
  <si>
    <t>P1111-B0026-R0116</t>
  </si>
  <si>
    <t>越秀城建·香山樾-一期-地下室--1625</t>
  </si>
  <si>
    <t>P1111-B0026-R0115</t>
  </si>
  <si>
    <t>越秀城建·香山樾-一期-地下室--1626</t>
  </si>
  <si>
    <t>P1111-B0026-R0114</t>
  </si>
  <si>
    <t>越秀城建·香山樾-一期-地下室--1628</t>
  </si>
  <si>
    <t>P1111-B0026-R0112</t>
  </si>
  <si>
    <t>越秀城建·香山樾-一期-地下室--1630</t>
  </si>
  <si>
    <t>P1111-B0026-R0110</t>
  </si>
  <si>
    <t>越秀城建·香山樾-一期-地下室--1632</t>
  </si>
  <si>
    <t>P1111-B0026-R0108</t>
  </si>
  <si>
    <t>越秀城建·香山樾-一期-地下室--1633</t>
  </si>
  <si>
    <t>P1111-B0026-R0107</t>
  </si>
  <si>
    <t>越秀城建·香山樾-一期-地下室--1635</t>
  </si>
  <si>
    <t>P1111-B0026-R0105</t>
  </si>
  <si>
    <t>越秀城建·香山樾-一期-地下室--1637</t>
  </si>
  <si>
    <t>P1111-B0026-R0103</t>
  </si>
  <si>
    <t>越秀城建·香山樾-一期-地下室--1638</t>
  </si>
  <si>
    <t>P1111-B0026-R0102</t>
  </si>
  <si>
    <t>越秀城建·香山樾-一期-地下室--1640</t>
  </si>
  <si>
    <t>P1111-B0026-R0100</t>
  </si>
  <si>
    <t>越秀城建·香山樾-一期-地下室--1641</t>
  </si>
  <si>
    <t>P1111-B0026-R0099</t>
  </si>
  <si>
    <t>越秀城建·香山樾-一期-地下室--1648</t>
  </si>
  <si>
    <t>P1111-B0026-R0092</t>
  </si>
  <si>
    <t>越秀城建·香山樾-一期-地下室--1663</t>
  </si>
  <si>
    <t>P1111-B0026-R0077</t>
  </si>
  <si>
    <t>越秀城建·香山樾-一期-地下室--1664</t>
  </si>
  <si>
    <t>P1111-B0026-R0076</t>
  </si>
  <si>
    <t>越秀城建·香山樾-一期-地下室--1665</t>
  </si>
  <si>
    <t>P1111-B0026-R0075</t>
  </si>
  <si>
    <t>越秀城建·香山樾-一期-地下室--1666</t>
  </si>
  <si>
    <t>P1111-B0026-R0074</t>
  </si>
  <si>
    <t>越秀城建·香山樾-一期-地下室--1667</t>
  </si>
  <si>
    <t>P1111-B0026-R0073</t>
  </si>
  <si>
    <t>越秀城建·香山樾-一期-地下室--1668</t>
  </si>
  <si>
    <t>P1111-B0026-R0072</t>
  </si>
  <si>
    <t>越秀城建·香山樾-一期-地下室--1669</t>
  </si>
  <si>
    <t>P1111-B0026-R0071</t>
  </si>
  <si>
    <t>越秀城建·香山樾-一期-地下室--1671</t>
  </si>
  <si>
    <t>P1111-B0026-R0069</t>
  </si>
  <si>
    <t>越秀城建·香山樾-一期-地下室--1672</t>
  </si>
  <si>
    <t>P1111-B0026-R0068</t>
  </si>
  <si>
    <t>越秀城建·香山樾-一期-地下室--1674</t>
  </si>
  <si>
    <t>P1111-B0026-R0066</t>
  </si>
  <si>
    <t>越秀城建·香山樾-一期-地下室--1675</t>
  </si>
  <si>
    <t>P1111-B0026-R0065</t>
  </si>
  <si>
    <t>越秀城建·香山樾-一期-地下室--1677</t>
  </si>
  <si>
    <t>P1111-B0026-R0063</t>
  </si>
  <si>
    <t>越秀城建·香山樾-一期-地下室--1678</t>
  </si>
  <si>
    <t>P1111-B0026-R0062</t>
  </si>
  <si>
    <t>越秀城建·香山樾-一期-地下室--1682</t>
  </si>
  <si>
    <t>P1111-B0026-R0058</t>
  </si>
  <si>
    <t>越秀城建·香山樾-一期-地下室--1683</t>
  </si>
  <si>
    <t>P1111-B0026-R0057</t>
  </si>
  <si>
    <t>越秀城建·香山樾-一期-地下室--1684</t>
  </si>
  <si>
    <t>P1111-B0026-R0056</t>
  </si>
  <si>
    <t>越秀城建·香山樾-一期-地下室--1688</t>
  </si>
  <si>
    <t>P1111-B0026-R0052</t>
  </si>
  <si>
    <t>越秀城建·香山樾-一期-地下室--1689</t>
  </si>
  <si>
    <t>P1111-B0026-R0051</t>
  </si>
  <si>
    <t>越秀城建·香山樾-一期-地下室--1690</t>
  </si>
  <si>
    <t>P1111-B0026-R0050</t>
  </si>
  <si>
    <t>越秀城建·香山樾-一期-地下室--1692</t>
  </si>
  <si>
    <t>P1111-B0026-R0048</t>
  </si>
  <si>
    <t>越秀城建·香山樾-一期-地下室--1693</t>
  </si>
  <si>
    <t>P1111-B0026-R0047</t>
  </si>
  <si>
    <t>越秀城建·香山樾-一期-地下室--1694</t>
  </si>
  <si>
    <t>P1111-B0026-R0046</t>
  </si>
  <si>
    <t>越秀城建·香山樾-一期-地下室--1696</t>
  </si>
  <si>
    <t>P1111-B0026-R0044</t>
  </si>
  <si>
    <t>越秀城建·香山樾-一期-地下室--1697</t>
  </si>
  <si>
    <t>P1111-B0026-R0043</t>
  </si>
  <si>
    <t>越秀城建·香山樾-一期-地下室--1699</t>
  </si>
  <si>
    <t>P1111-B0026-R0041</t>
  </si>
  <si>
    <t>越秀城建·香山樾-一期-地下室--1700</t>
  </si>
  <si>
    <t>P1111-B0026-R0040</t>
  </si>
  <si>
    <t>越秀城建·香山樾-一期-地下室--1703</t>
  </si>
  <si>
    <t>P1111-B0026-R0037</t>
  </si>
  <si>
    <t>越秀城建·香山樾-一期-地下室--1704</t>
  </si>
  <si>
    <t>P1111-B0026-R0036</t>
  </si>
  <si>
    <t>越秀城建·香山樾-一期-地下室--1705</t>
  </si>
  <si>
    <t>P1111-B0026-R0035</t>
  </si>
  <si>
    <t>越秀城建·香山樾-一期-地下室--1706</t>
  </si>
  <si>
    <t>P1111-B0026-R0034</t>
  </si>
  <si>
    <t>越秀城建·香山樾-一期-地下室--1707</t>
  </si>
  <si>
    <t>P1111-B0026-R0033</t>
  </si>
  <si>
    <t>越秀城建·香山樾-一期-地下室--1708</t>
  </si>
  <si>
    <t>P1111-B0026-R0032</t>
  </si>
  <si>
    <t>越秀城建·香山樾-一期-地下室--1709</t>
  </si>
  <si>
    <t>P1111-B0026-R0031</t>
  </si>
  <si>
    <t>抵押</t>
  </si>
  <si>
    <t>房地产抵押价值</t>
  </si>
  <si>
    <t>北京市</t>
  </si>
  <si>
    <t>企业</t>
  </si>
  <si>
    <t>是</t>
  </si>
  <si>
    <t>地下仓储</t>
  </si>
  <si>
    <t>地下车库</t>
  </si>
  <si>
    <t>地上</t>
  </si>
  <si>
    <t>地下</t>
  </si>
  <si>
    <t>工程进度</t>
  </si>
  <si>
    <t>未包含在土地购买价格中</t>
  </si>
  <si>
    <t>全部缴纳</t>
  </si>
  <si>
    <t>已包含在土地取得成本中</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</si>
  <si>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</si>
  <si>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</si>
  <si>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</si>
  <si>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</si>
  <si>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</si>
  <si>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</si>
  <si>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</si>
  <si>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</si>
  <si>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</si>
  <si>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</si>
  <si>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</si>
  <si>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</si>
  <si>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</si>
  <si>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成交价(万元)</t>
  </si>
  <si>
    <t>成交楼面价(元/㎡)</t>
  </si>
  <si>
    <t>溢价率(%)</t>
  </si>
  <si>
    <t>北京市海淀区树村资金平衡用地统筹项目HD00-0705-0035-1地块R2二类居住用地</t>
  </si>
  <si>
    <t>京土储挂(海)[2025]009号</t>
  </si>
  <si>
    <t>住宅用地</t>
  </si>
  <si>
    <t>1.60</t>
  </si>
  <si>
    <t>挂牌</t>
  </si>
  <si>
    <t>R2二类居住用地</t>
  </si>
  <si>
    <t/>
  </si>
  <si>
    <t>2025-03-18</t>
  </si>
  <si>
    <t>已成交</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</si>
  <si>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</si>
  <si>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</si>
  <si>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</si>
  <si>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</si>
  <si>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</si>
  <si>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</si>
  <si>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</si>
  <si>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</si>
  <si>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</si>
  <si>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</si>
  <si>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</si>
  <si>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</si>
  <si>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</si>
  <si>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</si>
  <si>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</si>
  <si>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</si>
  <si>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</si>
  <si>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</si>
  <si>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</si>
  <si>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</si>
  <si>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</si>
  <si>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0120、0162:2.0,0132:1.7</t>
  </si>
  <si>
    <t>二类城镇住宅用地、零售商业用地</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</si>
  <si>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</si>
  <si>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</si>
  <si>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</si>
  <si>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</si>
  <si>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0055:2.5,0058:2.2,0064:3,0072:2.2</t>
  </si>
  <si>
    <t>二类城镇住宅用地、商业服务业用地/地面公共交通场站用地</t>
  </si>
  <si>
    <t>2024-06-04</t>
  </si>
  <si>
    <t>北京华大基业房地产开发有限责任公司</t>
  </si>
  <si>
    <t>北京市海淀区海淀北部中关村翠湖科技园B地块土地一级开发项目HD00-0305-0024地块二类城镇住宅用地</t>
  </si>
  <si>
    <t>京土储挂(海)[2024]003号</t>
  </si>
  <si>
    <t>1.80</t>
  </si>
  <si>
    <t>城镇住宅-普通商品住房用地</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</si>
  <si>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</si>
  <si>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</si>
  <si>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</si>
  <si>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</si>
  <si>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</si>
  <si>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</si>
  <si>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</si>
  <si>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</si>
  <si>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</si>
  <si>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</si>
  <si>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</si>
  <si>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</si>
  <si>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hd00-0403-0015容积率2.4、hd00-0403-0015容积率0.8</t>
  </si>
  <si>
    <t>R2二类居住用地、A33基础教育用地</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</si>
  <si>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</si>
  <si>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</si>
  <si>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</si>
  <si>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</si>
  <si>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</si>
  <si>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</si>
  <si>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</si>
  <si>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0018地块容积率2.2、0018地块容积率2.4</t>
  </si>
  <si>
    <t>R2二类居住用地、F3其他类多功能用地</t>
  </si>
  <si>
    <t>北京华大基业房地产开发有限责任公司 、中建壹品投资发展有限公司</t>
  </si>
  <si>
    <t>北京市海淀区树村资金平衡用地统筹项目HD00-0705-0035-1地块R2二类居住用地</t>
    <phoneticPr fontId="3" type="noConversion"/>
  </si>
  <si>
    <t>北京市海淀区东升镇北部片区朱房四街棚户区改造项目二期(剩余用地)HD00-0803-0029地块R2二类居住用地</t>
    <phoneticPr fontId="3" type="noConversion"/>
  </si>
  <si>
    <t>北京市海淀区东升镇北部片区朱房四街棚户区改造项目二期(剩余用地)HD00-0803-0030地块R2二类居住用地</t>
    <phoneticPr fontId="3" type="noConversion"/>
  </si>
  <si>
    <t>正常</t>
  </si>
  <si>
    <t>无</t>
  </si>
  <si>
    <t>较好</t>
  </si>
  <si>
    <t>七通</t>
  </si>
  <si>
    <t>规则</t>
  </si>
  <si>
    <t>六通</t>
  </si>
  <si>
    <t>一般</t>
  </si>
  <si>
    <t>限价</t>
    <phoneticPr fontId="30" type="noConversion"/>
  </si>
  <si>
    <t>住宅</t>
    <phoneticPr fontId="30" type="noConversion"/>
  </si>
  <si>
    <t>较不规则</t>
  </si>
  <si>
    <t>住宅</t>
    <phoneticPr fontId="30" type="noConversion"/>
  </si>
  <si>
    <t>较规则</t>
  </si>
  <si>
    <t>不规则</t>
  </si>
  <si>
    <t>五通</t>
  </si>
  <si>
    <t>成本法</t>
  </si>
  <si>
    <t>假设开发法</t>
  </si>
  <si>
    <t>总价</t>
  </si>
  <si>
    <t>印香山</t>
  </si>
  <si>
    <t>和樾玉鸣</t>
    <phoneticPr fontId="3" type="noConversion"/>
  </si>
  <si>
    <t>和樾望雲</t>
    <phoneticPr fontId="3" type="noConversion"/>
  </si>
  <si>
    <t>项目模式</t>
  </si>
  <si>
    <t>售价</t>
  </si>
  <si>
    <t>60-70</t>
    <phoneticPr fontId="3" type="noConversion"/>
  </si>
  <si>
    <t>多层</t>
  </si>
  <si>
    <t>钢混</t>
    <phoneticPr fontId="3" type="noConversion"/>
  </si>
  <si>
    <t>精装修</t>
    <phoneticPr fontId="3" type="noConversion"/>
  </si>
  <si>
    <t>专业物业管理</t>
    <phoneticPr fontId="3" type="noConversion"/>
  </si>
  <si>
    <t>多层、小高层</t>
    <phoneticPr fontId="3" type="noConversion"/>
  </si>
  <si>
    <t>住宅</t>
    <phoneticPr fontId="24" type="noConversion"/>
  </si>
  <si>
    <t>多层</t>
    <phoneticPr fontId="3" type="noConversion"/>
  </si>
  <si>
    <t>元/车位</t>
  </si>
  <si>
    <t>融创香山壹号院</t>
    <phoneticPr fontId="3" type="noConversion"/>
  </si>
  <si>
    <t>学府树壹号院</t>
    <phoneticPr fontId="3" type="noConversion"/>
  </si>
  <si>
    <t>山屿·西山著</t>
    <phoneticPr fontId="3" type="noConversion"/>
  </si>
  <si>
    <t>车位</t>
  </si>
  <si>
    <t>40-50</t>
    <phoneticPr fontId="3" type="noConversion"/>
  </si>
  <si>
    <t>普通车位</t>
    <phoneticPr fontId="3" type="noConversion"/>
  </si>
  <si>
    <t>精装修</t>
  </si>
  <si>
    <t>仓储</t>
    <phoneticPr fontId="31" type="noConversion"/>
  </si>
  <si>
    <t>在建</t>
  </si>
  <si>
    <t>项目局部</t>
  </si>
  <si>
    <t>加权平均</t>
  </si>
  <si>
    <t>设备</t>
    <phoneticPr fontId="134" type="noConversion"/>
  </si>
  <si>
    <t>地下设备</t>
    <phoneticPr fontId="134" type="noConversion"/>
  </si>
  <si>
    <t>8#配电室</t>
    <phoneticPr fontId="134" type="noConversion"/>
  </si>
  <si>
    <t>18#配套楼</t>
    <phoneticPr fontId="134" type="noConversion"/>
  </si>
  <si>
    <t>23#配电室</t>
    <phoneticPr fontId="134" type="noConversion"/>
  </si>
  <si>
    <t>关帝庙</t>
    <phoneticPr fontId="134" type="noConversion"/>
  </si>
  <si>
    <t>配电室</t>
    <phoneticPr fontId="134" type="noConversion"/>
  </si>
  <si>
    <t>物业</t>
    <phoneticPr fontId="134" type="noConversion"/>
  </si>
  <si>
    <t>地上</t>
    <phoneticPr fontId="134" type="noConversion"/>
  </si>
  <si>
    <t>地下</t>
    <phoneticPr fontId="134" type="noConversion"/>
  </si>
  <si>
    <t>商服</t>
    <phoneticPr fontId="134" type="noConversion"/>
  </si>
  <si>
    <t>咖啡</t>
    <phoneticPr fontId="134" type="noConversion"/>
  </si>
  <si>
    <t>图书馆</t>
    <phoneticPr fontId="134" type="noConversion"/>
  </si>
  <si>
    <t>健身房</t>
    <phoneticPr fontId="134" type="noConversion"/>
  </si>
  <si>
    <t>自行车库</t>
    <phoneticPr fontId="134" type="noConversion"/>
  </si>
  <si>
    <t>七通</t>
    <phoneticPr fontId="24" type="noConversion"/>
  </si>
  <si>
    <t>六通</t>
    <phoneticPr fontId="24" type="noConversion"/>
  </si>
  <si>
    <t>高档</t>
  </si>
  <si>
    <t>高档</t>
    <phoneticPr fontId="24" type="noConversion"/>
  </si>
  <si>
    <t>中高档</t>
    <phoneticPr fontId="24" type="noConversion"/>
  </si>
  <si>
    <t>中高档</t>
    <phoneticPr fontId="24" type="noConversion"/>
  </si>
  <si>
    <t>建筑形式</t>
    <phoneticPr fontId="31" type="noConversion"/>
  </si>
  <si>
    <t>下跃</t>
    <phoneticPr fontId="31" type="noConversion"/>
  </si>
  <si>
    <t>普通仓储</t>
    <phoneticPr fontId="31" type="noConversion"/>
  </si>
  <si>
    <t>情况3</t>
  </si>
  <si>
    <t>自行开发建设</t>
  </si>
  <si>
    <t>非个人房产</t>
  </si>
  <si>
    <t>出让金+开发费</t>
  </si>
  <si>
    <t>地下仓储</t>
    <phoneticPr fontId="134" type="noConversion"/>
  </si>
  <si>
    <t>地下车库</t>
    <phoneticPr fontId="134" type="noConversion"/>
  </si>
  <si>
    <t>合同</t>
    <phoneticPr fontId="134" type="noConversion"/>
  </si>
  <si>
    <t>测绘</t>
    <phoneticPr fontId="134" type="noConversion"/>
  </si>
  <si>
    <t>超出面积</t>
    <phoneticPr fontId="134" type="noConversion"/>
  </si>
  <si>
    <t>单价</t>
    <phoneticPr fontId="134" type="noConversion"/>
  </si>
  <si>
    <t>总价</t>
    <phoneticPr fontId="134" type="noConversion"/>
  </si>
  <si>
    <t>建筑面积</t>
    <phoneticPr fontId="134" type="noConversion"/>
  </si>
  <si>
    <r>
      <rPr>
        <sz val="8"/>
        <rFont val="宋体"/>
        <family val="3"/>
        <charset val="134"/>
      </rPr>
      <t>序号</t>
    </r>
  </si>
  <si>
    <r>
      <rPr>
        <sz val="8"/>
        <rFont val="宋体"/>
        <family val="3"/>
        <charset val="134"/>
      </rPr>
      <t>楼栋名称</t>
    </r>
  </si>
  <si>
    <r>
      <rPr>
        <sz val="8"/>
        <rFont val="宋体"/>
        <family val="3"/>
        <charset val="134"/>
      </rPr>
      <t>单元号</t>
    </r>
  </si>
  <si>
    <r>
      <rPr>
        <sz val="8"/>
        <rFont val="宋体"/>
        <family val="3"/>
        <charset val="134"/>
      </rPr>
      <t>房间号</t>
    </r>
  </si>
  <si>
    <r>
      <rPr>
        <sz val="8"/>
        <rFont val="宋体"/>
        <family val="3"/>
        <charset val="134"/>
      </rPr>
      <t>房屋用途</t>
    </r>
  </si>
  <si>
    <r>
      <rPr>
        <sz val="8"/>
        <rFont val="宋体"/>
        <family val="3"/>
        <charset val="134"/>
      </rPr>
      <t>建筑面积</t>
    </r>
  </si>
  <si>
    <r>
      <rPr>
        <sz val="8"/>
        <rFont val="宋体"/>
        <family val="3"/>
        <charset val="134"/>
      </rPr>
      <t>抵押土地分摊面积</t>
    </r>
  </si>
  <si>
    <r>
      <rPr>
        <sz val="8"/>
        <rFont val="宋体"/>
        <family val="3"/>
        <charset val="134"/>
      </rPr>
      <t>1#</t>
    </r>
  </si>
  <si>
    <r>
      <rPr>
        <sz val="8"/>
        <rFont val="宋体"/>
        <family val="3"/>
        <charset val="134"/>
      </rPr>
      <t>1单元</t>
    </r>
  </si>
  <si>
    <r>
      <rPr>
        <sz val="8"/>
        <rFont val="宋体"/>
        <family val="3"/>
        <charset val="134"/>
      </rPr>
      <t>住宅</t>
    </r>
  </si>
  <si>
    <r>
      <rPr>
        <sz val="8"/>
        <rFont val="宋体"/>
        <family val="3"/>
        <charset val="134"/>
      </rPr>
      <t>2单元</t>
    </r>
  </si>
  <si>
    <r>
      <rPr>
        <sz val="8"/>
        <rFont val="宋体"/>
        <family val="3"/>
        <charset val="134"/>
      </rPr>
      <t>2#</t>
    </r>
  </si>
  <si>
    <r>
      <rPr>
        <sz val="8"/>
        <rFont val="宋体"/>
        <family val="3"/>
        <charset val="134"/>
      </rPr>
      <t>3单元</t>
    </r>
  </si>
  <si>
    <r>
      <rPr>
        <sz val="8"/>
        <rFont val="宋体"/>
        <family val="3"/>
        <charset val="134"/>
      </rPr>
      <t>3#</t>
    </r>
  </si>
  <si>
    <r>
      <rPr>
        <sz val="8"/>
        <rFont val="宋体"/>
        <family val="3"/>
        <charset val="134"/>
      </rPr>
      <t>4#</t>
    </r>
  </si>
  <si>
    <r>
      <rPr>
        <sz val="8"/>
        <rFont val="宋体"/>
        <family val="3"/>
        <charset val="134"/>
      </rPr>
      <t>5#</t>
    </r>
  </si>
  <si>
    <r>
      <rPr>
        <sz val="8"/>
        <rFont val="宋体"/>
        <family val="3"/>
        <charset val="134"/>
      </rPr>
      <t>6#</t>
    </r>
  </si>
  <si>
    <r>
      <rPr>
        <sz val="8"/>
        <rFont val="宋体"/>
        <family val="3"/>
        <charset val="134"/>
      </rPr>
      <t>7#</t>
    </r>
  </si>
  <si>
    <r>
      <rPr>
        <sz val="8"/>
        <rFont val="宋体"/>
        <family val="3"/>
        <charset val="134"/>
      </rPr>
      <t>9#</t>
    </r>
  </si>
  <si>
    <r>
      <rPr>
        <sz val="8"/>
        <rFont val="宋体"/>
        <family val="3"/>
        <charset val="134"/>
      </rPr>
      <t>10#</t>
    </r>
  </si>
  <si>
    <r>
      <rPr>
        <sz val="8"/>
        <rFont val="宋体"/>
        <family val="3"/>
        <charset val="134"/>
      </rPr>
      <t>11#</t>
    </r>
  </si>
  <si>
    <r>
      <rPr>
        <sz val="8"/>
        <rFont val="宋体"/>
        <family val="3"/>
        <charset val="134"/>
      </rPr>
      <t>12#</t>
    </r>
  </si>
  <si>
    <r>
      <rPr>
        <sz val="8"/>
        <rFont val="宋体"/>
        <family val="3"/>
        <charset val="134"/>
      </rPr>
      <t>13#</t>
    </r>
  </si>
  <si>
    <r>
      <rPr>
        <sz val="8"/>
        <rFont val="宋体"/>
        <family val="3"/>
        <charset val="134"/>
      </rPr>
      <t>16#</t>
    </r>
  </si>
  <si>
    <r>
      <rPr>
        <sz val="8"/>
        <rFont val="宋体"/>
        <family val="3"/>
        <charset val="134"/>
      </rPr>
      <t>17#</t>
    </r>
  </si>
  <si>
    <r>
      <rPr>
        <sz val="8"/>
        <rFont val="宋体"/>
        <family val="3"/>
        <charset val="134"/>
      </rPr>
      <t>19#</t>
    </r>
  </si>
  <si>
    <r>
      <rPr>
        <sz val="8"/>
        <rFont val="宋体"/>
        <family val="3"/>
        <charset val="134"/>
      </rPr>
      <t>20#</t>
    </r>
  </si>
  <si>
    <r>
      <rPr>
        <sz val="8"/>
        <rFont val="宋体"/>
        <family val="3"/>
        <charset val="134"/>
      </rPr>
      <t>21#</t>
    </r>
  </si>
  <si>
    <r>
      <rPr>
        <sz val="8"/>
        <rFont val="宋体"/>
        <family val="3"/>
        <charset val="134"/>
      </rPr>
      <t>22#</t>
    </r>
  </si>
  <si>
    <r>
      <rPr>
        <sz val="8"/>
        <rFont val="宋体"/>
        <family val="3"/>
        <charset val="134"/>
      </rPr>
      <t>24#</t>
    </r>
  </si>
  <si>
    <r>
      <rPr>
        <sz val="8"/>
        <rFont val="宋体"/>
        <family val="3"/>
        <charset val="134"/>
      </rPr>
      <t>25#</t>
    </r>
  </si>
  <si>
    <r>
      <rPr>
        <sz val="8"/>
        <rFont val="宋体"/>
        <family val="3"/>
        <charset val="134"/>
      </rPr>
      <t>26#</t>
    </r>
  </si>
  <si>
    <r>
      <rPr>
        <sz val="8"/>
        <rFont val="宋体"/>
        <family val="3"/>
        <charset val="134"/>
      </rPr>
      <t>27#</t>
    </r>
  </si>
  <si>
    <r>
      <rPr>
        <sz val="8"/>
        <rFont val="宋体"/>
        <family val="3"/>
        <charset val="134"/>
      </rPr>
      <t>1#储藏室及配套公摊</t>
    </r>
  </si>
  <si>
    <r>
      <rPr>
        <sz val="8"/>
        <rFont val="宋体"/>
        <family val="3"/>
        <charset val="134"/>
      </rPr>
      <t>储藏室</t>
    </r>
  </si>
  <si>
    <r>
      <rPr>
        <sz val="8"/>
        <rFont val="宋体"/>
        <family val="3"/>
        <charset val="134"/>
      </rPr>
      <t>2#储藏室及配套公摊</t>
    </r>
  </si>
  <si>
    <r>
      <rPr>
        <sz val="8"/>
        <rFont val="宋体"/>
        <family val="3"/>
        <charset val="134"/>
      </rPr>
      <t>3#储藏室及配套公摊</t>
    </r>
  </si>
  <si>
    <r>
      <rPr>
        <sz val="8"/>
        <rFont val="宋体"/>
        <family val="3"/>
        <charset val="134"/>
      </rPr>
      <t>4#储藏室及配套公摊</t>
    </r>
  </si>
  <si>
    <r>
      <rPr>
        <sz val="8"/>
        <rFont val="宋体"/>
        <family val="3"/>
        <charset val="134"/>
      </rPr>
      <t>5#储藏室及配套公摊</t>
    </r>
  </si>
  <si>
    <r>
      <rPr>
        <sz val="8"/>
        <rFont val="宋体"/>
        <family val="3"/>
        <charset val="134"/>
      </rPr>
      <t>6#储藏室及配套公摊</t>
    </r>
  </si>
  <si>
    <r>
      <rPr>
        <sz val="8"/>
        <rFont val="宋体"/>
        <family val="3"/>
        <charset val="134"/>
      </rPr>
      <t>7#储藏室及配套公摊</t>
    </r>
  </si>
  <si>
    <r>
      <rPr>
        <sz val="8"/>
        <rFont val="宋体"/>
        <family val="3"/>
        <charset val="134"/>
      </rPr>
      <t>9#储藏室及配套公摊</t>
    </r>
  </si>
  <si>
    <r>
      <rPr>
        <sz val="8"/>
        <rFont val="宋体"/>
        <family val="3"/>
        <charset val="134"/>
      </rPr>
      <t>10#储藏室及配套公摊</t>
    </r>
  </si>
  <si>
    <r>
      <rPr>
        <sz val="8"/>
        <rFont val="宋体"/>
        <family val="3"/>
        <charset val="134"/>
      </rPr>
      <t>11#储藏室及配套公摊</t>
    </r>
  </si>
  <si>
    <r>
      <rPr>
        <sz val="8"/>
        <rFont val="宋体"/>
        <family val="3"/>
        <charset val="134"/>
      </rPr>
      <t>12#储藏室及配套公摊</t>
    </r>
  </si>
  <si>
    <r>
      <rPr>
        <sz val="8"/>
        <rFont val="宋体"/>
        <family val="3"/>
        <charset val="134"/>
      </rPr>
      <t>13#储藏室及配套公摊</t>
    </r>
  </si>
  <si>
    <r>
      <rPr>
        <sz val="8"/>
        <rFont val="宋体"/>
        <family val="3"/>
        <charset val="134"/>
      </rPr>
      <t>14#</t>
    </r>
  </si>
  <si>
    <r>
      <rPr>
        <sz val="8"/>
        <rFont val="宋体"/>
        <family val="3"/>
        <charset val="134"/>
      </rPr>
      <t>14#储藏室及配套公摊</t>
    </r>
  </si>
  <si>
    <r>
      <rPr>
        <sz val="8"/>
        <rFont val="宋体"/>
        <family val="3"/>
        <charset val="134"/>
      </rPr>
      <t>15#</t>
    </r>
  </si>
  <si>
    <r>
      <rPr>
        <sz val="8"/>
        <rFont val="宋体"/>
        <family val="3"/>
        <charset val="134"/>
      </rPr>
      <t>15#储藏室及配套公摊</t>
    </r>
  </si>
  <si>
    <r>
      <rPr>
        <sz val="8"/>
        <rFont val="宋体"/>
        <family val="3"/>
        <charset val="134"/>
      </rPr>
      <t>16#储藏室及配套公摊</t>
    </r>
  </si>
  <si>
    <r>
      <rPr>
        <sz val="8"/>
        <rFont val="宋体"/>
        <family val="3"/>
        <charset val="134"/>
      </rPr>
      <t>17#储藏室及配套公摊</t>
    </r>
  </si>
  <si>
    <r>
      <rPr>
        <sz val="8"/>
        <rFont val="宋体"/>
        <family val="3"/>
        <charset val="134"/>
      </rPr>
      <t>19#储藏室及配套公摊</t>
    </r>
  </si>
  <si>
    <r>
      <rPr>
        <sz val="8"/>
        <rFont val="宋体"/>
        <family val="3"/>
        <charset val="134"/>
      </rPr>
      <t>20#储藏室及配套公摊</t>
    </r>
  </si>
  <si>
    <r>
      <rPr>
        <sz val="8"/>
        <rFont val="宋体"/>
        <family val="3"/>
        <charset val="134"/>
      </rPr>
      <t>21#储藏室及配套公摊</t>
    </r>
  </si>
  <si>
    <r>
      <rPr>
        <sz val="8"/>
        <rFont val="宋体"/>
        <family val="3"/>
        <charset val="134"/>
      </rPr>
      <t>22#储藏室及配套公摊</t>
    </r>
  </si>
  <si>
    <r>
      <rPr>
        <sz val="8"/>
        <rFont val="宋体"/>
        <family val="3"/>
        <charset val="134"/>
      </rPr>
      <t>24#储藏室及配套公摊</t>
    </r>
  </si>
  <si>
    <r>
      <rPr>
        <sz val="8"/>
        <rFont val="宋体"/>
        <family val="3"/>
        <charset val="134"/>
      </rPr>
      <t>25#储藏室及配套公摊</t>
    </r>
  </si>
  <si>
    <r>
      <rPr>
        <sz val="8"/>
        <rFont val="宋体"/>
        <family val="3"/>
        <charset val="134"/>
      </rPr>
      <t>26#储藏室及配套公摊</t>
    </r>
  </si>
  <si>
    <r>
      <rPr>
        <sz val="8"/>
        <rFont val="宋体"/>
        <family val="3"/>
        <charset val="134"/>
      </rPr>
      <t>27#储藏室及配套公摊</t>
    </r>
  </si>
  <si>
    <r>
      <rPr>
        <sz val="8"/>
        <rFont val="宋体"/>
        <family val="3"/>
        <charset val="134"/>
      </rPr>
      <t>地下室</t>
    </r>
  </si>
  <si>
    <r>
      <rPr>
        <sz val="8"/>
        <rFont val="宋体"/>
        <family val="3"/>
        <charset val="134"/>
      </rPr>
      <t>地下车位</t>
    </r>
  </si>
  <si>
    <t>城镇住宅用地</t>
  </si>
  <si>
    <t>房间号</t>
  </si>
  <si>
    <t>房屋用途</t>
  </si>
  <si>
    <t>抵押土地
分摊面积</t>
  </si>
  <si>
    <t>1单元</t>
  </si>
  <si>
    <t>2单元</t>
  </si>
  <si>
    <t>1#储藏室及配套公摊</t>
  </si>
  <si>
    <t>3单元</t>
  </si>
  <si>
    <t>2#储藏室及配套公摊</t>
  </si>
  <si>
    <t>3#储藏室及配套公摊</t>
  </si>
  <si>
    <t>4#储藏室及配套公摊</t>
  </si>
  <si>
    <t>5#储藏室及配套公摊</t>
  </si>
  <si>
    <t>6#储藏室及配套公摊</t>
  </si>
  <si>
    <t>7#储藏室及配套公摊</t>
  </si>
  <si>
    <t>9#储藏室及配套公摊</t>
  </si>
  <si>
    <t>10#储藏室及配套公摊</t>
  </si>
  <si>
    <t>11#储藏室及配套公摊</t>
  </si>
  <si>
    <t>12#储藏室及配套公摊</t>
  </si>
  <si>
    <t>13#储藏室及配套公摊</t>
  </si>
  <si>
    <t>14#储藏室及配套公摊</t>
  </si>
  <si>
    <t>15#储藏室及配套公摊</t>
  </si>
  <si>
    <t>16#储藏室及配套公摊</t>
  </si>
  <si>
    <t>17#储藏室及配套公摊</t>
  </si>
  <si>
    <t>19#储藏室及配套公摊</t>
  </si>
  <si>
    <t>20#储藏室及配套公摊</t>
  </si>
  <si>
    <t>21#储藏室及配套公摊</t>
  </si>
  <si>
    <t>22#储藏室及配套公摊</t>
  </si>
  <si>
    <t>24#储藏室及配套公摊</t>
  </si>
  <si>
    <t>25#储藏室及配套公摊</t>
  </si>
  <si>
    <t>26#储藏室及配套公摊</t>
  </si>
  <si>
    <t>27#储藏室及配套公摊</t>
  </si>
  <si>
    <t>分摊系数</t>
  </si>
  <si>
    <t>地下室</t>
  </si>
  <si>
    <t>北京市海淀区双新村棚户区改造项目
2603-003-1地块R2二类居住用地项目（1#住宅楼等39项）
抵押部位建筑面积及抵押土地面积明细表</t>
  </si>
  <si>
    <t>备注</t>
  </si>
  <si>
    <t>合计</t>
  </si>
  <si>
    <t>成本</t>
    <phoneticPr fontId="8" type="noConversion"/>
  </si>
  <si>
    <t>假开</t>
    <phoneticPr fontId="8" type="noConversion"/>
  </si>
  <si>
    <t>权重</t>
    <phoneticPr fontId="8"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</si>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</sst>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4"/>
      <name val="宋体"/>
      <family val="3"/>
      <charset val="134"/>
      <scheme val="major"/>
    </font>
    <font>
      <sz val="10"/>
      <name val="宋体"/>
      <family val="3"/>
      <charset val="134"/>
      <scheme val="major"/>
    </font>
    <font>
      <b/>
      <sz val="10"/>
      <color rgb="FFFFFFFF"/>
      <name val="宋体"/>
      <family val="3"/>
      <charset val="134"/>
      <scheme val="major"/>
    </font>
    <font>
      <sz val="11"/>
      <color theme="1"/>
      <name val="微软雅黑"/>
      <family val="2"/>
      <charset val="134"/>
    </font>
    <font>
      <sz val="10"/>
      <color rgb="FF4D4D4D"/>
      <name val="宋体"/>
      <family val="3"/>
      <charset val="134"/>
      <scheme val="major"/>
    </font>
    <font>
      <sz val="11"/>
      <color rgb="FF000000"/>
      <name val="微软雅黑"/>
      <family val="2"/>
      <charset val="134"/>
    </font>
    <font>
      <sz val="11"/>
      <name val="微软雅黑"/>
      <family val="2"/>
      <charset val="134"/>
    </font>
    <font>
      <sz val="12"/>
      <color theme="1"/>
      <name val="宋体"/>
      <family val="2"/>
      <scheme val="minor"/>
    </font>
    <font>
      <sz val="10"/>
      <color theme="1"/>
      <name val="宋体"/>
      <family val="2"/>
      <scheme val="minor"/>
    </font>
    <font>
      <sz val="8"/>
      <name val="宋体"/>
      <family val="3"/>
      <charset val="134"/>
    </font>
    <font>
      <sz val="8"/>
      <color rgb="FF000000"/>
      <name val="宋体"/>
      <family val="2"/>
    </font>
    <font>
      <b/>
      <sz val="10.5"/>
      <color rgb="FF000000"/>
      <name val="宋体"/>
      <family val="2"/>
    </font>
    <font>
      <sz val="11"/>
      <name val="宋体"/>
      <family val="3"/>
      <charset val="134"/>
      <scheme val="minor"/>
    </font>
    <font>
      <b/>
      <sz val="20"/>
      <name val="宋体"/>
      <family val="3"/>
      <charset val="134"/>
      <scheme val="minor"/>
    </font>
    <font>
      <b/>
      <sz val="14"/>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169E1"/>
        <bgColor rgb="FF4169E1"/>
      </patternFill>
    </fill>
    <fill>
      <patternFill patternType="solid">
        <fgColor theme="5"/>
        <bgColor rgb="FF4169E1"/>
      </patternFill>
    </fill>
    <fill>
      <patternFill patternType="solid">
        <fgColor rgb="FF00B0F0"/>
        <bgColor indexed="64"/>
      </patternFill>
    </fill>
    <fill>
      <patternFill patternType="solid">
        <fgColor rgb="FFE2F1D9"/>
      </patternFill>
    </fill>
    <fill>
      <patternFill patternType="solid">
        <fgColor theme="7" tint="0.7999816888943144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0" fontId="278" fillId="0" borderId="0"/>
  </cellStyleXfs>
  <cellXfs count="36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10">
      <alignment vertical="center"/>
    </xf>
    <xf numFmtId="0" fontId="95" fillId="0" borderId="1" xfId="10" applyBorder="1" applyAlignment="1">
      <alignment horizontal="center" vertical="center"/>
    </xf>
    <xf numFmtId="0" fontId="95" fillId="0" borderId="1" xfId="10" applyBorder="1" applyAlignment="1">
      <alignment horizontal="left" vertical="center"/>
    </xf>
    <xf numFmtId="0" fontId="271" fillId="0" borderId="0" xfId="19" applyFont="1" applyAlignment="1">
      <alignment horizontal="center" vertical="center"/>
    </xf>
    <xf numFmtId="194" fontId="272" fillId="0" borderId="0" xfId="19" applyNumberFormat="1" applyFont="1" applyAlignment="1">
      <alignment horizontal="center" vertical="center"/>
    </xf>
    <xf numFmtId="0" fontId="272" fillId="0" borderId="0" xfId="19" applyFont="1" applyAlignment="1">
      <alignment horizontal="center" vertical="center"/>
    </xf>
    <xf numFmtId="0" fontId="273" fillId="22" borderId="0" xfId="19" applyFont="1" applyFill="1" applyAlignment="1">
      <alignment horizontal="center" vertical="center" wrapText="1" readingOrder="1"/>
    </xf>
    <xf numFmtId="0" fontId="273" fillId="22" borderId="176" xfId="19" applyFont="1" applyFill="1" applyBorder="1" applyAlignment="1">
      <alignment horizontal="center" vertical="center" wrapText="1" readingOrder="1"/>
    </xf>
    <xf numFmtId="0" fontId="273" fillId="22" borderId="177" xfId="19" applyFont="1" applyFill="1" applyBorder="1" applyAlignment="1">
      <alignment horizontal="center" vertical="center" wrapText="1" readingOrder="1"/>
    </xf>
    <xf numFmtId="194" fontId="273" fillId="23" borderId="177" xfId="19" applyNumberFormat="1" applyFont="1" applyFill="1" applyBorder="1" applyAlignment="1">
      <alignment horizontal="center" vertical="center" wrapText="1" readingOrder="1"/>
    </xf>
    <xf numFmtId="0" fontId="273" fillId="23" borderId="177" xfId="19" applyFont="1" applyFill="1" applyBorder="1" applyAlignment="1">
      <alignment horizontal="center" vertical="center" wrapText="1" readingOrder="1"/>
    </xf>
    <xf numFmtId="0" fontId="272" fillId="0" borderId="1" xfId="10" applyFont="1" applyBorder="1" applyAlignment="1">
      <alignment horizontal="center" vertical="center"/>
    </xf>
    <xf numFmtId="0" fontId="274" fillId="0" borderId="177" xfId="10" applyFont="1" applyBorder="1" applyAlignment="1">
      <alignment horizontal="center" vertical="center"/>
    </xf>
    <xf numFmtId="0" fontId="275" fillId="0" borderId="176" xfId="10" applyFont="1" applyBorder="1" applyAlignment="1">
      <alignment horizontal="center" vertical="top" wrapText="1" readingOrder="1"/>
    </xf>
    <xf numFmtId="0" fontId="276" fillId="0" borderId="177" xfId="10" applyFont="1" applyBorder="1" applyAlignment="1">
      <alignment horizontal="center" vertical="center"/>
    </xf>
    <xf numFmtId="0" fontId="277" fillId="0" borderId="177" xfId="10" applyFont="1" applyBorder="1" applyAlignment="1">
      <alignment horizontal="center" vertical="center"/>
    </xf>
    <xf numFmtId="0" fontId="277" fillId="0" borderId="0" xfId="10" applyFont="1" applyAlignment="1">
      <alignment horizontal="center" vertical="center"/>
    </xf>
    <xf numFmtId="194" fontId="272" fillId="0" borderId="0" xfId="10" applyNumberFormat="1" applyFont="1" applyAlignment="1">
      <alignment horizontal="center" vertical="center"/>
    </xf>
    <xf numFmtId="49" fontId="276" fillId="0" borderId="177" xfId="10" applyNumberFormat="1" applyFont="1" applyBorder="1" applyAlignment="1" applyProtection="1">
      <alignment horizontal="center"/>
      <protection locked="0"/>
    </xf>
    <xf numFmtId="0" fontId="272" fillId="0" borderId="0" xfId="19" applyFont="1" applyAlignment="1">
      <alignment horizontal="center"/>
    </xf>
    <xf numFmtId="0" fontId="275" fillId="0" borderId="177" xfId="10" applyFont="1" applyBorder="1" applyAlignment="1">
      <alignment horizontal="center" vertical="top" wrapText="1" readingOrder="1"/>
    </xf>
    <xf numFmtId="0" fontId="279" fillId="0" borderId="0" xfId="20" applyFont="1"/>
    <xf numFmtId="0" fontId="279" fillId="5" borderId="0" xfId="20" applyFont="1" applyFill="1"/>
    <xf numFmtId="0" fontId="128" fillId="0" borderId="46" xfId="0" applyFont="1" applyBorder="1" applyAlignment="1" applyProtection="1">
      <alignment horizontal="center" vertical="center" wrapText="1"/>
      <protection locked="0"/>
    </xf>
    <xf numFmtId="0" fontId="128" fillId="2" borderId="51"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2" borderId="37" xfId="0" applyFont="1" applyFill="1" applyBorder="1" applyAlignment="1" applyProtection="1">
      <alignment horizontal="center" vertical="center" wrapText="1"/>
      <protection locked="0"/>
    </xf>
    <xf numFmtId="0" fontId="95" fillId="0" borderId="1" xfId="10" applyBorder="1">
      <alignment vertical="center"/>
    </xf>
    <xf numFmtId="9" fontId="44" fillId="24" borderId="37" xfId="0" applyNumberFormat="1" applyFont="1" applyFill="1" applyBorder="1" applyAlignment="1" applyProtection="1">
      <alignment horizontal="center" vertical="center" wrapText="1"/>
      <protection locked="0"/>
    </xf>
    <xf numFmtId="10" fontId="47" fillId="7" borderId="1" xfId="1" applyNumberFormat="1" applyFont="1" applyFill="1" applyBorder="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5" borderId="14" xfId="0" applyFont="1" applyFill="1" applyBorder="1" applyAlignment="1" applyProtection="1">
      <alignment horizontal="center" vertical="center" wrapText="1"/>
      <protection locked="0"/>
    </xf>
    <xf numFmtId="2" fontId="47" fillId="0" borderId="3" xfId="0" applyNumberFormat="1" applyFont="1" applyBorder="1" applyProtection="1">
      <alignment vertical="center"/>
      <protection locked="0"/>
    </xf>
    <xf numFmtId="2" fontId="47" fillId="0" borderId="24" xfId="0" applyNumberFormat="1" applyFont="1" applyBorder="1" applyProtection="1">
      <alignment vertical="center"/>
      <protection locked="0"/>
    </xf>
    <xf numFmtId="2" fontId="160" fillId="0" borderId="13" xfId="12" applyNumberFormat="1" applyFont="1" applyBorder="1" applyAlignment="1" applyProtection="1">
      <alignment horizontal="left" vertical="center" wrapText="1"/>
      <protection locked="0"/>
    </xf>
    <xf numFmtId="2" fontId="160" fillId="6" borderId="1" xfId="12" applyNumberFormat="1" applyFont="1" applyFill="1" applyBorder="1" applyAlignment="1">
      <alignment horizontal="left" vertical="center" wrapText="1"/>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197" fontId="95" fillId="0" borderId="0" xfId="10" applyNumberFormat="1">
      <alignment vertical="center"/>
    </xf>
    <xf numFmtId="10" fontId="95" fillId="0" borderId="0" xfId="17" applyNumberFormat="1" applyFont="1">
      <alignment vertical="center"/>
    </xf>
    <xf numFmtId="0" fontId="163" fillId="0" borderId="177" xfId="0" applyFont="1" applyBorder="1" applyAlignment="1">
      <alignment horizontal="center" vertical="top" wrapText="1" readingOrder="1"/>
    </xf>
    <xf numFmtId="0" fontId="280" fillId="25" borderId="177" xfId="0" applyFont="1" applyFill="1" applyBorder="1" applyAlignment="1">
      <alignment horizontal="center" vertical="center" wrapText="1"/>
    </xf>
    <xf numFmtId="0" fontId="280" fillId="25" borderId="177" xfId="0" applyFont="1" applyFill="1" applyBorder="1" applyAlignment="1">
      <alignment horizontal="left" vertical="top" wrapText="1" indent="1"/>
    </xf>
    <xf numFmtId="0" fontId="280" fillId="0" borderId="177" xfId="0" applyFont="1" applyBorder="1" applyAlignment="1">
      <alignment horizontal="center" vertical="top" wrapText="1"/>
    </xf>
    <xf numFmtId="2" fontId="281" fillId="0" borderId="177" xfId="0" applyNumberFormat="1" applyFont="1" applyBorder="1" applyAlignment="1">
      <alignment horizontal="center" vertical="top" shrinkToFit="1"/>
    </xf>
    <xf numFmtId="2" fontId="281" fillId="0" borderId="177" xfId="0" applyNumberFormat="1" applyFont="1" applyBorder="1" applyAlignment="1">
      <alignment horizontal="right" vertical="top" indent="1" shrinkToFit="1"/>
    </xf>
    <xf numFmtId="2" fontId="281" fillId="0" borderId="177" xfId="0" applyNumberFormat="1" applyFont="1" applyBorder="1" applyAlignment="1">
      <alignment horizontal="right" vertical="top" indent="2" shrinkToFit="1"/>
    </xf>
    <xf numFmtId="2" fontId="281" fillId="0" borderId="177" xfId="0" applyNumberFormat="1" applyFont="1" applyBorder="1" applyAlignment="1">
      <alignment horizontal="left" vertical="top" indent="2" shrinkToFit="1"/>
    </xf>
    <xf numFmtId="2" fontId="0" fillId="0" borderId="0" xfId="0" applyNumberFormat="1">
      <alignment vertical="center"/>
    </xf>
    <xf numFmtId="1" fontId="163" fillId="0" borderId="177" xfId="0" applyNumberFormat="1" applyFont="1" applyBorder="1" applyAlignment="1">
      <alignment horizontal="center" vertical="top" wrapText="1" readingOrder="1"/>
    </xf>
    <xf numFmtId="1" fontId="47" fillId="0" borderId="23" xfId="0" applyNumberFormat="1" applyFont="1" applyBorder="1" applyAlignment="1" applyProtection="1">
      <alignment horizontal="center" vertical="center"/>
      <protection locked="0"/>
    </xf>
    <xf numFmtId="2" fontId="281" fillId="0" borderId="177" xfId="0" applyNumberFormat="1" applyFont="1" applyBorder="1" applyAlignment="1">
      <alignment horizontal="left" vertical="top" indent="1" shrinkToFit="1"/>
    </xf>
    <xf numFmtId="2" fontId="282" fillId="0" borderId="177" xfId="0" applyNumberFormat="1" applyFont="1" applyBorder="1" applyAlignment="1">
      <alignment horizontal="center" vertical="top" shrinkToFit="1"/>
    </xf>
    <xf numFmtId="2" fontId="44" fillId="6" borderId="1" xfId="0" applyNumberFormat="1" applyFont="1" applyFill="1" applyBorder="1">
      <alignment vertical="center"/>
    </xf>
    <xf numFmtId="179" fontId="0" fillId="0" borderId="0" xfId="0" applyNumberFormat="1">
      <alignment vertical="center"/>
    </xf>
    <xf numFmtId="0" fontId="283" fillId="26" borderId="6" xfId="0" applyFont="1" applyFill="1" applyBorder="1" applyAlignment="1">
      <alignment horizontal="center" vertical="center"/>
    </xf>
    <xf numFmtId="0" fontId="283" fillId="26" borderId="9" xfId="0" applyFont="1" applyFill="1" applyBorder="1" applyAlignment="1">
      <alignment horizontal="center" vertical="center"/>
    </xf>
    <xf numFmtId="0" fontId="283" fillId="26" borderId="9" xfId="0" applyFont="1" applyFill="1" applyBorder="1" applyAlignment="1">
      <alignment horizontal="center" vertical="center" wrapText="1"/>
    </xf>
    <xf numFmtId="0" fontId="283" fillId="0" borderId="23" xfId="0" applyFont="1" applyBorder="1" applyAlignment="1">
      <alignment horizontal="center" vertical="center"/>
    </xf>
    <xf numFmtId="0" fontId="283" fillId="0" borderId="1" xfId="0" applyFont="1" applyBorder="1" applyAlignment="1">
      <alignment horizontal="center" vertical="center"/>
    </xf>
    <xf numFmtId="179" fontId="283" fillId="0" borderId="1" xfId="0" applyNumberFormat="1" applyFont="1" applyBorder="1" applyAlignment="1">
      <alignment horizontal="center" vertical="center"/>
    </xf>
    <xf numFmtId="2" fontId="283" fillId="26" borderId="9" xfId="0" applyNumberFormat="1" applyFont="1" applyFill="1" applyBorder="1" applyAlignment="1">
      <alignment horizontal="center" vertical="center" wrapText="1"/>
    </xf>
    <xf numFmtId="0" fontId="283" fillId="26" borderId="10" xfId="0" applyFont="1" applyFill="1" applyBorder="1" applyAlignment="1">
      <alignment horizontal="center" vertical="center"/>
    </xf>
    <xf numFmtId="0" fontId="283" fillId="0" borderId="24" xfId="0" applyFont="1" applyBorder="1" applyAlignment="1">
      <alignment horizontal="center" vertical="center"/>
    </xf>
    <xf numFmtId="179" fontId="285" fillId="0" borderId="32" xfId="0" applyNumberFormat="1" applyFont="1" applyBorder="1" applyAlignment="1">
      <alignment horizontal="center" vertical="center"/>
    </xf>
    <xf numFmtId="0" fontId="285" fillId="0" borderId="49" xfId="0" applyFont="1" applyBorder="1" applyAlignment="1">
      <alignment horizontal="center" vertical="center"/>
    </xf>
    <xf numFmtId="2" fontId="285" fillId="0" borderId="32" xfId="0" applyNumberFormat="1" applyFont="1" applyBorder="1" applyAlignment="1">
      <alignment horizontal="center" vertical="center"/>
    </xf>
    <xf numFmtId="177" fontId="57" fillId="6" borderId="2" xfId="0" applyNumberFormat="1" applyFont="1" applyFill="1" applyBorder="1" applyAlignment="1">
      <alignment horizontal="right" vertical="center"/>
    </xf>
    <xf numFmtId="179" fontId="95" fillId="0" borderId="0" xfId="10" applyNumberFormat="1">
      <alignment vertical="center"/>
    </xf>
    <xf numFmtId="0" fontId="77" fillId="6"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2" fontId="281" fillId="0" borderId="178" xfId="0" applyNumberFormat="1" applyFont="1" applyBorder="1" applyAlignment="1">
      <alignment horizontal="center" vertical="top" shrinkToFit="1"/>
    </xf>
    <xf numFmtId="2" fontId="281" fillId="0" borderId="176" xfId="0" applyNumberFormat="1" applyFont="1" applyBorder="1" applyAlignment="1">
      <alignment horizontal="center" vertical="top" shrinkToFit="1"/>
    </xf>
    <xf numFmtId="0" fontId="280" fillId="25" borderId="178" xfId="0" applyFont="1" applyFill="1" applyBorder="1" applyAlignment="1">
      <alignment horizontal="center" vertical="center" wrapText="1"/>
    </xf>
    <xf numFmtId="0" fontId="280" fillId="25" borderId="176" xfId="0" applyFont="1" applyFill="1" applyBorder="1" applyAlignment="1">
      <alignment horizontal="center" vertical="center" wrapText="1"/>
    </xf>
    <xf numFmtId="0" fontId="284" fillId="0" borderId="0" xfId="0" applyFont="1" applyAlignment="1">
      <alignment horizontal="center" vertical="center" wrapText="1"/>
    </xf>
    <xf numFmtId="0" fontId="284" fillId="0" borderId="0" xfId="0" applyFont="1" applyAlignment="1">
      <alignment horizontal="center" vertical="center"/>
    </xf>
    <xf numFmtId="0" fontId="285" fillId="0" borderId="38" xfId="0" applyFont="1" applyBorder="1" applyAlignment="1">
      <alignment horizontal="center" vertical="center"/>
    </xf>
    <xf numFmtId="0" fontId="285" fillId="0" borderId="52" xfId="0" applyFont="1" applyBorder="1" applyAlignment="1">
      <alignment horizontal="center" vertical="center"/>
    </xf>
    <xf numFmtId="0" fontId="285" fillId="0" borderId="66" xfId="0" applyFont="1" applyBorder="1" applyAlignment="1">
      <alignment horizontal="center" vertical="center"/>
    </xf>
    <xf numFmtId="196" fontId="281" fillId="0" borderId="178" xfId="0" applyNumberFormat="1" applyFont="1" applyBorder="1" applyAlignment="1">
      <alignment horizontal="center" vertical="top" shrinkToFit="1"/>
    </xf>
    <xf numFmtId="196" fontId="281" fillId="0" borderId="176" xfId="0" applyNumberFormat="1" applyFont="1" applyBorder="1" applyAlignment="1">
      <alignment horizontal="center" vertical="top" shrinkToFit="1"/>
    </xf>
    <xf numFmtId="2" fontId="281" fillId="0" borderId="178" xfId="0" applyNumberFormat="1" applyFont="1" applyBorder="1" applyAlignment="1">
      <alignment horizontal="right" vertical="top" indent="2" shrinkToFit="1"/>
    </xf>
    <xf numFmtId="2" fontId="281" fillId="0" borderId="176" xfId="0" applyNumberFormat="1" applyFont="1" applyBorder="1" applyAlignment="1">
      <alignment horizontal="right" vertical="top" indent="2" shrinkToFit="1"/>
    </xf>
    <xf numFmtId="1" fontId="281" fillId="0" borderId="178" xfId="0" applyNumberFormat="1" applyFont="1" applyBorder="1" applyAlignment="1">
      <alignment horizontal="center" vertical="top" shrinkToFit="1"/>
    </xf>
    <xf numFmtId="1" fontId="281" fillId="0" borderId="176" xfId="0" applyNumberFormat="1" applyFont="1" applyBorder="1" applyAlignment="1">
      <alignment horizontal="center" vertical="top" shrinkToFit="1"/>
    </xf>
    <xf numFmtId="196" fontId="281" fillId="0" borderId="178" xfId="0" applyNumberFormat="1" applyFont="1" applyBorder="1" applyAlignment="1">
      <alignment horizontal="right" vertical="top" indent="2" shrinkToFit="1"/>
    </xf>
    <xf numFmtId="196" fontId="281" fillId="0" borderId="176" xfId="0" applyNumberFormat="1" applyFont="1" applyBorder="1" applyAlignment="1">
      <alignment horizontal="right" vertical="top" indent="2" shrinkToFit="1"/>
    </xf>
    <xf numFmtId="2" fontId="282" fillId="0" borderId="178" xfId="0" applyNumberFormat="1" applyFont="1" applyBorder="1" applyAlignment="1">
      <alignment horizontal="center" vertical="top" shrinkToFit="1"/>
    </xf>
    <xf numFmtId="2" fontId="282" fillId="0" borderId="176" xfId="0" applyNumberFormat="1" applyFont="1" applyBorder="1" applyAlignment="1">
      <alignment horizontal="center" vertical="top" shrinkToFit="1"/>
    </xf>
    <xf numFmtId="0" fontId="271" fillId="0" borderId="0" xfId="19" applyFont="1" applyAlignment="1">
      <alignment horizontal="center" vertical="center"/>
    </xf>
    <xf numFmtId="0" fontId="280" fillId="0" borderId="178" xfId="0" applyFont="1" applyBorder="1" applyAlignment="1">
      <alignment horizontal="center" vertical="top" wrapText="1"/>
    </xf>
    <xf numFmtId="0" fontId="280" fillId="0" borderId="176" xfId="0" applyFont="1" applyBorder="1" applyAlignment="1">
      <alignment horizontal="center" vertical="top" wrapText="1"/>
    </xf>
    <xf numFmtId="0" fontId="0" fillId="0" borderId="178" xfId="0" applyBorder="1" applyAlignment="1">
      <alignment horizontal="left" wrapText="1"/>
    </xf>
    <xf numFmtId="0" fontId="0" fillId="0" borderId="176" xfId="0" applyBorder="1" applyAlignment="1">
      <alignment horizontal="left" wrapText="1"/>
    </xf>
    <xf numFmtId="0" fontId="280" fillId="0" borderId="178" xfId="0" applyFont="1" applyBorder="1" applyAlignment="1">
      <alignment horizontal="left" vertical="top" wrapText="1" indent="2"/>
    </xf>
    <xf numFmtId="0" fontId="280" fillId="0" borderId="176" xfId="0" applyFont="1" applyBorder="1" applyAlignment="1">
      <alignment horizontal="left" vertical="top" wrapText="1" indent="2"/>
    </xf>
    <xf numFmtId="0" fontId="280" fillId="25" borderId="178" xfId="0" applyFont="1" applyFill="1" applyBorder="1" applyAlignment="1">
      <alignment horizontal="left" vertical="center" wrapText="1" indent="2"/>
    </xf>
    <xf numFmtId="0" fontId="280" fillId="25" borderId="176" xfId="0" applyFont="1" applyFill="1" applyBorder="1" applyAlignment="1">
      <alignment horizontal="left" vertical="center" wrapText="1" indent="2"/>
    </xf>
    <xf numFmtId="0" fontId="280" fillId="0" borderId="178" xfId="0" applyFont="1" applyBorder="1" applyAlignment="1">
      <alignment horizontal="left" vertical="top" wrapText="1" indent="1"/>
    </xf>
    <xf numFmtId="0" fontId="280" fillId="0" borderId="176" xfId="0" applyFont="1" applyBorder="1" applyAlignment="1">
      <alignment horizontal="left" vertical="top" wrapText="1" inden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常规" xfId="0" builtinId="0"/>
    <cellStyle name="常规 10" xfId="20" xr:uid="{00000000-0005-0000-0000-000003000000}"/>
    <cellStyle name="常规 11" xfId="18" xr:uid="{00000000-0005-0000-0000-000004000000}"/>
    <cellStyle name="常规 12" xfId="19"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s>
  <dxfs count="149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28.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7</xdr:col>
      <xdr:colOff>41287</xdr:colOff>
      <xdr:row>22</xdr:row>
      <xdr:rowOff>133350</xdr:rowOff>
    </xdr:to>
    <xdr:pic>
      <xdr:nvPicPr>
        <xdr:cNvPr id="2" name="图片 1">
          <a:extLst>
            <a:ext uri="{FF2B5EF4-FFF2-40B4-BE49-F238E27FC236}">
              <a16:creationId xmlns:a16="http://schemas.microsoft.com/office/drawing/2014/main" id="{F6D3B876-9AD0-4B83-B833-547598CF7E68}"/>
            </a:ext>
          </a:extLst>
        </xdr:cNvPr>
        <xdr:cNvPicPr>
          <a:picLocks noChangeAspect="1"/>
        </xdr:cNvPicPr>
      </xdr:nvPicPr>
      <xdr:blipFill>
        <a:blip xmlns:r="http://schemas.openxmlformats.org/officeDocument/2006/relationships" r:embed="rId1"/>
        <a:stretch>
          <a:fillRect/>
        </a:stretch>
      </xdr:blipFill>
      <xdr:spPr>
        <a:xfrm>
          <a:off x="0" y="2400300"/>
          <a:ext cx="6994537" cy="1504950"/>
        </a:xfrm>
        <a:prstGeom prst="rect">
          <a:avLst/>
        </a:prstGeom>
      </xdr:spPr>
    </xdr:pic>
    <xdr:clientData/>
  </xdr:twoCellAnchor>
  <xdr:twoCellAnchor editAs="oneCell">
    <xdr:from>
      <xdr:col>0</xdr:col>
      <xdr:colOff>0</xdr:colOff>
      <xdr:row>23</xdr:row>
      <xdr:rowOff>0</xdr:rowOff>
    </xdr:from>
    <xdr:to>
      <xdr:col>7</xdr:col>
      <xdr:colOff>13607</xdr:colOff>
      <xdr:row>32</xdr:row>
      <xdr:rowOff>44316</xdr:rowOff>
    </xdr:to>
    <xdr:pic>
      <xdr:nvPicPr>
        <xdr:cNvPr id="3" name="图片 2">
          <a:extLst>
            <a:ext uri="{FF2B5EF4-FFF2-40B4-BE49-F238E27FC236}">
              <a16:creationId xmlns:a16="http://schemas.microsoft.com/office/drawing/2014/main" id="{D87A789A-7FC0-4570-A81E-93AF673C07EE}"/>
            </a:ext>
          </a:extLst>
        </xdr:cNvPr>
        <xdr:cNvPicPr>
          <a:picLocks noChangeAspect="1"/>
        </xdr:cNvPicPr>
      </xdr:nvPicPr>
      <xdr:blipFill>
        <a:blip xmlns:r="http://schemas.openxmlformats.org/officeDocument/2006/relationships" r:embed="rId2"/>
        <a:stretch>
          <a:fillRect/>
        </a:stretch>
      </xdr:blipFill>
      <xdr:spPr>
        <a:xfrm>
          <a:off x="0" y="3943350"/>
          <a:ext cx="6966857" cy="1587366"/>
        </a:xfrm>
        <a:prstGeom prst="rect">
          <a:avLst/>
        </a:prstGeom>
      </xdr:spPr>
    </xdr:pic>
    <xdr:clientData/>
  </xdr:twoCellAnchor>
  <xdr:twoCellAnchor editAs="oneCell">
    <xdr:from>
      <xdr:col>0</xdr:col>
      <xdr:colOff>0</xdr:colOff>
      <xdr:row>32</xdr:row>
      <xdr:rowOff>68037</xdr:rowOff>
    </xdr:from>
    <xdr:to>
      <xdr:col>7</xdr:col>
      <xdr:colOff>13607</xdr:colOff>
      <xdr:row>48</xdr:row>
      <xdr:rowOff>47039</xdr:rowOff>
    </xdr:to>
    <xdr:pic>
      <xdr:nvPicPr>
        <xdr:cNvPr id="4" name="图片 3">
          <a:extLst>
            <a:ext uri="{FF2B5EF4-FFF2-40B4-BE49-F238E27FC236}">
              <a16:creationId xmlns:a16="http://schemas.microsoft.com/office/drawing/2014/main" id="{3BD20DD9-0AA3-4FFE-9726-FFB4792AF8D9}"/>
            </a:ext>
          </a:extLst>
        </xdr:cNvPr>
        <xdr:cNvPicPr>
          <a:picLocks noChangeAspect="1"/>
        </xdr:cNvPicPr>
      </xdr:nvPicPr>
      <xdr:blipFill>
        <a:blip xmlns:r="http://schemas.openxmlformats.org/officeDocument/2006/relationships" r:embed="rId3"/>
        <a:stretch>
          <a:fillRect/>
        </a:stretch>
      </xdr:blipFill>
      <xdr:spPr>
        <a:xfrm>
          <a:off x="0" y="5554437"/>
          <a:ext cx="6966857" cy="2722202"/>
        </a:xfrm>
        <a:prstGeom prst="rect">
          <a:avLst/>
        </a:prstGeom>
      </xdr:spPr>
    </xdr:pic>
    <xdr:clientData/>
  </xdr:twoCellAnchor>
  <xdr:twoCellAnchor editAs="oneCell">
    <xdr:from>
      <xdr:col>0</xdr:col>
      <xdr:colOff>0</xdr:colOff>
      <xdr:row>49</xdr:row>
      <xdr:rowOff>0</xdr:rowOff>
    </xdr:from>
    <xdr:to>
      <xdr:col>7</xdr:col>
      <xdr:colOff>40821</xdr:colOff>
      <xdr:row>59</xdr:row>
      <xdr:rowOff>157615</xdr:rowOff>
    </xdr:to>
    <xdr:pic>
      <xdr:nvPicPr>
        <xdr:cNvPr id="5" name="图片 4">
          <a:extLst>
            <a:ext uri="{FF2B5EF4-FFF2-40B4-BE49-F238E27FC236}">
              <a16:creationId xmlns:a16="http://schemas.microsoft.com/office/drawing/2014/main" id="{A81C8367-E920-4827-A797-AAF978CB86C5}"/>
            </a:ext>
          </a:extLst>
        </xdr:cNvPr>
        <xdr:cNvPicPr>
          <a:picLocks noChangeAspect="1"/>
        </xdr:cNvPicPr>
      </xdr:nvPicPr>
      <xdr:blipFill>
        <a:blip xmlns:r="http://schemas.openxmlformats.org/officeDocument/2006/relationships" r:embed="rId4"/>
        <a:stretch>
          <a:fillRect/>
        </a:stretch>
      </xdr:blipFill>
      <xdr:spPr>
        <a:xfrm>
          <a:off x="0" y="8401050"/>
          <a:ext cx="6994071" cy="1872115"/>
        </a:xfrm>
        <a:prstGeom prst="rect">
          <a:avLst/>
        </a:prstGeom>
      </xdr:spPr>
    </xdr:pic>
    <xdr:clientData/>
  </xdr:twoCellAnchor>
  <xdr:twoCellAnchor editAs="oneCell">
    <xdr:from>
      <xdr:col>0</xdr:col>
      <xdr:colOff>40822</xdr:colOff>
      <xdr:row>60</xdr:row>
      <xdr:rowOff>13607</xdr:rowOff>
    </xdr:from>
    <xdr:to>
      <xdr:col>7</xdr:col>
      <xdr:colOff>27215</xdr:colOff>
      <xdr:row>76</xdr:row>
      <xdr:rowOff>147344</xdr:rowOff>
    </xdr:to>
    <xdr:pic>
      <xdr:nvPicPr>
        <xdr:cNvPr id="6" name="图片 5">
          <a:extLst>
            <a:ext uri="{FF2B5EF4-FFF2-40B4-BE49-F238E27FC236}">
              <a16:creationId xmlns:a16="http://schemas.microsoft.com/office/drawing/2014/main" id="{F61DF9DA-7247-4119-A68B-6C9A1E377BCB}"/>
            </a:ext>
          </a:extLst>
        </xdr:cNvPr>
        <xdr:cNvPicPr>
          <a:picLocks noChangeAspect="1"/>
        </xdr:cNvPicPr>
      </xdr:nvPicPr>
      <xdr:blipFill>
        <a:blip xmlns:r="http://schemas.openxmlformats.org/officeDocument/2006/relationships" r:embed="rId5"/>
        <a:stretch>
          <a:fillRect/>
        </a:stretch>
      </xdr:blipFill>
      <xdr:spPr>
        <a:xfrm>
          <a:off x="40822" y="10300607"/>
          <a:ext cx="6939643" cy="2876937"/>
        </a:xfrm>
        <a:prstGeom prst="rect">
          <a:avLst/>
        </a:prstGeom>
      </xdr:spPr>
    </xdr:pic>
    <xdr:clientData/>
  </xdr:twoCellAnchor>
  <xdr:twoCellAnchor editAs="oneCell">
    <xdr:from>
      <xdr:col>7</xdr:col>
      <xdr:colOff>34638</xdr:colOff>
      <xdr:row>13</xdr:row>
      <xdr:rowOff>165761</xdr:rowOff>
    </xdr:from>
    <xdr:to>
      <xdr:col>19</xdr:col>
      <xdr:colOff>34638</xdr:colOff>
      <xdr:row>25</xdr:row>
      <xdr:rowOff>132754</xdr:rowOff>
    </xdr:to>
    <xdr:pic>
      <xdr:nvPicPr>
        <xdr:cNvPr id="7" name="图片 6">
          <a:extLst>
            <a:ext uri="{FF2B5EF4-FFF2-40B4-BE49-F238E27FC236}">
              <a16:creationId xmlns:a16="http://schemas.microsoft.com/office/drawing/2014/main" id="{3635BC76-2353-497C-9A96-59D5DAB700B7}"/>
            </a:ext>
          </a:extLst>
        </xdr:cNvPr>
        <xdr:cNvPicPr>
          <a:picLocks noChangeAspect="1"/>
        </xdr:cNvPicPr>
      </xdr:nvPicPr>
      <xdr:blipFill>
        <a:blip xmlns:r="http://schemas.openxmlformats.org/officeDocument/2006/relationships" r:embed="rId6"/>
        <a:stretch>
          <a:fillRect/>
        </a:stretch>
      </xdr:blipFill>
      <xdr:spPr>
        <a:xfrm>
          <a:off x="6987888" y="2394611"/>
          <a:ext cx="8229600" cy="2024393"/>
        </a:xfrm>
        <a:prstGeom prst="rect">
          <a:avLst/>
        </a:prstGeom>
      </xdr:spPr>
    </xdr:pic>
    <xdr:clientData/>
  </xdr:twoCellAnchor>
  <xdr:twoCellAnchor editAs="oneCell">
    <xdr:from>
      <xdr:col>7</xdr:col>
      <xdr:colOff>0</xdr:colOff>
      <xdr:row>26</xdr:row>
      <xdr:rowOff>1</xdr:rowOff>
    </xdr:from>
    <xdr:to>
      <xdr:col>19</xdr:col>
      <xdr:colOff>86590</xdr:colOff>
      <xdr:row>37</xdr:row>
      <xdr:rowOff>124891</xdr:rowOff>
    </xdr:to>
    <xdr:pic>
      <xdr:nvPicPr>
        <xdr:cNvPr id="8" name="图片 7">
          <a:extLst>
            <a:ext uri="{FF2B5EF4-FFF2-40B4-BE49-F238E27FC236}">
              <a16:creationId xmlns:a16="http://schemas.microsoft.com/office/drawing/2014/main" id="{D12A7DDF-49C0-4435-BE6C-2A2E3004E251}"/>
            </a:ext>
          </a:extLst>
        </xdr:cNvPr>
        <xdr:cNvPicPr>
          <a:picLocks noChangeAspect="1"/>
        </xdr:cNvPicPr>
      </xdr:nvPicPr>
      <xdr:blipFill>
        <a:blip xmlns:r="http://schemas.openxmlformats.org/officeDocument/2006/relationships" r:embed="rId7"/>
        <a:stretch>
          <a:fillRect/>
        </a:stretch>
      </xdr:blipFill>
      <xdr:spPr>
        <a:xfrm>
          <a:off x="6953250" y="4457701"/>
          <a:ext cx="8316190" cy="2010840"/>
        </a:xfrm>
        <a:prstGeom prst="rect">
          <a:avLst/>
        </a:prstGeom>
      </xdr:spPr>
    </xdr:pic>
    <xdr:clientData/>
  </xdr:twoCellAnchor>
  <xdr:twoCellAnchor editAs="oneCell">
    <xdr:from>
      <xdr:col>7</xdr:col>
      <xdr:colOff>2</xdr:colOff>
      <xdr:row>37</xdr:row>
      <xdr:rowOff>138547</xdr:rowOff>
    </xdr:from>
    <xdr:to>
      <xdr:col>19</xdr:col>
      <xdr:colOff>138546</xdr:colOff>
      <xdr:row>57</xdr:row>
      <xdr:rowOff>35611</xdr:rowOff>
    </xdr:to>
    <xdr:pic>
      <xdr:nvPicPr>
        <xdr:cNvPr id="9" name="图片 8">
          <a:extLst>
            <a:ext uri="{FF2B5EF4-FFF2-40B4-BE49-F238E27FC236}">
              <a16:creationId xmlns:a16="http://schemas.microsoft.com/office/drawing/2014/main" id="{ED62409B-A7B2-4570-A668-1DD36D590ECD}"/>
            </a:ext>
          </a:extLst>
        </xdr:cNvPr>
        <xdr:cNvPicPr>
          <a:picLocks noChangeAspect="1"/>
        </xdr:cNvPicPr>
      </xdr:nvPicPr>
      <xdr:blipFill>
        <a:blip xmlns:r="http://schemas.openxmlformats.org/officeDocument/2006/relationships" r:embed="rId8"/>
        <a:stretch>
          <a:fillRect/>
        </a:stretch>
      </xdr:blipFill>
      <xdr:spPr>
        <a:xfrm>
          <a:off x="6953252" y="6482197"/>
          <a:ext cx="8368144" cy="3326064"/>
        </a:xfrm>
        <a:prstGeom prst="rect">
          <a:avLst/>
        </a:prstGeom>
      </xdr:spPr>
    </xdr:pic>
    <xdr:clientData/>
  </xdr:twoCellAnchor>
  <xdr:twoCellAnchor editAs="oneCell">
    <xdr:from>
      <xdr:col>7</xdr:col>
      <xdr:colOff>34636</xdr:colOff>
      <xdr:row>57</xdr:row>
      <xdr:rowOff>155863</xdr:rowOff>
    </xdr:from>
    <xdr:to>
      <xdr:col>18</xdr:col>
      <xdr:colOff>623454</xdr:colOff>
      <xdr:row>71</xdr:row>
      <xdr:rowOff>24392</xdr:rowOff>
    </xdr:to>
    <xdr:pic>
      <xdr:nvPicPr>
        <xdr:cNvPr id="10" name="图片 9">
          <a:extLst>
            <a:ext uri="{FF2B5EF4-FFF2-40B4-BE49-F238E27FC236}">
              <a16:creationId xmlns:a16="http://schemas.microsoft.com/office/drawing/2014/main" id="{EEFF3F42-8599-46A1-B172-E81BCF5F661E}"/>
            </a:ext>
          </a:extLst>
        </xdr:cNvPr>
        <xdr:cNvPicPr>
          <a:picLocks noChangeAspect="1"/>
        </xdr:cNvPicPr>
      </xdr:nvPicPr>
      <xdr:blipFill>
        <a:blip xmlns:r="http://schemas.openxmlformats.org/officeDocument/2006/relationships" r:embed="rId9"/>
        <a:stretch>
          <a:fillRect/>
        </a:stretch>
      </xdr:blipFill>
      <xdr:spPr>
        <a:xfrm>
          <a:off x="6987886" y="9928513"/>
          <a:ext cx="8132618" cy="2268829"/>
        </a:xfrm>
        <a:prstGeom prst="rect">
          <a:avLst/>
        </a:prstGeom>
      </xdr:spPr>
    </xdr:pic>
    <xdr:clientData/>
  </xdr:twoCellAnchor>
  <xdr:twoCellAnchor editAs="oneCell">
    <xdr:from>
      <xdr:col>7</xdr:col>
      <xdr:colOff>51956</xdr:colOff>
      <xdr:row>71</xdr:row>
      <xdr:rowOff>155864</xdr:rowOff>
    </xdr:from>
    <xdr:to>
      <xdr:col>18</xdr:col>
      <xdr:colOff>640774</xdr:colOff>
      <xdr:row>91</xdr:row>
      <xdr:rowOff>169758</xdr:rowOff>
    </xdr:to>
    <xdr:pic>
      <xdr:nvPicPr>
        <xdr:cNvPr id="11" name="图片 10">
          <a:extLst>
            <a:ext uri="{FF2B5EF4-FFF2-40B4-BE49-F238E27FC236}">
              <a16:creationId xmlns:a16="http://schemas.microsoft.com/office/drawing/2014/main" id="{5AA6F5BA-4010-4076-9FCE-CFF7FECCD0EB}"/>
            </a:ext>
          </a:extLst>
        </xdr:cNvPr>
        <xdr:cNvPicPr>
          <a:picLocks noChangeAspect="1"/>
        </xdr:cNvPicPr>
      </xdr:nvPicPr>
      <xdr:blipFill>
        <a:blip xmlns:r="http://schemas.openxmlformats.org/officeDocument/2006/relationships" r:embed="rId10"/>
        <a:stretch>
          <a:fillRect/>
        </a:stretch>
      </xdr:blipFill>
      <xdr:spPr>
        <a:xfrm>
          <a:off x="7005206" y="12328814"/>
          <a:ext cx="8132618" cy="3442894"/>
        </a:xfrm>
        <a:prstGeom prst="rect">
          <a:avLst/>
        </a:prstGeom>
      </xdr:spPr>
    </xdr:pic>
    <xdr:clientData/>
  </xdr:twoCellAnchor>
  <xdr:twoCellAnchor editAs="oneCell">
    <xdr:from>
      <xdr:col>19</xdr:col>
      <xdr:colOff>0</xdr:colOff>
      <xdr:row>14</xdr:row>
      <xdr:rowOff>0</xdr:rowOff>
    </xdr:from>
    <xdr:to>
      <xdr:col>31</xdr:col>
      <xdr:colOff>378991</xdr:colOff>
      <xdr:row>24</xdr:row>
      <xdr:rowOff>51954</xdr:rowOff>
    </xdr:to>
    <xdr:pic>
      <xdr:nvPicPr>
        <xdr:cNvPr id="12" name="图片 11">
          <a:extLst>
            <a:ext uri="{FF2B5EF4-FFF2-40B4-BE49-F238E27FC236}">
              <a16:creationId xmlns:a16="http://schemas.microsoft.com/office/drawing/2014/main" id="{1C9D0B8B-24DF-4314-8928-9F762653508B}"/>
            </a:ext>
          </a:extLst>
        </xdr:cNvPr>
        <xdr:cNvPicPr>
          <a:picLocks noChangeAspect="1"/>
        </xdr:cNvPicPr>
      </xdr:nvPicPr>
      <xdr:blipFill>
        <a:blip xmlns:r="http://schemas.openxmlformats.org/officeDocument/2006/relationships" r:embed="rId11"/>
        <a:stretch>
          <a:fillRect/>
        </a:stretch>
      </xdr:blipFill>
      <xdr:spPr>
        <a:xfrm>
          <a:off x="15182850" y="2400300"/>
          <a:ext cx="8608591" cy="1766454"/>
        </a:xfrm>
        <a:prstGeom prst="rect">
          <a:avLst/>
        </a:prstGeom>
      </xdr:spPr>
    </xdr:pic>
    <xdr:clientData/>
  </xdr:twoCellAnchor>
  <xdr:twoCellAnchor editAs="oneCell">
    <xdr:from>
      <xdr:col>19</xdr:col>
      <xdr:colOff>0</xdr:colOff>
      <xdr:row>24</xdr:row>
      <xdr:rowOff>155863</xdr:rowOff>
    </xdr:from>
    <xdr:to>
      <xdr:col>31</xdr:col>
      <xdr:colOff>363682</xdr:colOff>
      <xdr:row>36</xdr:row>
      <xdr:rowOff>65466</xdr:rowOff>
    </xdr:to>
    <xdr:pic>
      <xdr:nvPicPr>
        <xdr:cNvPr id="13" name="图片 12">
          <a:extLst>
            <a:ext uri="{FF2B5EF4-FFF2-40B4-BE49-F238E27FC236}">
              <a16:creationId xmlns:a16="http://schemas.microsoft.com/office/drawing/2014/main" id="{80A7AADC-FE82-4AAF-9012-0BE9C7B04B5F}"/>
            </a:ext>
          </a:extLst>
        </xdr:cNvPr>
        <xdr:cNvPicPr>
          <a:picLocks noChangeAspect="1"/>
        </xdr:cNvPicPr>
      </xdr:nvPicPr>
      <xdr:blipFill>
        <a:blip xmlns:r="http://schemas.openxmlformats.org/officeDocument/2006/relationships" r:embed="rId12"/>
        <a:stretch>
          <a:fillRect/>
        </a:stretch>
      </xdr:blipFill>
      <xdr:spPr>
        <a:xfrm>
          <a:off x="15182850" y="4270663"/>
          <a:ext cx="8593282" cy="1967003"/>
        </a:xfrm>
        <a:prstGeom prst="rect">
          <a:avLst/>
        </a:prstGeom>
      </xdr:spPr>
    </xdr:pic>
    <xdr:clientData/>
  </xdr:twoCellAnchor>
  <xdr:twoCellAnchor editAs="oneCell">
    <xdr:from>
      <xdr:col>18</xdr:col>
      <xdr:colOff>675410</xdr:colOff>
      <xdr:row>36</xdr:row>
      <xdr:rowOff>0</xdr:rowOff>
    </xdr:from>
    <xdr:to>
      <xdr:col>31</xdr:col>
      <xdr:colOff>294409</xdr:colOff>
      <xdr:row>56</xdr:row>
      <xdr:rowOff>1512</xdr:rowOff>
    </xdr:to>
    <xdr:pic>
      <xdr:nvPicPr>
        <xdr:cNvPr id="14" name="图片 13">
          <a:extLst>
            <a:ext uri="{FF2B5EF4-FFF2-40B4-BE49-F238E27FC236}">
              <a16:creationId xmlns:a16="http://schemas.microsoft.com/office/drawing/2014/main" id="{4AA5EC8A-6F84-4630-90DB-DBADF12BD1A7}"/>
            </a:ext>
          </a:extLst>
        </xdr:cNvPr>
        <xdr:cNvPicPr>
          <a:picLocks noChangeAspect="1"/>
        </xdr:cNvPicPr>
      </xdr:nvPicPr>
      <xdr:blipFill>
        <a:blip xmlns:r="http://schemas.openxmlformats.org/officeDocument/2006/relationships" r:embed="rId13"/>
        <a:stretch>
          <a:fillRect/>
        </a:stretch>
      </xdr:blipFill>
      <xdr:spPr>
        <a:xfrm>
          <a:off x="15172460" y="6172200"/>
          <a:ext cx="8534399" cy="3430512"/>
        </a:xfrm>
        <a:prstGeom prst="rect">
          <a:avLst/>
        </a:prstGeom>
      </xdr:spPr>
    </xdr:pic>
    <xdr:clientData/>
  </xdr:twoCellAnchor>
  <xdr:twoCellAnchor editAs="oneCell">
    <xdr:from>
      <xdr:col>19</xdr:col>
      <xdr:colOff>1</xdr:colOff>
      <xdr:row>57</xdr:row>
      <xdr:rowOff>0</xdr:rowOff>
    </xdr:from>
    <xdr:to>
      <xdr:col>31</xdr:col>
      <xdr:colOff>484910</xdr:colOff>
      <xdr:row>70</xdr:row>
      <xdr:rowOff>118556</xdr:rowOff>
    </xdr:to>
    <xdr:pic>
      <xdr:nvPicPr>
        <xdr:cNvPr id="15" name="图片 14">
          <a:extLst>
            <a:ext uri="{FF2B5EF4-FFF2-40B4-BE49-F238E27FC236}">
              <a16:creationId xmlns:a16="http://schemas.microsoft.com/office/drawing/2014/main" id="{38D186AE-B1F3-4F0A-B27B-196B71E3D453}"/>
            </a:ext>
          </a:extLst>
        </xdr:cNvPr>
        <xdr:cNvPicPr>
          <a:picLocks noChangeAspect="1"/>
        </xdr:cNvPicPr>
      </xdr:nvPicPr>
      <xdr:blipFill>
        <a:blip xmlns:r="http://schemas.openxmlformats.org/officeDocument/2006/relationships" r:embed="rId14"/>
        <a:stretch>
          <a:fillRect/>
        </a:stretch>
      </xdr:blipFill>
      <xdr:spPr>
        <a:xfrm>
          <a:off x="15182851" y="9772650"/>
          <a:ext cx="8714509" cy="2347406"/>
        </a:xfrm>
        <a:prstGeom prst="rect">
          <a:avLst/>
        </a:prstGeom>
      </xdr:spPr>
    </xdr:pic>
    <xdr:clientData/>
  </xdr:twoCellAnchor>
  <xdr:twoCellAnchor editAs="oneCell">
    <xdr:from>
      <xdr:col>19</xdr:col>
      <xdr:colOff>69273</xdr:colOff>
      <xdr:row>70</xdr:row>
      <xdr:rowOff>86592</xdr:rowOff>
    </xdr:from>
    <xdr:to>
      <xdr:col>31</xdr:col>
      <xdr:colOff>242455</xdr:colOff>
      <xdr:row>91</xdr:row>
      <xdr:rowOff>19190</xdr:rowOff>
    </xdr:to>
    <xdr:pic>
      <xdr:nvPicPr>
        <xdr:cNvPr id="16" name="图片 15">
          <a:extLst>
            <a:ext uri="{FF2B5EF4-FFF2-40B4-BE49-F238E27FC236}">
              <a16:creationId xmlns:a16="http://schemas.microsoft.com/office/drawing/2014/main" id="{B2EEB6DB-2863-45CF-8727-3A4F28EDC96C}"/>
            </a:ext>
          </a:extLst>
        </xdr:cNvPr>
        <xdr:cNvPicPr>
          <a:picLocks noChangeAspect="1"/>
        </xdr:cNvPicPr>
      </xdr:nvPicPr>
      <xdr:blipFill>
        <a:blip xmlns:r="http://schemas.openxmlformats.org/officeDocument/2006/relationships" r:embed="rId15"/>
        <a:stretch>
          <a:fillRect/>
        </a:stretch>
      </xdr:blipFill>
      <xdr:spPr>
        <a:xfrm>
          <a:off x="15252123" y="12088092"/>
          <a:ext cx="8402782" cy="353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560447</xdr:colOff>
      <xdr:row>10</xdr:row>
      <xdr:rowOff>142643</xdr:rowOff>
    </xdr:to>
    <xdr:pic>
      <xdr:nvPicPr>
        <xdr:cNvPr id="2" name="图片 1">
          <a:extLst>
            <a:ext uri="{FF2B5EF4-FFF2-40B4-BE49-F238E27FC236}">
              <a16:creationId xmlns:a16="http://schemas.microsoft.com/office/drawing/2014/main" id="{00295D52-50F4-4928-A89C-D9DDD5A68A84}"/>
            </a:ext>
          </a:extLst>
        </xdr:cNvPr>
        <xdr:cNvPicPr>
          <a:picLocks noChangeAspect="1"/>
        </xdr:cNvPicPr>
      </xdr:nvPicPr>
      <xdr:blipFill>
        <a:blip xmlns:r="http://schemas.openxmlformats.org/officeDocument/2006/relationships" r:embed="rId1"/>
        <a:stretch>
          <a:fillRect/>
        </a:stretch>
      </xdr:blipFill>
      <xdr:spPr>
        <a:xfrm>
          <a:off x="0" y="0"/>
          <a:ext cx="12219047" cy="1857143"/>
        </a:xfrm>
        <a:prstGeom prst="rect">
          <a:avLst/>
        </a:prstGeom>
      </xdr:spPr>
    </xdr:pic>
    <xdr:clientData/>
  </xdr:twoCellAnchor>
  <xdr:twoCellAnchor editAs="oneCell">
    <xdr:from>
      <xdr:col>0</xdr:col>
      <xdr:colOff>0</xdr:colOff>
      <xdr:row>10</xdr:row>
      <xdr:rowOff>161925</xdr:rowOff>
    </xdr:from>
    <xdr:to>
      <xdr:col>17</xdr:col>
      <xdr:colOff>255686</xdr:colOff>
      <xdr:row>47</xdr:row>
      <xdr:rowOff>170656</xdr:rowOff>
    </xdr:to>
    <xdr:pic>
      <xdr:nvPicPr>
        <xdr:cNvPr id="3" name="图片 2">
          <a:extLst>
            <a:ext uri="{FF2B5EF4-FFF2-40B4-BE49-F238E27FC236}">
              <a16:creationId xmlns:a16="http://schemas.microsoft.com/office/drawing/2014/main" id="{E3AE4094-9FD3-4B3F-9D71-63B6042E9D4E}"/>
            </a:ext>
          </a:extLst>
        </xdr:cNvPr>
        <xdr:cNvPicPr>
          <a:picLocks noChangeAspect="1"/>
        </xdr:cNvPicPr>
      </xdr:nvPicPr>
      <xdr:blipFill>
        <a:blip xmlns:r="http://schemas.openxmlformats.org/officeDocument/2006/relationships" r:embed="rId2"/>
        <a:stretch>
          <a:fillRect/>
        </a:stretch>
      </xdr:blipFill>
      <xdr:spPr>
        <a:xfrm>
          <a:off x="0" y="1876425"/>
          <a:ext cx="11914286" cy="6352381"/>
        </a:xfrm>
        <a:prstGeom prst="rect">
          <a:avLst/>
        </a:prstGeom>
      </xdr:spPr>
    </xdr:pic>
    <xdr:clientData/>
  </xdr:twoCellAnchor>
  <xdr:twoCellAnchor editAs="oneCell">
    <xdr:from>
      <xdr:col>0</xdr:col>
      <xdr:colOff>0</xdr:colOff>
      <xdr:row>48</xdr:row>
      <xdr:rowOff>0</xdr:rowOff>
    </xdr:from>
    <xdr:to>
      <xdr:col>17</xdr:col>
      <xdr:colOff>293781</xdr:colOff>
      <xdr:row>83</xdr:row>
      <xdr:rowOff>46869</xdr:rowOff>
    </xdr:to>
    <xdr:pic>
      <xdr:nvPicPr>
        <xdr:cNvPr id="4" name="图片 3">
          <a:extLst>
            <a:ext uri="{FF2B5EF4-FFF2-40B4-BE49-F238E27FC236}">
              <a16:creationId xmlns:a16="http://schemas.microsoft.com/office/drawing/2014/main" id="{775CB983-B46F-4F67-95C7-A2EC6D746C92}"/>
            </a:ext>
          </a:extLst>
        </xdr:cNvPr>
        <xdr:cNvPicPr>
          <a:picLocks noChangeAspect="1"/>
        </xdr:cNvPicPr>
      </xdr:nvPicPr>
      <xdr:blipFill>
        <a:blip xmlns:r="http://schemas.openxmlformats.org/officeDocument/2006/relationships" r:embed="rId3"/>
        <a:stretch>
          <a:fillRect/>
        </a:stretch>
      </xdr:blipFill>
      <xdr:spPr>
        <a:xfrm>
          <a:off x="0" y="8229600"/>
          <a:ext cx="11952381" cy="6047619"/>
        </a:xfrm>
        <a:prstGeom prst="rect">
          <a:avLst/>
        </a:prstGeom>
      </xdr:spPr>
    </xdr:pic>
    <xdr:clientData/>
  </xdr:twoCellAnchor>
  <xdr:twoCellAnchor editAs="oneCell">
    <xdr:from>
      <xdr:col>0</xdr:col>
      <xdr:colOff>0</xdr:colOff>
      <xdr:row>83</xdr:row>
      <xdr:rowOff>28575</xdr:rowOff>
    </xdr:from>
    <xdr:to>
      <xdr:col>17</xdr:col>
      <xdr:colOff>274733</xdr:colOff>
      <xdr:row>119</xdr:row>
      <xdr:rowOff>170661</xdr:rowOff>
    </xdr:to>
    <xdr:pic>
      <xdr:nvPicPr>
        <xdr:cNvPr id="5" name="图片 4">
          <a:extLst>
            <a:ext uri="{FF2B5EF4-FFF2-40B4-BE49-F238E27FC236}">
              <a16:creationId xmlns:a16="http://schemas.microsoft.com/office/drawing/2014/main" id="{F788298C-8979-4517-B36A-82301EDEDC32}"/>
            </a:ext>
          </a:extLst>
        </xdr:cNvPr>
        <xdr:cNvPicPr>
          <a:picLocks noChangeAspect="1"/>
        </xdr:cNvPicPr>
      </xdr:nvPicPr>
      <xdr:blipFill>
        <a:blip xmlns:r="http://schemas.openxmlformats.org/officeDocument/2006/relationships" r:embed="rId4"/>
        <a:stretch>
          <a:fillRect/>
        </a:stretch>
      </xdr:blipFill>
      <xdr:spPr>
        <a:xfrm>
          <a:off x="0" y="14258925"/>
          <a:ext cx="11933333" cy="63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84428</xdr:colOff>
      <xdr:row>2</xdr:row>
      <xdr:rowOff>161862</xdr:rowOff>
    </xdr:to>
    <xdr:pic>
      <xdr:nvPicPr>
        <xdr:cNvPr id="2" name="图片 1">
          <a:extLst>
            <a:ext uri="{FF2B5EF4-FFF2-40B4-BE49-F238E27FC236}">
              <a16:creationId xmlns:a16="http://schemas.microsoft.com/office/drawing/2014/main" id="{40BE8A40-FAF7-4456-A562-B88A0FF8481D}"/>
            </a:ext>
          </a:extLst>
        </xdr:cNvPr>
        <xdr:cNvPicPr>
          <a:picLocks noChangeAspect="1"/>
        </xdr:cNvPicPr>
      </xdr:nvPicPr>
      <xdr:blipFill>
        <a:blip xmlns:r="http://schemas.openxmlformats.org/officeDocument/2006/relationships" r:embed="rId1"/>
        <a:stretch>
          <a:fillRect/>
        </a:stretch>
      </xdr:blipFill>
      <xdr:spPr>
        <a:xfrm>
          <a:off x="0" y="0"/>
          <a:ext cx="10371428" cy="504762"/>
        </a:xfrm>
        <a:prstGeom prst="rect">
          <a:avLst/>
        </a:prstGeom>
      </xdr:spPr>
    </xdr:pic>
    <xdr:clientData/>
  </xdr:twoCellAnchor>
  <xdr:twoCellAnchor editAs="oneCell">
    <xdr:from>
      <xdr:col>0</xdr:col>
      <xdr:colOff>0</xdr:colOff>
      <xdr:row>3</xdr:row>
      <xdr:rowOff>0</xdr:rowOff>
    </xdr:from>
    <xdr:to>
      <xdr:col>17</xdr:col>
      <xdr:colOff>255686</xdr:colOff>
      <xdr:row>30</xdr:row>
      <xdr:rowOff>56564</xdr:rowOff>
    </xdr:to>
    <xdr:pic>
      <xdr:nvPicPr>
        <xdr:cNvPr id="3" name="图片 2">
          <a:extLst>
            <a:ext uri="{FF2B5EF4-FFF2-40B4-BE49-F238E27FC236}">
              <a16:creationId xmlns:a16="http://schemas.microsoft.com/office/drawing/2014/main" id="{03E86FDD-F54D-4A84-A147-719691983D70}"/>
            </a:ext>
          </a:extLst>
        </xdr:cNvPr>
        <xdr:cNvPicPr>
          <a:picLocks noChangeAspect="1"/>
        </xdr:cNvPicPr>
      </xdr:nvPicPr>
      <xdr:blipFill>
        <a:blip xmlns:r="http://schemas.openxmlformats.org/officeDocument/2006/relationships" r:embed="rId2"/>
        <a:stretch>
          <a:fillRect/>
        </a:stretch>
      </xdr:blipFill>
      <xdr:spPr>
        <a:xfrm>
          <a:off x="0" y="514350"/>
          <a:ext cx="11914286" cy="4685714"/>
        </a:xfrm>
        <a:prstGeom prst="rect">
          <a:avLst/>
        </a:prstGeom>
      </xdr:spPr>
    </xdr:pic>
    <xdr:clientData/>
  </xdr:twoCellAnchor>
  <xdr:twoCellAnchor editAs="oneCell">
    <xdr:from>
      <xdr:col>0</xdr:col>
      <xdr:colOff>0</xdr:colOff>
      <xdr:row>30</xdr:row>
      <xdr:rowOff>76200</xdr:rowOff>
    </xdr:from>
    <xdr:to>
      <xdr:col>12</xdr:col>
      <xdr:colOff>379924</xdr:colOff>
      <xdr:row>33</xdr:row>
      <xdr:rowOff>104707</xdr:rowOff>
    </xdr:to>
    <xdr:pic>
      <xdr:nvPicPr>
        <xdr:cNvPr id="4" name="图片 3">
          <a:extLst>
            <a:ext uri="{FF2B5EF4-FFF2-40B4-BE49-F238E27FC236}">
              <a16:creationId xmlns:a16="http://schemas.microsoft.com/office/drawing/2014/main" id="{3A5E52F5-BB7D-4DE1-A650-E07BE836621D}"/>
            </a:ext>
          </a:extLst>
        </xdr:cNvPr>
        <xdr:cNvPicPr>
          <a:picLocks noChangeAspect="1"/>
        </xdr:cNvPicPr>
      </xdr:nvPicPr>
      <xdr:blipFill>
        <a:blip xmlns:r="http://schemas.openxmlformats.org/officeDocument/2006/relationships" r:embed="rId3"/>
        <a:stretch>
          <a:fillRect/>
        </a:stretch>
      </xdr:blipFill>
      <xdr:spPr>
        <a:xfrm>
          <a:off x="0" y="5219700"/>
          <a:ext cx="8609524" cy="542857"/>
        </a:xfrm>
        <a:prstGeom prst="rect">
          <a:avLst/>
        </a:prstGeom>
      </xdr:spPr>
    </xdr:pic>
    <xdr:clientData/>
  </xdr:twoCellAnchor>
  <xdr:twoCellAnchor editAs="oneCell">
    <xdr:from>
      <xdr:col>0</xdr:col>
      <xdr:colOff>0</xdr:colOff>
      <xdr:row>34</xdr:row>
      <xdr:rowOff>0</xdr:rowOff>
    </xdr:from>
    <xdr:to>
      <xdr:col>17</xdr:col>
      <xdr:colOff>350924</xdr:colOff>
      <xdr:row>59</xdr:row>
      <xdr:rowOff>170893</xdr:rowOff>
    </xdr:to>
    <xdr:pic>
      <xdr:nvPicPr>
        <xdr:cNvPr id="5" name="图片 4">
          <a:extLst>
            <a:ext uri="{FF2B5EF4-FFF2-40B4-BE49-F238E27FC236}">
              <a16:creationId xmlns:a16="http://schemas.microsoft.com/office/drawing/2014/main" id="{B983FFD4-E58F-4FC6-81C2-95DC41101652}"/>
            </a:ext>
          </a:extLst>
        </xdr:cNvPr>
        <xdr:cNvPicPr>
          <a:picLocks noChangeAspect="1"/>
        </xdr:cNvPicPr>
      </xdr:nvPicPr>
      <xdr:blipFill>
        <a:blip xmlns:r="http://schemas.openxmlformats.org/officeDocument/2006/relationships" r:embed="rId4"/>
        <a:stretch>
          <a:fillRect/>
        </a:stretch>
      </xdr:blipFill>
      <xdr:spPr>
        <a:xfrm>
          <a:off x="0" y="5829300"/>
          <a:ext cx="12009524" cy="4457143"/>
        </a:xfrm>
        <a:prstGeom prst="rect">
          <a:avLst/>
        </a:prstGeom>
      </xdr:spPr>
    </xdr:pic>
    <xdr:clientData/>
  </xdr:twoCellAnchor>
  <xdr:twoCellAnchor editAs="oneCell">
    <xdr:from>
      <xdr:col>0</xdr:col>
      <xdr:colOff>0</xdr:colOff>
      <xdr:row>60</xdr:row>
      <xdr:rowOff>0</xdr:rowOff>
    </xdr:from>
    <xdr:to>
      <xdr:col>12</xdr:col>
      <xdr:colOff>151352</xdr:colOff>
      <xdr:row>62</xdr:row>
      <xdr:rowOff>161862</xdr:rowOff>
    </xdr:to>
    <xdr:pic>
      <xdr:nvPicPr>
        <xdr:cNvPr id="6" name="图片 5">
          <a:extLst>
            <a:ext uri="{FF2B5EF4-FFF2-40B4-BE49-F238E27FC236}">
              <a16:creationId xmlns:a16="http://schemas.microsoft.com/office/drawing/2014/main" id="{CD9E226D-7D2D-45A2-A38D-BAF92F1C57F7}"/>
            </a:ext>
          </a:extLst>
        </xdr:cNvPr>
        <xdr:cNvPicPr>
          <a:picLocks noChangeAspect="1"/>
        </xdr:cNvPicPr>
      </xdr:nvPicPr>
      <xdr:blipFill>
        <a:blip xmlns:r="http://schemas.openxmlformats.org/officeDocument/2006/relationships" r:embed="rId5"/>
        <a:stretch>
          <a:fillRect/>
        </a:stretch>
      </xdr:blipFill>
      <xdr:spPr>
        <a:xfrm>
          <a:off x="0" y="10287000"/>
          <a:ext cx="8380952" cy="504762"/>
        </a:xfrm>
        <a:prstGeom prst="rect">
          <a:avLst/>
        </a:prstGeom>
      </xdr:spPr>
    </xdr:pic>
    <xdr:clientData/>
  </xdr:twoCellAnchor>
  <xdr:twoCellAnchor editAs="oneCell">
    <xdr:from>
      <xdr:col>0</xdr:col>
      <xdr:colOff>0</xdr:colOff>
      <xdr:row>63</xdr:row>
      <xdr:rowOff>0</xdr:rowOff>
    </xdr:from>
    <xdr:to>
      <xdr:col>17</xdr:col>
      <xdr:colOff>312828</xdr:colOff>
      <xdr:row>88</xdr:row>
      <xdr:rowOff>123274</xdr:rowOff>
    </xdr:to>
    <xdr:pic>
      <xdr:nvPicPr>
        <xdr:cNvPr id="7" name="图片 6">
          <a:extLst>
            <a:ext uri="{FF2B5EF4-FFF2-40B4-BE49-F238E27FC236}">
              <a16:creationId xmlns:a16="http://schemas.microsoft.com/office/drawing/2014/main" id="{6485B5EA-DABF-4A64-AABD-F6849E5D92D8}"/>
            </a:ext>
          </a:extLst>
        </xdr:cNvPr>
        <xdr:cNvPicPr>
          <a:picLocks noChangeAspect="1"/>
        </xdr:cNvPicPr>
      </xdr:nvPicPr>
      <xdr:blipFill>
        <a:blip xmlns:r="http://schemas.openxmlformats.org/officeDocument/2006/relationships" r:embed="rId6"/>
        <a:stretch>
          <a:fillRect/>
        </a:stretch>
      </xdr:blipFill>
      <xdr:spPr>
        <a:xfrm>
          <a:off x="0" y="10801350"/>
          <a:ext cx="11971428" cy="44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3</xdr:row>
      <xdr:rowOff>57079</xdr:rowOff>
    </xdr:to>
    <xdr:pic>
      <xdr:nvPicPr>
        <xdr:cNvPr id="2" name="图片 1">
          <a:extLst>
            <a:ext uri="{FF2B5EF4-FFF2-40B4-BE49-F238E27FC236}">
              <a16:creationId xmlns:a16="http://schemas.microsoft.com/office/drawing/2014/main" id="{7F4938D2-F5D8-4722-B7E4-C8EC34C13ED6}"/>
            </a:ext>
          </a:extLst>
        </xdr:cNvPr>
        <xdr:cNvPicPr>
          <a:picLocks noChangeAspect="1"/>
        </xdr:cNvPicPr>
      </xdr:nvPicPr>
      <xdr:blipFill>
        <a:blip xmlns:r="http://schemas.openxmlformats.org/officeDocument/2006/relationships" r:embed="rId1"/>
        <a:stretch>
          <a:fillRect/>
        </a:stretch>
      </xdr:blipFill>
      <xdr:spPr>
        <a:xfrm>
          <a:off x="0" y="0"/>
          <a:ext cx="10314286" cy="571429"/>
        </a:xfrm>
        <a:prstGeom prst="rect">
          <a:avLst/>
        </a:prstGeom>
      </xdr:spPr>
    </xdr:pic>
    <xdr:clientData/>
  </xdr:twoCellAnchor>
  <xdr:twoCellAnchor editAs="oneCell">
    <xdr:from>
      <xdr:col>0</xdr:col>
      <xdr:colOff>0</xdr:colOff>
      <xdr:row>3</xdr:row>
      <xdr:rowOff>19050</xdr:rowOff>
    </xdr:from>
    <xdr:to>
      <xdr:col>17</xdr:col>
      <xdr:colOff>265209</xdr:colOff>
      <xdr:row>40</xdr:row>
      <xdr:rowOff>8733</xdr:rowOff>
    </xdr:to>
    <xdr:pic>
      <xdr:nvPicPr>
        <xdr:cNvPr id="3" name="图片 2">
          <a:extLst>
            <a:ext uri="{FF2B5EF4-FFF2-40B4-BE49-F238E27FC236}">
              <a16:creationId xmlns:a16="http://schemas.microsoft.com/office/drawing/2014/main" id="{7C5F6EE5-1ACF-4AD8-88D4-526E9A2BC918}"/>
            </a:ext>
          </a:extLst>
        </xdr:cNvPr>
        <xdr:cNvPicPr>
          <a:picLocks noChangeAspect="1"/>
        </xdr:cNvPicPr>
      </xdr:nvPicPr>
      <xdr:blipFill>
        <a:blip xmlns:r="http://schemas.openxmlformats.org/officeDocument/2006/relationships" r:embed="rId2"/>
        <a:stretch>
          <a:fillRect/>
        </a:stretch>
      </xdr:blipFill>
      <xdr:spPr>
        <a:xfrm>
          <a:off x="0" y="533400"/>
          <a:ext cx="11923809" cy="6333333"/>
        </a:xfrm>
        <a:prstGeom prst="rect">
          <a:avLst/>
        </a:prstGeom>
      </xdr:spPr>
    </xdr:pic>
    <xdr:clientData/>
  </xdr:twoCellAnchor>
  <xdr:twoCellAnchor editAs="oneCell">
    <xdr:from>
      <xdr:col>0</xdr:col>
      <xdr:colOff>0</xdr:colOff>
      <xdr:row>40</xdr:row>
      <xdr:rowOff>0</xdr:rowOff>
    </xdr:from>
    <xdr:to>
      <xdr:col>14</xdr:col>
      <xdr:colOff>236895</xdr:colOff>
      <xdr:row>42</xdr:row>
      <xdr:rowOff>152338</xdr:rowOff>
    </xdr:to>
    <xdr:pic>
      <xdr:nvPicPr>
        <xdr:cNvPr id="4" name="图片 3">
          <a:extLst>
            <a:ext uri="{FF2B5EF4-FFF2-40B4-BE49-F238E27FC236}">
              <a16:creationId xmlns:a16="http://schemas.microsoft.com/office/drawing/2014/main" id="{24A5A5C1-CA6C-48C2-B38D-5B2A2B32FAB5}"/>
            </a:ext>
          </a:extLst>
        </xdr:cNvPr>
        <xdr:cNvPicPr>
          <a:picLocks noChangeAspect="1"/>
        </xdr:cNvPicPr>
      </xdr:nvPicPr>
      <xdr:blipFill>
        <a:blip xmlns:r="http://schemas.openxmlformats.org/officeDocument/2006/relationships" r:embed="rId3"/>
        <a:stretch>
          <a:fillRect/>
        </a:stretch>
      </xdr:blipFill>
      <xdr:spPr>
        <a:xfrm>
          <a:off x="0" y="6858000"/>
          <a:ext cx="9838095" cy="495238"/>
        </a:xfrm>
        <a:prstGeom prst="rect">
          <a:avLst/>
        </a:prstGeom>
      </xdr:spPr>
    </xdr:pic>
    <xdr:clientData/>
  </xdr:twoCellAnchor>
  <xdr:twoCellAnchor editAs="oneCell">
    <xdr:from>
      <xdr:col>0</xdr:col>
      <xdr:colOff>0</xdr:colOff>
      <xdr:row>42</xdr:row>
      <xdr:rowOff>142875</xdr:rowOff>
    </xdr:from>
    <xdr:to>
      <xdr:col>17</xdr:col>
      <xdr:colOff>274733</xdr:colOff>
      <xdr:row>78</xdr:row>
      <xdr:rowOff>123056</xdr:rowOff>
    </xdr:to>
    <xdr:pic>
      <xdr:nvPicPr>
        <xdr:cNvPr id="5" name="图片 4">
          <a:extLst>
            <a:ext uri="{FF2B5EF4-FFF2-40B4-BE49-F238E27FC236}">
              <a16:creationId xmlns:a16="http://schemas.microsoft.com/office/drawing/2014/main" id="{3BE9D9BF-83B6-45F3-BFC1-6D4FA14120E9}"/>
            </a:ext>
          </a:extLst>
        </xdr:cNvPr>
        <xdr:cNvPicPr>
          <a:picLocks noChangeAspect="1"/>
        </xdr:cNvPicPr>
      </xdr:nvPicPr>
      <xdr:blipFill>
        <a:blip xmlns:r="http://schemas.openxmlformats.org/officeDocument/2006/relationships" r:embed="rId4"/>
        <a:stretch>
          <a:fillRect/>
        </a:stretch>
      </xdr:blipFill>
      <xdr:spPr>
        <a:xfrm>
          <a:off x="0" y="7343775"/>
          <a:ext cx="11933333" cy="6152381"/>
        </a:xfrm>
        <a:prstGeom prst="rect">
          <a:avLst/>
        </a:prstGeom>
      </xdr:spPr>
    </xdr:pic>
    <xdr:clientData/>
  </xdr:twoCellAnchor>
  <xdr:twoCellAnchor editAs="oneCell">
    <xdr:from>
      <xdr:col>0</xdr:col>
      <xdr:colOff>0</xdr:colOff>
      <xdr:row>79</xdr:row>
      <xdr:rowOff>0</xdr:rowOff>
    </xdr:from>
    <xdr:to>
      <xdr:col>13</xdr:col>
      <xdr:colOff>551267</xdr:colOff>
      <xdr:row>82</xdr:row>
      <xdr:rowOff>18983</xdr:rowOff>
    </xdr:to>
    <xdr:pic>
      <xdr:nvPicPr>
        <xdr:cNvPr id="6" name="图片 5">
          <a:extLst>
            <a:ext uri="{FF2B5EF4-FFF2-40B4-BE49-F238E27FC236}">
              <a16:creationId xmlns:a16="http://schemas.microsoft.com/office/drawing/2014/main" id="{DED0769E-70BA-4600-B4B4-6A292772AA34}"/>
            </a:ext>
          </a:extLst>
        </xdr:cNvPr>
        <xdr:cNvPicPr>
          <a:picLocks noChangeAspect="1"/>
        </xdr:cNvPicPr>
      </xdr:nvPicPr>
      <xdr:blipFill>
        <a:blip xmlns:r="http://schemas.openxmlformats.org/officeDocument/2006/relationships" r:embed="rId5"/>
        <a:stretch>
          <a:fillRect/>
        </a:stretch>
      </xdr:blipFill>
      <xdr:spPr>
        <a:xfrm>
          <a:off x="0" y="13544550"/>
          <a:ext cx="9466667" cy="533333"/>
        </a:xfrm>
        <a:prstGeom prst="rect">
          <a:avLst/>
        </a:prstGeom>
      </xdr:spPr>
    </xdr:pic>
    <xdr:clientData/>
  </xdr:twoCellAnchor>
  <xdr:twoCellAnchor editAs="oneCell">
    <xdr:from>
      <xdr:col>0</xdr:col>
      <xdr:colOff>0</xdr:colOff>
      <xdr:row>82</xdr:row>
      <xdr:rowOff>19050</xdr:rowOff>
    </xdr:from>
    <xdr:to>
      <xdr:col>17</xdr:col>
      <xdr:colOff>227114</xdr:colOff>
      <xdr:row>119</xdr:row>
      <xdr:rowOff>151590</xdr:rowOff>
    </xdr:to>
    <xdr:pic>
      <xdr:nvPicPr>
        <xdr:cNvPr id="7" name="图片 6">
          <a:extLst>
            <a:ext uri="{FF2B5EF4-FFF2-40B4-BE49-F238E27FC236}">
              <a16:creationId xmlns:a16="http://schemas.microsoft.com/office/drawing/2014/main" id="{AC68D719-36C4-43D8-865E-D46E35FF9BB0}"/>
            </a:ext>
          </a:extLst>
        </xdr:cNvPr>
        <xdr:cNvPicPr>
          <a:picLocks noChangeAspect="1"/>
        </xdr:cNvPicPr>
      </xdr:nvPicPr>
      <xdr:blipFill>
        <a:blip xmlns:r="http://schemas.openxmlformats.org/officeDocument/2006/relationships" r:embed="rId6"/>
        <a:stretch>
          <a:fillRect/>
        </a:stretch>
      </xdr:blipFill>
      <xdr:spPr>
        <a:xfrm>
          <a:off x="0" y="14077950"/>
          <a:ext cx="11885714" cy="64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3</xdr:row>
      <xdr:rowOff>57079</xdr:rowOff>
    </xdr:to>
    <xdr:pic>
      <xdr:nvPicPr>
        <xdr:cNvPr id="2" name="图片 1">
          <a:extLst>
            <a:ext uri="{FF2B5EF4-FFF2-40B4-BE49-F238E27FC236}">
              <a16:creationId xmlns:a16="http://schemas.microsoft.com/office/drawing/2014/main" id="{729CD732-9B72-43EF-A499-0F9F50C83F31}"/>
            </a:ext>
          </a:extLst>
        </xdr:cNvPr>
        <xdr:cNvPicPr>
          <a:picLocks noChangeAspect="1"/>
        </xdr:cNvPicPr>
      </xdr:nvPicPr>
      <xdr:blipFill>
        <a:blip xmlns:r="http://schemas.openxmlformats.org/officeDocument/2006/relationships" r:embed="rId1"/>
        <a:stretch>
          <a:fillRect/>
        </a:stretch>
      </xdr:blipFill>
      <xdr:spPr>
        <a:xfrm>
          <a:off x="0" y="0"/>
          <a:ext cx="10314286" cy="571429"/>
        </a:xfrm>
        <a:prstGeom prst="rect">
          <a:avLst/>
        </a:prstGeom>
      </xdr:spPr>
    </xdr:pic>
    <xdr:clientData/>
  </xdr:twoCellAnchor>
  <xdr:twoCellAnchor editAs="oneCell">
    <xdr:from>
      <xdr:col>0</xdr:col>
      <xdr:colOff>0</xdr:colOff>
      <xdr:row>3</xdr:row>
      <xdr:rowOff>0</xdr:rowOff>
    </xdr:from>
    <xdr:to>
      <xdr:col>17</xdr:col>
      <xdr:colOff>322352</xdr:colOff>
      <xdr:row>30</xdr:row>
      <xdr:rowOff>85136</xdr:rowOff>
    </xdr:to>
    <xdr:pic>
      <xdr:nvPicPr>
        <xdr:cNvPr id="3" name="图片 2">
          <a:extLst>
            <a:ext uri="{FF2B5EF4-FFF2-40B4-BE49-F238E27FC236}">
              <a16:creationId xmlns:a16="http://schemas.microsoft.com/office/drawing/2014/main" id="{33C7EB93-7D90-4C7F-B75C-774054A1A97D}"/>
            </a:ext>
          </a:extLst>
        </xdr:cNvPr>
        <xdr:cNvPicPr>
          <a:picLocks noChangeAspect="1"/>
        </xdr:cNvPicPr>
      </xdr:nvPicPr>
      <xdr:blipFill>
        <a:blip xmlns:r="http://schemas.openxmlformats.org/officeDocument/2006/relationships" r:embed="rId2"/>
        <a:stretch>
          <a:fillRect/>
        </a:stretch>
      </xdr:blipFill>
      <xdr:spPr>
        <a:xfrm>
          <a:off x="0" y="514350"/>
          <a:ext cx="11980952" cy="4714286"/>
        </a:xfrm>
        <a:prstGeom prst="rect">
          <a:avLst/>
        </a:prstGeom>
      </xdr:spPr>
    </xdr:pic>
    <xdr:clientData/>
  </xdr:twoCellAnchor>
  <xdr:twoCellAnchor editAs="oneCell">
    <xdr:from>
      <xdr:col>0</xdr:col>
      <xdr:colOff>0</xdr:colOff>
      <xdr:row>31</xdr:row>
      <xdr:rowOff>0</xdr:rowOff>
    </xdr:from>
    <xdr:to>
      <xdr:col>14</xdr:col>
      <xdr:colOff>27371</xdr:colOff>
      <xdr:row>34</xdr:row>
      <xdr:rowOff>57079</xdr:rowOff>
    </xdr:to>
    <xdr:pic>
      <xdr:nvPicPr>
        <xdr:cNvPr id="4" name="图片 3">
          <a:extLst>
            <a:ext uri="{FF2B5EF4-FFF2-40B4-BE49-F238E27FC236}">
              <a16:creationId xmlns:a16="http://schemas.microsoft.com/office/drawing/2014/main" id="{2A388656-14BE-49E5-BABD-8DFEE2A739BE}"/>
            </a:ext>
          </a:extLst>
        </xdr:cNvPr>
        <xdr:cNvPicPr>
          <a:picLocks noChangeAspect="1"/>
        </xdr:cNvPicPr>
      </xdr:nvPicPr>
      <xdr:blipFill>
        <a:blip xmlns:r="http://schemas.openxmlformats.org/officeDocument/2006/relationships" r:embed="rId3"/>
        <a:stretch>
          <a:fillRect/>
        </a:stretch>
      </xdr:blipFill>
      <xdr:spPr>
        <a:xfrm>
          <a:off x="0" y="5314950"/>
          <a:ext cx="9628571" cy="571429"/>
        </a:xfrm>
        <a:prstGeom prst="rect">
          <a:avLst/>
        </a:prstGeom>
      </xdr:spPr>
    </xdr:pic>
    <xdr:clientData/>
  </xdr:twoCellAnchor>
  <xdr:twoCellAnchor editAs="oneCell">
    <xdr:from>
      <xdr:col>0</xdr:col>
      <xdr:colOff>0</xdr:colOff>
      <xdr:row>34</xdr:row>
      <xdr:rowOff>76200</xdr:rowOff>
    </xdr:from>
    <xdr:to>
      <xdr:col>17</xdr:col>
      <xdr:colOff>312828</xdr:colOff>
      <xdr:row>64</xdr:row>
      <xdr:rowOff>123176</xdr:rowOff>
    </xdr:to>
    <xdr:pic>
      <xdr:nvPicPr>
        <xdr:cNvPr id="5" name="图片 4">
          <a:extLst>
            <a:ext uri="{FF2B5EF4-FFF2-40B4-BE49-F238E27FC236}">
              <a16:creationId xmlns:a16="http://schemas.microsoft.com/office/drawing/2014/main" id="{DB6E1764-93AE-42BA-8D52-CAA40701A20E}"/>
            </a:ext>
          </a:extLst>
        </xdr:cNvPr>
        <xdr:cNvPicPr>
          <a:picLocks noChangeAspect="1"/>
        </xdr:cNvPicPr>
      </xdr:nvPicPr>
      <xdr:blipFill>
        <a:blip xmlns:r="http://schemas.openxmlformats.org/officeDocument/2006/relationships" r:embed="rId4"/>
        <a:stretch>
          <a:fillRect/>
        </a:stretch>
      </xdr:blipFill>
      <xdr:spPr>
        <a:xfrm>
          <a:off x="0" y="5905500"/>
          <a:ext cx="11971428" cy="5190476"/>
        </a:xfrm>
        <a:prstGeom prst="rect">
          <a:avLst/>
        </a:prstGeom>
      </xdr:spPr>
    </xdr:pic>
    <xdr:clientData/>
  </xdr:twoCellAnchor>
  <xdr:twoCellAnchor editAs="oneCell">
    <xdr:from>
      <xdr:col>0</xdr:col>
      <xdr:colOff>0</xdr:colOff>
      <xdr:row>65</xdr:row>
      <xdr:rowOff>0</xdr:rowOff>
    </xdr:from>
    <xdr:to>
      <xdr:col>11</xdr:col>
      <xdr:colOff>608581</xdr:colOff>
      <xdr:row>67</xdr:row>
      <xdr:rowOff>161862</xdr:rowOff>
    </xdr:to>
    <xdr:pic>
      <xdr:nvPicPr>
        <xdr:cNvPr id="6" name="图片 5">
          <a:extLst>
            <a:ext uri="{FF2B5EF4-FFF2-40B4-BE49-F238E27FC236}">
              <a16:creationId xmlns:a16="http://schemas.microsoft.com/office/drawing/2014/main" id="{5CDAF487-27CB-48B3-BD6B-F92FC3434DE8}"/>
            </a:ext>
          </a:extLst>
        </xdr:cNvPr>
        <xdr:cNvPicPr>
          <a:picLocks noChangeAspect="1"/>
        </xdr:cNvPicPr>
      </xdr:nvPicPr>
      <xdr:blipFill>
        <a:blip xmlns:r="http://schemas.openxmlformats.org/officeDocument/2006/relationships" r:embed="rId5"/>
        <a:stretch>
          <a:fillRect/>
        </a:stretch>
      </xdr:blipFill>
      <xdr:spPr>
        <a:xfrm>
          <a:off x="0" y="11144250"/>
          <a:ext cx="8152381" cy="504762"/>
        </a:xfrm>
        <a:prstGeom prst="rect">
          <a:avLst/>
        </a:prstGeom>
      </xdr:spPr>
    </xdr:pic>
    <xdr:clientData/>
  </xdr:twoCellAnchor>
  <xdr:twoCellAnchor editAs="oneCell">
    <xdr:from>
      <xdr:col>0</xdr:col>
      <xdr:colOff>0</xdr:colOff>
      <xdr:row>68</xdr:row>
      <xdr:rowOff>0</xdr:rowOff>
    </xdr:from>
    <xdr:to>
      <xdr:col>17</xdr:col>
      <xdr:colOff>312828</xdr:colOff>
      <xdr:row>101</xdr:row>
      <xdr:rowOff>113579</xdr:rowOff>
    </xdr:to>
    <xdr:pic>
      <xdr:nvPicPr>
        <xdr:cNvPr id="7" name="图片 6">
          <a:extLst>
            <a:ext uri="{FF2B5EF4-FFF2-40B4-BE49-F238E27FC236}">
              <a16:creationId xmlns:a16="http://schemas.microsoft.com/office/drawing/2014/main" id="{F34A990B-5834-4668-8B7E-37926AC39F1B}"/>
            </a:ext>
          </a:extLst>
        </xdr:cNvPr>
        <xdr:cNvPicPr>
          <a:picLocks noChangeAspect="1"/>
        </xdr:cNvPicPr>
      </xdr:nvPicPr>
      <xdr:blipFill>
        <a:blip xmlns:r="http://schemas.openxmlformats.org/officeDocument/2006/relationships" r:embed="rId6"/>
        <a:stretch>
          <a:fillRect/>
        </a:stretch>
      </xdr:blipFill>
      <xdr:spPr>
        <a:xfrm>
          <a:off x="0" y="11658600"/>
          <a:ext cx="11971428"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7979;&#31639;-&#21271;&#20140;&#24066;&#28023;&#28096;&#21306;&#21452;&#26032;&#26449;&#26842;&#25143;&#21306;&#25913;&#36896;&#39033;&#30446;2603-003-1&#26410;&#21806;&#35748;&#36141;&#33609;&#316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未售清单-住宅"/>
      <sheetName val="未售清单-仓储"/>
      <sheetName val="未售清单-车位"/>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项目成交情况"/>
      <sheetName val="比较法-住宅"/>
      <sheetName val="比较法-商业"/>
      <sheetName val="比较法-办公"/>
      <sheetName val="比较法-工业"/>
      <sheetName val="住宅案例"/>
      <sheetName val="比较法-车位"/>
      <sheetName val="车位案例"/>
      <sheetName val="比较法-仓储"/>
      <sheetName val="仓储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ow r="17">
          <cell r="C17" t="str">
            <v>项目类型</v>
          </cell>
        </row>
        <row r="19">
          <cell r="C19" t="str">
            <v>住宅</v>
          </cell>
        </row>
        <row r="20">
          <cell r="C20" t="str">
            <v>地下仓储</v>
          </cell>
        </row>
        <row r="21">
          <cell r="C21" t="str">
            <v>地下车库</v>
          </cell>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refreshError="1"/>
      <sheetData sheetId="20" refreshError="1"/>
      <sheetData sheetId="21" refreshError="1"/>
      <sheetData sheetId="22" refreshError="1"/>
      <sheetData sheetId="23" refreshError="1"/>
      <sheetData sheetId="2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cell r="C118" t="str">
            <v>规则</v>
          </cell>
          <cell r="D118" t="str">
            <v>较规则</v>
          </cell>
          <cell r="E118" t="str">
            <v>较不规则</v>
          </cell>
          <cell r="F118" t="str">
            <v>不规则</v>
          </cell>
        </row>
        <row r="120">
          <cell r="B120" t="str">
            <v>临街宽度及深度</v>
          </cell>
        </row>
        <row r="122">
          <cell r="B122" t="str">
            <v>宗地开发程度</v>
          </cell>
          <cell r="C122" t="str">
            <v>七通</v>
          </cell>
          <cell r="D122" t="str">
            <v>六通</v>
          </cell>
          <cell r="E122" t="str">
            <v>五通</v>
          </cell>
        </row>
        <row r="124">
          <cell r="B124" t="str">
            <v>工程地质条件</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efreshError="1"/>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8">
        <row r="19">
          <cell r="S19">
            <v>46.78</v>
          </cell>
        </row>
        <row r="20">
          <cell r="S20">
            <v>422667</v>
          </cell>
        </row>
        <row r="61">
          <cell r="S61">
            <v>38.549999999999997</v>
          </cell>
        </row>
        <row r="62">
          <cell r="S62">
            <v>414853</v>
          </cell>
        </row>
        <row r="101">
          <cell r="S101">
            <v>39.36</v>
          </cell>
        </row>
        <row r="102">
          <cell r="S102">
            <v>329864</v>
          </cell>
        </row>
      </sheetData>
      <sheetData sheetId="39">
        <row r="49">
          <cell r="A49" t="str">
            <v>交易情况</v>
          </cell>
          <cell r="C49" t="str">
            <v>正常</v>
          </cell>
        </row>
        <row r="51">
          <cell r="B51" t="str">
            <v>用途</v>
          </cell>
          <cell r="C51" t="str">
            <v>仓储</v>
          </cell>
        </row>
        <row r="69">
          <cell r="B69" t="str">
            <v>楼层</v>
          </cell>
        </row>
        <row r="77">
          <cell r="B77" t="str">
            <v>公共部分装修</v>
          </cell>
        </row>
        <row r="82">
          <cell r="B82" t="str">
            <v>物业等级</v>
          </cell>
        </row>
        <row r="84">
          <cell r="B84" t="str">
            <v>有无电梯</v>
          </cell>
        </row>
        <row r="89">
          <cell r="B89" t="str">
            <v>是否封闭</v>
          </cell>
        </row>
      </sheetData>
      <sheetData sheetId="40" refreshError="1"/>
      <sheetData sheetId="4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北京市出让国有建设用地使用权及在建建筑物房地产抵押价值预评估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受贵公司委托，我公司对北京市出让国有建设用地使用权及在建建筑物房地产抵押价值进行了预评估。</v>
      </c>
    </row>
    <row r="7" spans="1:2">
      <c r="A7" s="1116" t="s">
        <v>566</v>
      </c>
      <c r="B7" s="1117" t="str">
        <f>'预评函-1'!A7</f>
        <v>估价对象为北京市出让国有建设用地使用权及在建建筑物房地产，为所有。根据《国有土地使用证》[]，估价对象（分摊）出让国有建设用地使用权面积为29999.43平方米，建筑面积为67554.0699999999平方米。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出让国有建设用地使用权及在建建筑物房地产,属开发建设的，该项目尚在开发建设中。根据《国有土地使用证》[]，估价对象（分摊）出让国有建设用地使用权面积为29999.43平方米，规划建筑面积为67554.0699999999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2025年5月26日（评估专业人员实地查勘之日）</v>
      </c>
    </row>
    <row r="13" spans="1:2">
      <c r="A13" s="1116" t="s">
        <v>529</v>
      </c>
      <c r="B13" s="1117" t="str">
        <f>'预评函-1'!A18</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
      </c>
    </row>
    <row r="18" spans="1:2" s="1112" customFormat="1" ht="15" thickBot="1">
      <c r="A18" s="1119" t="s">
        <v>534</v>
      </c>
      <c r="B18" s="1120" t="str">
        <f>'预评函-1'!A24</f>
        <v>本次评估采用的主估价方法为成本法和假设开发法。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470229</v>
      </c>
    </row>
    <row r="21" spans="1:2">
      <c r="A21" s="1116" t="s">
        <v>537</v>
      </c>
      <c r="B21" s="1117">
        <f ca="1">'预评函-2'!D7</f>
        <v>69608</v>
      </c>
    </row>
    <row r="22" spans="1:2">
      <c r="A22" s="1116" t="s">
        <v>538</v>
      </c>
      <c r="B22" s="1117" t="str">
        <f ca="1">'预评函-2'!D6</f>
        <v>肆拾柒亿零贰佰贰拾玖万元整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470229</v>
      </c>
    </row>
    <row r="31" spans="1:2">
      <c r="A31" s="1116" t="s">
        <v>576</v>
      </c>
      <c r="B31" s="1117">
        <f ca="1">'预评函-2'!D15</f>
        <v>69608</v>
      </c>
    </row>
    <row r="32" spans="1:2">
      <c r="A32" s="1116" t="s">
        <v>543</v>
      </c>
      <c r="B32" s="1117" t="str">
        <f ca="1">'预评函-2'!D14</f>
        <v>肆拾柒亿零贰佰贰拾玖万元整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北京市出让国有建设用地使用权及在建建筑物房地产</v>
      </c>
    </row>
    <row r="42" spans="1:2">
      <c r="A42" s="1116" t="s">
        <v>590</v>
      </c>
      <c r="B42" s="1117" t="str">
        <f>'预评函-3'!B2</f>
        <v>建筑面积</v>
      </c>
    </row>
    <row r="43" spans="1:2">
      <c r="A43" s="1116" t="s">
        <v>591</v>
      </c>
      <c r="B43" s="1117">
        <f>'预评函-3'!B4</f>
        <v>67554.06999999992</v>
      </c>
    </row>
    <row r="44" spans="1:2">
      <c r="A44" s="1116" t="s">
        <v>575</v>
      </c>
      <c r="B44" s="1117" t="str">
        <f>'预评函-3'!C2</f>
        <v>(分摊)土地面积</v>
      </c>
    </row>
    <row r="45" spans="1:2">
      <c r="A45" s="1116" t="s">
        <v>547</v>
      </c>
      <c r="B45" s="1117">
        <f>'预评函-3'!C4</f>
        <v>29999.43</v>
      </c>
    </row>
    <row r="46" spans="1:2">
      <c r="A46" s="1116" t="s">
        <v>573</v>
      </c>
      <c r="B46" s="1117" t="str">
        <f>'预评函-3'!D2</f>
        <v>出让国有建设用地使用权价值</v>
      </c>
    </row>
    <row r="47" spans="1:2">
      <c r="A47" s="1116" t="s">
        <v>548</v>
      </c>
      <c r="B47" s="1117">
        <f ca="1">'预评函-3'!D4</f>
        <v>420435</v>
      </c>
    </row>
    <row r="48" spans="1:2">
      <c r="A48" s="1116" t="s">
        <v>549</v>
      </c>
      <c r="B48" s="1117">
        <f ca="1">'预评函-3'!E4</f>
        <v>62237</v>
      </c>
    </row>
    <row r="49" spans="1:2">
      <c r="A49" s="1116" t="s">
        <v>550</v>
      </c>
      <c r="B49" s="1117" t="str">
        <f ca="1">'预评函-3'!D5</f>
        <v>肆拾贰亿零肆佰叁拾伍万元整</v>
      </c>
    </row>
    <row r="50" spans="1:2">
      <c r="A50" s="1116" t="s">
        <v>574</v>
      </c>
      <c r="B50" s="1117" t="str">
        <f>'预评函-3'!F2</f>
        <v>在建建筑物价值</v>
      </c>
    </row>
    <row r="51" spans="1:2">
      <c r="A51" s="1116" t="s">
        <v>551</v>
      </c>
      <c r="B51" s="1117">
        <f ca="1">'预评函-3'!F4</f>
        <v>49794</v>
      </c>
    </row>
    <row r="52" spans="1:2">
      <c r="A52" s="1116" t="s">
        <v>552</v>
      </c>
      <c r="B52" s="1117">
        <f ca="1">'预评函-3'!G4</f>
        <v>7371</v>
      </c>
    </row>
    <row r="53" spans="1:2">
      <c r="A53" s="1116" t="s">
        <v>580</v>
      </c>
      <c r="B53" s="1117" t="str">
        <f ca="1">'预评函-3'!F5</f>
        <v>肆亿玖仟柒佰玖拾肆万元整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3341</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3327</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3328</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3329</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3330</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3331</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3332</v>
      </c>
    </row>
    <row r="8" spans="1:23">
      <c r="A8" s="1438" t="s">
        <v>1026</v>
      </c>
      <c r="B8" s="1438" t="s">
        <v>1027</v>
      </c>
      <c r="C8" s="1439" t="s">
        <v>319</v>
      </c>
      <c r="F8" s="1440" t="s">
        <v>1028</v>
      </c>
      <c r="H8" s="1440" t="s">
        <v>2567</v>
      </c>
      <c r="I8" s="1440" t="s">
        <v>3333</v>
      </c>
    </row>
    <row r="9" spans="1:23">
      <c r="A9" s="1438" t="s">
        <v>1029</v>
      </c>
      <c r="B9" s="1438" t="s">
        <v>1030</v>
      </c>
      <c r="C9" s="1439" t="s">
        <v>320</v>
      </c>
      <c r="F9" s="1440" t="s">
        <v>1031</v>
      </c>
      <c r="H9" s="1440"/>
      <c r="I9" s="1442" t="s">
        <v>3334</v>
      </c>
    </row>
    <row r="10" spans="1:23">
      <c r="A10" s="1438" t="s">
        <v>1032</v>
      </c>
      <c r="B10" s="1438" t="s">
        <v>1033</v>
      </c>
      <c r="C10" s="1439" t="s">
        <v>321</v>
      </c>
      <c r="F10" s="1440" t="s">
        <v>2568</v>
      </c>
      <c r="I10" s="1442" t="s">
        <v>3335</v>
      </c>
    </row>
    <row r="11" spans="1:23">
      <c r="A11" s="1438" t="s">
        <v>1034</v>
      </c>
      <c r="B11" s="1438" t="s">
        <v>1035</v>
      </c>
      <c r="C11" s="1439" t="s">
        <v>322</v>
      </c>
      <c r="F11" s="1440" t="s">
        <v>13</v>
      </c>
      <c r="I11" s="1442" t="s">
        <v>3336</v>
      </c>
    </row>
    <row r="12" spans="1:23">
      <c r="A12" s="1438" t="s">
        <v>1036</v>
      </c>
      <c r="B12" s="1438" t="s">
        <v>1037</v>
      </c>
      <c r="C12" s="1439" t="s">
        <v>323</v>
      </c>
      <c r="I12" s="1442" t="s">
        <v>3337</v>
      </c>
    </row>
    <row r="13" spans="1:23">
      <c r="A13" s="1438" t="s">
        <v>1038</v>
      </c>
      <c r="B13" s="1438" t="s">
        <v>1039</v>
      </c>
      <c r="C13" s="1439" t="s">
        <v>324</v>
      </c>
      <c r="I13" s="1442" t="s">
        <v>3338</v>
      </c>
    </row>
    <row r="14" spans="1:23">
      <c r="A14" s="1438" t="s">
        <v>1040</v>
      </c>
      <c r="B14" s="1438" t="s">
        <v>1041</v>
      </c>
      <c r="C14" s="1440" t="s">
        <v>13</v>
      </c>
      <c r="I14" s="1442" t="s">
        <v>3339</v>
      </c>
    </row>
    <row r="15" spans="1:23">
      <c r="A15" s="1438" t="s">
        <v>1042</v>
      </c>
      <c r="B15" s="1438" t="s">
        <v>1043</v>
      </c>
      <c r="C15" s="1439"/>
      <c r="I15" s="1442" t="s">
        <v>3340</v>
      </c>
    </row>
    <row r="16" spans="1:23">
      <c r="A16" s="1438" t="s">
        <v>1044</v>
      </c>
      <c r="B16" s="1438" t="s">
        <v>312</v>
      </c>
      <c r="C16" s="1439"/>
    </row>
    <row r="17" spans="1:3">
      <c r="A17" s="1438" t="s">
        <v>1045</v>
      </c>
      <c r="B17" s="1438" t="s">
        <v>2283</v>
      </c>
      <c r="C17" s="1439"/>
    </row>
    <row r="18" spans="1:3">
      <c r="A18" s="1438" t="s">
        <v>1046</v>
      </c>
      <c r="B18" s="1438" t="s">
        <v>2423</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74"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1444" t="s">
        <v>385</v>
      </c>
      <c r="C54" s="1442" t="s">
        <v>583</v>
      </c>
    </row>
    <row r="55" spans="1:4">
      <c r="A55" s="3274"/>
      <c r="B55" s="1444" t="s">
        <v>386</v>
      </c>
      <c r="C55" s="1442" t="s">
        <v>584</v>
      </c>
    </row>
    <row r="56" spans="1:4">
      <c r="A56" s="3274"/>
      <c r="B56" s="1444" t="s">
        <v>387</v>
      </c>
      <c r="C56" s="1442" t="s">
        <v>588</v>
      </c>
    </row>
    <row r="57" spans="1:4">
      <c r="A57" s="3274"/>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2490</v>
      </c>
      <c r="B1" s="2752"/>
      <c r="C1" s="2752"/>
      <c r="D1" s="2752"/>
      <c r="E1" s="2752"/>
      <c r="F1" s="2753"/>
      <c r="I1" s="3129" t="s">
        <v>2583</v>
      </c>
      <c r="J1" s="2778"/>
      <c r="K1" s="2778"/>
      <c r="L1" s="2778"/>
      <c r="M1" s="2778"/>
      <c r="N1" s="2963"/>
      <c r="O1" s="2963"/>
      <c r="P1" s="2963"/>
      <c r="Q1" s="2963"/>
      <c r="R1" s="2963"/>
    </row>
    <row r="2" spans="1:18">
      <c r="A2" s="2755"/>
      <c r="B2" s="2756"/>
      <c r="C2" s="2756"/>
      <c r="D2" s="2756"/>
      <c r="E2" s="2756"/>
      <c r="F2" s="2757"/>
      <c r="I2" s="3275" t="s">
        <v>2570</v>
      </c>
      <c r="J2" s="3275"/>
      <c r="K2" s="3275"/>
      <c r="L2" s="3275"/>
      <c r="M2" s="3275"/>
      <c r="N2" s="3275"/>
      <c r="O2" s="3275"/>
      <c r="P2" s="3275"/>
      <c r="Q2" s="3275"/>
      <c r="R2" s="3275"/>
    </row>
    <row r="3" spans="1:18">
      <c r="A3" s="2758" t="s">
        <v>2491</v>
      </c>
      <c r="B3" s="2759">
        <f>项目基本情况!D3</f>
        <v>45803</v>
      </c>
      <c r="C3" s="2761"/>
      <c r="D3" s="2761"/>
      <c r="E3" s="2761"/>
      <c r="F3" s="2757"/>
      <c r="I3" s="2773"/>
      <c r="J3" s="2773" t="s">
        <v>2574</v>
      </c>
      <c r="K3" s="2773" t="s">
        <v>2575</v>
      </c>
      <c r="L3" s="2773" t="s">
        <v>2576</v>
      </c>
      <c r="M3" s="2773" t="s">
        <v>2577</v>
      </c>
      <c r="N3" s="3130" t="s">
        <v>2578</v>
      </c>
      <c r="O3" s="3130" t="s">
        <v>2579</v>
      </c>
      <c r="P3" s="3130" t="s">
        <v>2580</v>
      </c>
      <c r="Q3" s="3130" t="s">
        <v>2581</v>
      </c>
      <c r="R3" s="3130" t="s">
        <v>2582</v>
      </c>
    </row>
    <row r="4" spans="1:18">
      <c r="A4" s="2758" t="s">
        <v>2492</v>
      </c>
      <c r="B4" s="2761" t="s">
        <v>2493</v>
      </c>
      <c r="C4" s="2761" t="s">
        <v>2494</v>
      </c>
      <c r="D4" s="2761" t="s">
        <v>2495</v>
      </c>
      <c r="E4" s="2761" t="s">
        <v>2496</v>
      </c>
      <c r="F4" s="2757"/>
      <c r="I4" s="2773" t="s">
        <v>2571</v>
      </c>
      <c r="J4" s="2773">
        <v>80</v>
      </c>
      <c r="K4" s="2773">
        <v>70</v>
      </c>
      <c r="L4" s="2773">
        <v>20</v>
      </c>
      <c r="M4" s="2773">
        <v>30</v>
      </c>
      <c r="N4" s="2761">
        <v>45</v>
      </c>
      <c r="O4" s="2761">
        <v>60</v>
      </c>
      <c r="P4" s="2761">
        <v>50</v>
      </c>
      <c r="Q4" s="2761">
        <v>20</v>
      </c>
      <c r="R4" s="2761">
        <v>375</v>
      </c>
    </row>
    <row r="5" spans="1:18">
      <c r="A5" s="2762">
        <v>40</v>
      </c>
      <c r="B5" s="2759">
        <v>46375</v>
      </c>
      <c r="C5" s="2761">
        <f>ROUNDDOWN(MIN((B5-B3)/365,A5),2)</f>
        <v>1.56</v>
      </c>
      <c r="D5" s="2763">
        <f>IF(ISERROR(ROUND(POWER(1+E5,A5-C5)*(POWER(1+E5,C5)-1)/(POWER(1+E5,A5)-1),3)),0,ROUND(POWER(1+E5,A5-C5)*(POWER(1+E5,C5)-1)/(POWER(1+E5,A5)-1),4))</f>
        <v>7.4999999999999997E-2</v>
      </c>
      <c r="E5" s="2764">
        <v>0.04</v>
      </c>
      <c r="F5" s="2757"/>
      <c r="I5" s="2773" t="s">
        <v>2572</v>
      </c>
      <c r="J5" s="2773">
        <v>70</v>
      </c>
      <c r="K5" s="2773">
        <v>60</v>
      </c>
      <c r="L5" s="2773">
        <v>15</v>
      </c>
      <c r="M5" s="2773">
        <v>25</v>
      </c>
      <c r="N5" s="2761">
        <v>40</v>
      </c>
      <c r="O5" s="2761">
        <v>50</v>
      </c>
      <c r="P5" s="2761">
        <v>40</v>
      </c>
      <c r="Q5" s="2761">
        <v>15</v>
      </c>
      <c r="R5" s="2761">
        <v>315</v>
      </c>
    </row>
    <row r="6" spans="1:18">
      <c r="A6" s="2762">
        <v>50</v>
      </c>
      <c r="B6" s="2759">
        <v>50028</v>
      </c>
      <c r="C6" s="2761">
        <f>ROUNDDOWN(MIN((B6-B3)/365,A6),2)</f>
        <v>11.57</v>
      </c>
      <c r="D6" s="2763">
        <f>IF(ISERROR(ROUND(POWER(1+E6,A6-C6)*(POWER(1+E6,C6)-1)/(POWER(1+E6,A6)-1),3)),0,ROUND(POWER(1+E6,A6-C6)*(POWER(1+E6,C6)-1)/(POWER(1+E6,A6)-1),4))</f>
        <v>0.42449999999999999</v>
      </c>
      <c r="E6" s="2764">
        <v>0.04</v>
      </c>
      <c r="F6" s="2757"/>
      <c r="I6" s="2773" t="s">
        <v>2573</v>
      </c>
      <c r="J6" s="2773">
        <v>60</v>
      </c>
      <c r="K6" s="2773">
        <v>50</v>
      </c>
      <c r="L6" s="2773">
        <v>10</v>
      </c>
      <c r="M6" s="2773">
        <v>20</v>
      </c>
      <c r="N6" s="2761">
        <v>35</v>
      </c>
      <c r="O6" s="2761">
        <v>40</v>
      </c>
      <c r="P6" s="2761">
        <v>30</v>
      </c>
      <c r="Q6" s="2761">
        <v>10</v>
      </c>
      <c r="R6" s="2761">
        <v>255</v>
      </c>
    </row>
    <row r="7" spans="1:18">
      <c r="A7" s="2762">
        <v>70</v>
      </c>
      <c r="B7" s="2759">
        <v>57333</v>
      </c>
      <c r="C7" s="2761">
        <f>ROUNDDOWN(MIN((B7-B3)/365,A7),2)</f>
        <v>31.58</v>
      </c>
      <c r="D7" s="2763">
        <f>IF(ISERROR(ROUND(POWER(1+E7,A7-C7)*(POWER(1+E7,C7)-1)/(POWER(1+E7,A7)-1),3)),0,ROUND(POWER(1+E7,A7-C7)*(POWER(1+E7,C7)-1)/(POWER(1+E7,A7)-1),4))</f>
        <v>0.75890000000000002</v>
      </c>
      <c r="E7" s="2764">
        <v>0.04</v>
      </c>
      <c r="F7" s="2757"/>
    </row>
    <row r="8" spans="1:18">
      <c r="A8" s="2755"/>
      <c r="B8" s="2756"/>
      <c r="C8" s="2756"/>
      <c r="D8" s="2756"/>
      <c r="E8" s="2756"/>
      <c r="F8" s="2757"/>
    </row>
    <row r="9" spans="1:18">
      <c r="A9" s="2758" t="s">
        <v>2497</v>
      </c>
      <c r="B9" s="2761"/>
      <c r="C9" s="2761"/>
      <c r="D9" s="2761"/>
      <c r="E9" s="2761"/>
      <c r="F9" s="2765"/>
    </row>
    <row r="10" spans="1:18">
      <c r="A10" s="2758" t="s">
        <v>2498</v>
      </c>
      <c r="B10" s="2761"/>
      <c r="C10" s="2761"/>
      <c r="D10" s="2761" t="s">
        <v>2496</v>
      </c>
      <c r="E10" s="2761"/>
      <c r="F10" s="2765" t="s">
        <v>2495</v>
      </c>
    </row>
    <row r="11" spans="1:18">
      <c r="A11" s="2758" t="s">
        <v>2499</v>
      </c>
      <c r="B11" s="2766">
        <v>70</v>
      </c>
      <c r="C11" s="2761" t="s">
        <v>2500</v>
      </c>
      <c r="D11" s="2766">
        <v>4.4999999999999998E-2</v>
      </c>
      <c r="E11" s="2761" t="s">
        <v>2501</v>
      </c>
      <c r="F11" s="2767">
        <f>ROUND(1-(1/(POWER(1+D11,B11))),4)</f>
        <v>0.95409999999999995</v>
      </c>
    </row>
    <row r="12" spans="1:18">
      <c r="A12" s="2758" t="s">
        <v>2502</v>
      </c>
      <c r="B12" s="2766">
        <v>40</v>
      </c>
      <c r="C12" s="2761" t="s">
        <v>2503</v>
      </c>
      <c r="D12" s="2766">
        <v>4.4999999999999998E-2</v>
      </c>
      <c r="E12" s="2761" t="s">
        <v>2504</v>
      </c>
      <c r="F12" s="2767">
        <f>ROUND(1-(1/(POWER(1+D12,B12))),4)</f>
        <v>0.82809999999999995</v>
      </c>
    </row>
    <row r="13" spans="1:18">
      <c r="A13" s="2758" t="s">
        <v>2505</v>
      </c>
      <c r="B13" s="2761"/>
      <c r="C13" s="2761"/>
      <c r="D13" s="2756"/>
      <c r="E13" s="2756"/>
      <c r="F13" s="2757"/>
    </row>
    <row r="14" spans="1:18">
      <c r="A14" s="2758" t="s">
        <v>2506</v>
      </c>
      <c r="B14" s="2766">
        <v>5000</v>
      </c>
      <c r="C14" s="2760"/>
      <c r="D14" s="2756"/>
      <c r="E14" s="2756"/>
      <c r="F14" s="2757"/>
    </row>
    <row r="15" spans="1:18">
      <c r="A15" s="2758" t="s">
        <v>2507</v>
      </c>
      <c r="B15" s="2761">
        <f>ROUND(B14*F12/F11,2)</f>
        <v>4339.6899999999996</v>
      </c>
      <c r="C15" s="2761">
        <f>ROUND(F12/F11,4)</f>
        <v>0.8679</v>
      </c>
      <c r="D15" s="2756"/>
      <c r="E15" s="2756"/>
      <c r="F15" s="2757"/>
    </row>
    <row r="16" spans="1:18">
      <c r="A16" s="2758" t="s">
        <v>2508</v>
      </c>
      <c r="B16" s="2761"/>
      <c r="C16" s="2761"/>
      <c r="D16" s="2756"/>
      <c r="E16" s="2756"/>
      <c r="F16" s="2757"/>
    </row>
    <row r="17" spans="1:14">
      <c r="A17" s="2758" t="s">
        <v>2507</v>
      </c>
      <c r="B17" s="2766">
        <v>4810</v>
      </c>
      <c r="C17" s="2760"/>
      <c r="D17" s="2756"/>
      <c r="E17" s="2756"/>
      <c r="F17" s="2757"/>
    </row>
    <row r="18" spans="1:14" ht="14.25" thickBot="1">
      <c r="A18" s="2768" t="s">
        <v>2506</v>
      </c>
      <c r="B18" s="2769">
        <f>ROUND(B17*F11/F12,2)</f>
        <v>5541.87</v>
      </c>
      <c r="C18" s="2769">
        <f>ROUND(F11/F12,4)</f>
        <v>1.1521999999999999</v>
      </c>
      <c r="D18" s="2770"/>
      <c r="E18" s="2770"/>
      <c r="F18" s="2771"/>
    </row>
    <row r="19" spans="1:14" ht="14.25" thickBot="1"/>
    <row r="20" spans="1:14" s="2804" customFormat="1" ht="14.25" thickTop="1">
      <c r="A20" s="2801" t="s">
        <v>2509</v>
      </c>
      <c r="B20" s="2802"/>
      <c r="C20" s="2802"/>
      <c r="D20" s="2802"/>
      <c r="E20" s="2802"/>
      <c r="F20" s="2802"/>
      <c r="G20" s="2803"/>
      <c r="I20" s="2805" t="s">
        <v>2554</v>
      </c>
      <c r="J20" s="2805" t="s">
        <v>2559</v>
      </c>
      <c r="K20" s="2805"/>
      <c r="L20" s="2805"/>
      <c r="M20" s="2805"/>
    </row>
    <row r="21" spans="1:14">
      <c r="A21" s="2772"/>
      <c r="B21" s="2773" t="s">
        <v>2510</v>
      </c>
      <c r="C21" s="2773" t="s">
        <v>2511</v>
      </c>
      <c r="D21" s="2773" t="s">
        <v>2512</v>
      </c>
      <c r="E21" s="2773" t="s">
        <v>2513</v>
      </c>
      <c r="F21" s="2773" t="s">
        <v>2514</v>
      </c>
      <c r="G21" s="2774" t="s">
        <v>2515</v>
      </c>
      <c r="I21" s="2795">
        <v>5</v>
      </c>
      <c r="J21" s="2795">
        <v>54.2</v>
      </c>
    </row>
    <row r="22" spans="1:14">
      <c r="A22" s="2772" t="s">
        <v>2516</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2517</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2557</v>
      </c>
      <c r="N23" s="3147" t="s">
        <v>2558</v>
      </c>
    </row>
    <row r="24" spans="1:14">
      <c r="A24" s="2772" t="s">
        <v>2518</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2556</v>
      </c>
      <c r="N24" s="3147">
        <v>10</v>
      </c>
    </row>
    <row r="25" spans="1:14">
      <c r="A25" s="2772" t="s">
        <v>2519</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2560</v>
      </c>
      <c r="N25" s="3147">
        <v>8</v>
      </c>
    </row>
    <row r="26" spans="1:14">
      <c r="A26" s="2777"/>
      <c r="B26" s="2778"/>
      <c r="C26" s="2778"/>
      <c r="D26" s="2778"/>
      <c r="E26" s="2778"/>
      <c r="F26" s="2778"/>
      <c r="G26" s="2779"/>
      <c r="I26" s="2795">
        <v>30</v>
      </c>
      <c r="J26" s="2795">
        <v>90.5</v>
      </c>
      <c r="K26" s="2795">
        <f t="shared" si="2"/>
        <v>4.2000000000000028</v>
      </c>
      <c r="L26" s="2795" t="s">
        <v>2561</v>
      </c>
      <c r="N26" s="3147">
        <v>5</v>
      </c>
    </row>
    <row r="27" spans="1:14">
      <c r="A27" s="2777" t="s">
        <v>2520</v>
      </c>
      <c r="B27" s="2778"/>
      <c r="C27" s="2778"/>
      <c r="D27" s="2778"/>
      <c r="E27" s="2778"/>
      <c r="F27" s="2778"/>
      <c r="G27" s="2779"/>
      <c r="I27" s="2795">
        <v>35</v>
      </c>
      <c r="J27" s="2795">
        <v>93.8</v>
      </c>
      <c r="K27" s="2795">
        <f t="shared" si="2"/>
        <v>3.2999999999999972</v>
      </c>
      <c r="L27" s="2795" t="s">
        <v>2562</v>
      </c>
      <c r="N27" s="3147">
        <v>3</v>
      </c>
    </row>
    <row r="28" spans="1:14">
      <c r="A28" s="2777" t="s">
        <v>2521</v>
      </c>
      <c r="B28" s="2778"/>
      <c r="C28" s="2778"/>
      <c r="D28" s="2778"/>
      <c r="E28" s="2778"/>
      <c r="F28" s="2778"/>
      <c r="G28" s="2779"/>
      <c r="I28" s="2795">
        <v>40</v>
      </c>
      <c r="J28" s="2795">
        <v>96.4</v>
      </c>
      <c r="K28" s="2795">
        <f t="shared" si="2"/>
        <v>2.6000000000000085</v>
      </c>
      <c r="L28" s="2795" t="s">
        <v>2563</v>
      </c>
      <c r="N28" s="3147">
        <v>2</v>
      </c>
    </row>
    <row r="29" spans="1:14">
      <c r="A29" s="2777" t="s">
        <v>2522</v>
      </c>
      <c r="B29" s="2778"/>
      <c r="C29" s="2778"/>
      <c r="D29" s="2778"/>
      <c r="E29" s="2778"/>
      <c r="F29" s="2778"/>
      <c r="G29" s="2779"/>
      <c r="I29" s="2795">
        <v>45</v>
      </c>
      <c r="J29" s="2795">
        <v>98.4</v>
      </c>
      <c r="K29" s="2795">
        <f t="shared" si="2"/>
        <v>2</v>
      </c>
    </row>
    <row r="30" spans="1:14">
      <c r="A30" s="2777" t="s">
        <v>2523</v>
      </c>
      <c r="B30" s="2778"/>
      <c r="C30" s="2778"/>
      <c r="D30" s="2778"/>
      <c r="E30" s="2778"/>
      <c r="F30" s="2778"/>
      <c r="G30" s="2779"/>
      <c r="I30" s="2795">
        <v>50</v>
      </c>
      <c r="J30" s="2795">
        <v>100</v>
      </c>
      <c r="K30" s="2795">
        <f t="shared" si="2"/>
        <v>1.5999999999999943</v>
      </c>
    </row>
    <row r="31" spans="1:14">
      <c r="A31" s="2777" t="s">
        <v>2524</v>
      </c>
      <c r="B31" s="2778"/>
      <c r="C31" s="2778"/>
      <c r="D31" s="2778"/>
      <c r="E31" s="2778"/>
      <c r="F31" s="2778"/>
      <c r="G31" s="2779"/>
      <c r="I31" s="2795" t="s">
        <v>2555</v>
      </c>
    </row>
    <row r="32" spans="1:14">
      <c r="A32" s="2777" t="s">
        <v>2525</v>
      </c>
      <c r="B32" s="2778"/>
      <c r="C32" s="2778"/>
      <c r="D32" s="2778"/>
      <c r="E32" s="2778"/>
      <c r="F32" s="2778"/>
      <c r="G32" s="2779"/>
    </row>
    <row r="33" spans="1:14">
      <c r="A33" s="2777" t="s">
        <v>2526</v>
      </c>
      <c r="B33" s="2778"/>
      <c r="C33" s="2778"/>
      <c r="D33" s="2778"/>
      <c r="E33" s="2778"/>
      <c r="F33" s="2778"/>
      <c r="G33" s="2779"/>
      <c r="I33" s="2795" t="s">
        <v>2554</v>
      </c>
      <c r="J33" s="2795" t="s">
        <v>2564</v>
      </c>
    </row>
    <row r="34" spans="1:14">
      <c r="A34" s="2777" t="s">
        <v>2527</v>
      </c>
      <c r="B34" s="2778"/>
      <c r="C34" s="2778"/>
      <c r="D34" s="2778"/>
      <c r="E34" s="2778"/>
      <c r="F34" s="2778"/>
      <c r="G34" s="2779"/>
      <c r="I34" s="2795">
        <v>5</v>
      </c>
      <c r="J34" s="2795">
        <v>55.1</v>
      </c>
    </row>
    <row r="35" spans="1:14">
      <c r="A35" s="2777" t="s">
        <v>2528</v>
      </c>
      <c r="B35" s="2778"/>
      <c r="C35" s="2778"/>
      <c r="D35" s="2778"/>
      <c r="E35" s="2778"/>
      <c r="F35" s="2778"/>
      <c r="G35" s="2779"/>
      <c r="I35" s="2795">
        <v>10</v>
      </c>
      <c r="J35" s="2795">
        <v>67</v>
      </c>
      <c r="K35" s="2795">
        <f>J35-J34</f>
        <v>11.899999999999999</v>
      </c>
    </row>
    <row r="36" spans="1:14">
      <c r="A36" s="2777" t="s">
        <v>2529</v>
      </c>
      <c r="B36" s="2778"/>
      <c r="C36" s="2778"/>
      <c r="D36" s="2778"/>
      <c r="E36" s="2778"/>
      <c r="F36" s="2778"/>
      <c r="G36" s="2779"/>
      <c r="I36" s="2795">
        <v>15</v>
      </c>
      <c r="J36" s="2795">
        <v>76.3</v>
      </c>
      <c r="K36" s="2795">
        <f t="shared" ref="K36:K41" si="3">J36-J35</f>
        <v>9.2999999999999972</v>
      </c>
      <c r="L36" s="2795" t="s">
        <v>2557</v>
      </c>
      <c r="N36" s="3147" t="s">
        <v>2558</v>
      </c>
    </row>
    <row r="37" spans="1:14">
      <c r="A37" s="2777" t="s">
        <v>2530</v>
      </c>
      <c r="B37" s="2778"/>
      <c r="C37" s="2778"/>
      <c r="D37" s="2778"/>
      <c r="E37" s="2778"/>
      <c r="F37" s="2778"/>
      <c r="G37" s="2779"/>
      <c r="I37" s="2795">
        <v>20</v>
      </c>
      <c r="J37" s="2795">
        <v>83.6</v>
      </c>
      <c r="K37" s="2795">
        <f t="shared" si="3"/>
        <v>7.2999999999999972</v>
      </c>
      <c r="L37" s="2795" t="s">
        <v>2556</v>
      </c>
      <c r="N37" s="3147">
        <v>10</v>
      </c>
    </row>
    <row r="38" spans="1:14">
      <c r="A38" s="2777" t="s">
        <v>2531</v>
      </c>
      <c r="B38" s="2778"/>
      <c r="C38" s="2778"/>
      <c r="D38" s="2778"/>
      <c r="E38" s="2778"/>
      <c r="F38" s="2778"/>
      <c r="G38" s="2779"/>
      <c r="I38" s="2795">
        <v>25</v>
      </c>
      <c r="J38" s="2795">
        <v>89.3</v>
      </c>
      <c r="K38" s="2795">
        <f t="shared" si="3"/>
        <v>5.7000000000000028</v>
      </c>
      <c r="L38" s="2795" t="s">
        <v>2560</v>
      </c>
      <c r="N38" s="3147">
        <v>8</v>
      </c>
    </row>
    <row r="39" spans="1:14">
      <c r="A39" s="2777"/>
      <c r="B39" s="2778"/>
      <c r="C39" s="2778"/>
      <c r="D39" s="2778"/>
      <c r="E39" s="2778"/>
      <c r="F39" s="2778"/>
      <c r="G39" s="2779"/>
      <c r="I39" s="2795">
        <v>30</v>
      </c>
      <c r="J39" s="2795">
        <v>93.8</v>
      </c>
      <c r="K39" s="2795">
        <f t="shared" si="3"/>
        <v>4.5</v>
      </c>
      <c r="L39" s="2795" t="s">
        <v>2561</v>
      </c>
      <c r="N39" s="3147">
        <v>6</v>
      </c>
    </row>
    <row r="40" spans="1:14">
      <c r="A40" s="2780" t="s">
        <v>2532</v>
      </c>
      <c r="B40" s="2781"/>
      <c r="C40" s="2781"/>
      <c r="D40" s="2781"/>
      <c r="E40" s="2781"/>
      <c r="F40" s="2781"/>
      <c r="G40" s="2782"/>
      <c r="I40" s="2795">
        <v>35</v>
      </c>
      <c r="J40" s="2795">
        <v>97.2</v>
      </c>
      <c r="K40" s="2795">
        <f t="shared" si="3"/>
        <v>3.4000000000000057</v>
      </c>
      <c r="L40" s="2795" t="s">
        <v>2562</v>
      </c>
      <c r="N40" s="3147">
        <v>3</v>
      </c>
    </row>
    <row r="41" spans="1:14">
      <c r="A41" s="2783" t="s">
        <v>2533</v>
      </c>
      <c r="B41" s="2784" t="s">
        <v>2534</v>
      </c>
      <c r="C41" s="2785" t="s">
        <v>2535</v>
      </c>
      <c r="D41" s="2785" t="s">
        <v>2536</v>
      </c>
      <c r="E41" s="2786"/>
      <c r="F41" s="2787"/>
      <c r="G41" s="2788"/>
      <c r="I41" s="2795">
        <v>40</v>
      </c>
      <c r="J41" s="2795">
        <v>100</v>
      </c>
      <c r="K41" s="2795">
        <f t="shared" si="3"/>
        <v>2.7999999999999972</v>
      </c>
    </row>
    <row r="42" spans="1:14">
      <c r="A42" s="2783" t="s">
        <v>2537</v>
      </c>
      <c r="B42" s="2784" t="s">
        <v>2538</v>
      </c>
      <c r="C42" s="2785" t="s">
        <v>2539</v>
      </c>
      <c r="D42" s="2789" t="s">
        <v>2540</v>
      </c>
      <c r="E42" s="2781" t="s">
        <v>2541</v>
      </c>
      <c r="F42" s="2781"/>
      <c r="G42" s="2782"/>
    </row>
    <row r="43" spans="1:14">
      <c r="A43" s="2783" t="s">
        <v>2542</v>
      </c>
      <c r="B43" s="2784" t="s">
        <v>2543</v>
      </c>
      <c r="C43" s="2785" t="s">
        <v>2544</v>
      </c>
      <c r="D43" s="2785" t="s">
        <v>2545</v>
      </c>
      <c r="E43" s="2786" t="s">
        <v>2546</v>
      </c>
      <c r="F43" s="2787"/>
      <c r="G43" s="2788"/>
      <c r="I43" s="2795" t="s">
        <v>2554</v>
      </c>
      <c r="J43" s="2795" t="s">
        <v>2565</v>
      </c>
    </row>
    <row r="44" spans="1:14">
      <c r="A44" s="2783" t="s">
        <v>2547</v>
      </c>
      <c r="B44" s="2784" t="s">
        <v>2548</v>
      </c>
      <c r="C44" s="2785" t="s">
        <v>2549</v>
      </c>
      <c r="D44" s="2789">
        <v>0.5</v>
      </c>
      <c r="E44" s="2786" t="s">
        <v>2550</v>
      </c>
      <c r="F44" s="2787"/>
      <c r="G44" s="2788"/>
      <c r="I44" s="2795">
        <v>30</v>
      </c>
      <c r="J44" s="2795">
        <v>81.7</v>
      </c>
    </row>
    <row r="45" spans="1:14" ht="14.25" thickBot="1">
      <c r="A45" s="2790" t="s">
        <v>2551</v>
      </c>
      <c r="B45" s="2791" t="s">
        <v>2538</v>
      </c>
      <c r="C45" s="2792" t="s">
        <v>2538</v>
      </c>
      <c r="D45" s="2792" t="s">
        <v>2552</v>
      </c>
      <c r="E45" s="2793" t="s">
        <v>2553</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4.25" thickBot="1"/>
    <row r="49" spans="1:4">
      <c r="A49" s="2751" t="s">
        <v>3376</v>
      </c>
    </row>
    <row r="50" spans="1:4">
      <c r="A50" s="3139" t="s">
        <v>3377</v>
      </c>
      <c r="B50" s="3139" t="s">
        <v>3378</v>
      </c>
      <c r="C50" s="3139" t="s">
        <v>3379</v>
      </c>
      <c r="D50" s="3139" t="s">
        <v>3380</v>
      </c>
    </row>
    <row r="51" spans="1:4">
      <c r="A51" s="3139" t="s">
        <v>3381</v>
      </c>
      <c r="B51" s="2760">
        <f>B52+B53</f>
        <v>15000</v>
      </c>
      <c r="C51" s="3140">
        <f>D51/B51</f>
        <v>2666.6666666666665</v>
      </c>
      <c r="D51" s="2760">
        <f>D52+D53</f>
        <v>40000000</v>
      </c>
    </row>
    <row r="52" spans="1:4">
      <c r="A52" s="3141" t="s">
        <v>3382</v>
      </c>
      <c r="B52" s="3142">
        <v>10000</v>
      </c>
      <c r="C52" s="3142">
        <v>1500</v>
      </c>
      <c r="D52" s="3143">
        <f>C52*B52</f>
        <v>15000000</v>
      </c>
    </row>
    <row r="53" spans="1:4">
      <c r="A53" s="3141" t="s">
        <v>3383</v>
      </c>
      <c r="B53" s="3142">
        <v>5000</v>
      </c>
      <c r="C53" s="3142">
        <v>5000</v>
      </c>
      <c r="D53" s="3143">
        <f>C53*B53</f>
        <v>25000000</v>
      </c>
    </row>
    <row r="54" spans="1:4">
      <c r="A54" s="3139" t="s">
        <v>3384</v>
      </c>
      <c r="B54" s="2760">
        <f>B51</f>
        <v>15000</v>
      </c>
      <c r="C54" s="2766">
        <v>700</v>
      </c>
      <c r="D54" s="2760">
        <f t="shared" ref="D54:D55" si="5">C54*B54</f>
        <v>10500000</v>
      </c>
    </row>
    <row r="55" spans="1:4">
      <c r="A55" s="3139" t="s">
        <v>3385</v>
      </c>
      <c r="B55" s="2760">
        <f>B51</f>
        <v>15000</v>
      </c>
      <c r="C55" s="2766">
        <v>1500</v>
      </c>
      <c r="D55" s="2760">
        <f t="shared" si="5"/>
        <v>22500000</v>
      </c>
    </row>
    <row r="56" spans="1:4">
      <c r="A56" s="3139" t="s">
        <v>3386</v>
      </c>
      <c r="B56" s="2760">
        <f>B51</f>
        <v>15000</v>
      </c>
      <c r="C56" s="3144">
        <f>C51+C54+C55</f>
        <v>4866.6666666666661</v>
      </c>
      <c r="D56" s="2760">
        <f>D51+D54+D55</f>
        <v>73000000</v>
      </c>
    </row>
    <row r="58" spans="1:4">
      <c r="A58" s="3139" t="s">
        <v>3387</v>
      </c>
      <c r="B58" s="3145">
        <v>0.05</v>
      </c>
      <c r="C58" s="2760">
        <f>C56*(1+B58)</f>
        <v>5110</v>
      </c>
      <c r="D58" s="2760">
        <f>D56*B58</f>
        <v>3650000</v>
      </c>
    </row>
    <row r="60" spans="1:4">
      <c r="A60" s="3139" t="s">
        <v>3388</v>
      </c>
      <c r="B60" s="2766">
        <v>3500</v>
      </c>
      <c r="C60" s="2766">
        <f>C53</f>
        <v>5000</v>
      </c>
      <c r="D60" s="2760">
        <f>C60*B60</f>
        <v>17500000</v>
      </c>
    </row>
    <row r="62" spans="1:4">
      <c r="A62" s="3139" t="s">
        <v>3389</v>
      </c>
      <c r="B62" s="2766">
        <f>B51</f>
        <v>15000</v>
      </c>
      <c r="C62" s="3146">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I29" sqref="I29"/>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6" t="s">
        <v>2167</v>
      </c>
      <c r="B1" s="3276"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77"/>
      <c r="D1" s="3277"/>
      <c r="E1" s="3277"/>
      <c r="F1" s="3277"/>
      <c r="G1" s="3277"/>
      <c r="H1" s="3277"/>
      <c r="I1" s="3278"/>
      <c r="J1" s="2240"/>
      <c r="K1" s="2178"/>
      <c r="L1" s="2179"/>
      <c r="M1" s="2179"/>
      <c r="N1" s="2177"/>
      <c r="O1" s="1463"/>
      <c r="P1" s="2177"/>
      <c r="Q1" s="2177"/>
      <c r="R1" s="2177"/>
      <c r="S1" s="155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5"/>
      <c r="U1" s="1615"/>
      <c r="V1" s="1615"/>
      <c r="W1" s="1615"/>
      <c r="X1" s="1615"/>
      <c r="Y1" s="1615"/>
      <c r="Z1" s="1615"/>
      <c r="AA1" s="1615"/>
      <c r="AB1" s="1615"/>
    </row>
    <row r="2" spans="1:30">
      <c r="A2" s="2177" t="s">
        <v>2168</v>
      </c>
      <c r="B2" s="122"/>
      <c r="D2" s="2443"/>
      <c r="E2" s="2436"/>
      <c r="F2" s="2436"/>
      <c r="G2" s="2437"/>
      <c r="H2" s="2437"/>
      <c r="I2" s="2437"/>
      <c r="J2" s="2240"/>
      <c r="K2" s="2178"/>
      <c r="L2" s="2179"/>
      <c r="M2" s="2179"/>
      <c r="N2" s="2177"/>
      <c r="O2" s="1463"/>
      <c r="P2" s="2177"/>
      <c r="Q2" s="2177"/>
      <c r="R2" s="2177"/>
      <c r="S2" s="1558" t="str">
        <f>IF(B10="北京市","北京市",C10)&amp;F10&amp;IF(结果表!G1="在建","出让国有建设用地使用权及在建建筑物房地产",IF(结果表!G1="土地","出让国有建设用地使用权","房地产"))</f>
        <v>北京市出让国有建设用地使用权及在建建筑物房地产</v>
      </c>
      <c r="T2" s="1615"/>
      <c r="U2" s="1615"/>
      <c r="V2" s="1615"/>
      <c r="W2" s="1615"/>
      <c r="X2" s="1615"/>
      <c r="Y2" s="1615"/>
      <c r="Z2" s="1615"/>
      <c r="AA2" s="1615"/>
      <c r="AB2" s="1615"/>
    </row>
    <row r="3" spans="1:30">
      <c r="A3" s="294" t="s">
        <v>2169</v>
      </c>
      <c r="B3" s="2180">
        <v>45803</v>
      </c>
      <c r="C3" s="2181" t="s">
        <v>2170</v>
      </c>
      <c r="D3" s="2180">
        <v>45803</v>
      </c>
      <c r="E3" s="2437"/>
      <c r="F3" s="2437"/>
      <c r="G3" s="2437"/>
      <c r="H3" s="2437"/>
      <c r="I3" s="2437"/>
      <c r="J3" s="2240"/>
      <c r="K3" s="2178"/>
      <c r="L3" s="2179"/>
      <c r="M3" s="2179"/>
      <c r="N3" s="2177"/>
      <c r="O3" s="1463"/>
      <c r="P3" s="2177"/>
      <c r="Q3" s="2177"/>
      <c r="R3" s="2177"/>
      <c r="S3" s="1558"/>
      <c r="T3" s="1615"/>
      <c r="U3" s="1615"/>
      <c r="V3" s="1615"/>
      <c r="W3" s="1615"/>
      <c r="X3" s="1615"/>
      <c r="Y3" s="1615"/>
      <c r="Z3" s="1615"/>
      <c r="AA3" s="1615"/>
      <c r="AB3" s="1615"/>
    </row>
    <row r="4" spans="1:30" ht="13.5" thickBot="1">
      <c r="A4" s="1024" t="s">
        <v>2171</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3"/>
      <c r="P4" s="2177"/>
      <c r="Q4" s="2177"/>
      <c r="R4" s="2177"/>
      <c r="S4" s="1558"/>
      <c r="T4" s="1615"/>
      <c r="U4" s="1615"/>
      <c r="V4" s="1615"/>
      <c r="W4" s="1615"/>
      <c r="X4" s="1615"/>
      <c r="Y4" s="1615"/>
      <c r="Z4" s="1615"/>
      <c r="AA4" s="1615"/>
      <c r="AB4" s="1615"/>
    </row>
    <row r="5" spans="1:30" ht="13.5" thickTop="1">
      <c r="A5" s="2185" t="s">
        <v>2172</v>
      </c>
      <c r="B5" s="2186"/>
      <c r="C5" s="2187"/>
      <c r="D5" s="2188"/>
      <c r="E5" s="2437"/>
      <c r="F5" s="2437"/>
      <c r="G5" s="2437"/>
      <c r="H5" s="2437"/>
      <c r="I5" s="2437"/>
      <c r="J5" s="2240"/>
      <c r="K5" s="2184" t="str">
        <f>IF(F4="——","",IF(H4="——",F4&amp;"（注册号："&amp;G4&amp;")",CONCATENATE(F4,"（注册号：",G4,")、",H4,"（注册号：",I4,")")))</f>
        <v>（注册号：0)、（注册号：0)</v>
      </c>
      <c r="L5" s="2179"/>
      <c r="M5" s="2179"/>
      <c r="N5" s="2177"/>
      <c r="O5" s="1463"/>
      <c r="P5" s="2177"/>
      <c r="Q5" s="2177"/>
      <c r="R5" s="2177"/>
      <c r="S5" s="1615"/>
      <c r="T5" s="1615"/>
      <c r="U5" s="1615"/>
      <c r="V5" s="1615"/>
      <c r="W5" s="1615"/>
      <c r="X5" s="1615"/>
      <c r="Y5" s="1615"/>
      <c r="Z5" s="1615"/>
      <c r="AA5" s="1615"/>
      <c r="AB5" s="1615"/>
    </row>
    <row r="6" spans="1:30">
      <c r="A6" s="2189" t="s">
        <v>2173</v>
      </c>
      <c r="B6" s="2190"/>
      <c r="C6" s="2191"/>
      <c r="D6" s="2192"/>
      <c r="E6" s="2436"/>
      <c r="F6" s="2437"/>
      <c r="G6" s="2437"/>
      <c r="H6" s="2437"/>
      <c r="I6" s="2437"/>
      <c r="J6" s="2240"/>
      <c r="K6" s="2396" t="str">
        <f>IF(COUNTIF(B6,"*上海银行*"),"上海银行","")</f>
        <v/>
      </c>
      <c r="L6" s="2394"/>
      <c r="M6" s="2394"/>
      <c r="N6" s="2240"/>
      <c r="O6" s="1667"/>
      <c r="P6" s="2240"/>
      <c r="Q6" s="2240"/>
      <c r="R6" s="2240"/>
    </row>
    <row r="7" spans="1:30">
      <c r="A7" s="2189" t="s">
        <v>2174</v>
      </c>
      <c r="B7" s="2193"/>
      <c r="C7" s="2191"/>
      <c r="D7" s="2192"/>
      <c r="E7" s="2436"/>
      <c r="F7" s="2437"/>
      <c r="G7" s="2437"/>
      <c r="H7" s="2437"/>
      <c r="I7" s="2437"/>
      <c r="J7" s="2240"/>
      <c r="K7" s="2397"/>
      <c r="L7" s="2394"/>
      <c r="M7" s="2394"/>
      <c r="N7" s="2240"/>
      <c r="O7" s="1667"/>
      <c r="P7" s="2240"/>
      <c r="Q7" s="2240"/>
      <c r="R7" s="2240"/>
    </row>
    <row r="8" spans="1:30">
      <c r="A8" s="2194" t="s">
        <v>2175</v>
      </c>
      <c r="B8" s="2195" t="s">
        <v>5686</v>
      </c>
      <c r="C8" s="2196"/>
      <c r="D8" s="3279" t="s">
        <v>2176</v>
      </c>
      <c r="E8" s="2197" t="s">
        <v>5687</v>
      </c>
      <c r="F8" s="2198"/>
      <c r="G8" s="2437"/>
      <c r="H8" s="2437"/>
      <c r="I8" s="2437"/>
      <c r="J8" s="2240"/>
      <c r="K8" s="2395"/>
      <c r="L8" s="2394"/>
      <c r="M8" s="2394"/>
      <c r="N8" s="2240"/>
      <c r="O8" s="1667"/>
      <c r="P8" s="2240"/>
      <c r="Q8" s="2240"/>
      <c r="R8" s="2240"/>
    </row>
    <row r="9" spans="1:30" ht="13.5" thickBot="1">
      <c r="A9" s="2199" t="s">
        <v>2177</v>
      </c>
      <c r="B9" s="2200" t="s">
        <v>5687</v>
      </c>
      <c r="C9" s="2201"/>
      <c r="D9" s="3280"/>
      <c r="E9" s="2200" t="s">
        <v>43</v>
      </c>
      <c r="F9" s="2202"/>
      <c r="G9" s="2438"/>
      <c r="H9" s="2438"/>
      <c r="I9" s="2438"/>
      <c r="J9" s="2240"/>
      <c r="K9" s="2397"/>
      <c r="L9" s="2394"/>
      <c r="M9" s="2394"/>
      <c r="N9" s="2240"/>
      <c r="O9" s="1667"/>
      <c r="P9" s="2240"/>
      <c r="Q9" s="2240"/>
      <c r="R9" s="2240"/>
    </row>
    <row r="10" spans="1:30" ht="13.5" thickTop="1">
      <c r="A10" s="2203" t="s">
        <v>2178</v>
      </c>
      <c r="B10" s="2204" t="s">
        <v>5688</v>
      </c>
      <c r="C10" s="2205"/>
      <c r="D10" s="2188"/>
      <c r="E10" s="2206" t="s">
        <v>2179</v>
      </c>
      <c r="F10" s="2439"/>
      <c r="G10" s="2440"/>
      <c r="H10" s="2441"/>
      <c r="I10" s="2442"/>
      <c r="J10" s="2240"/>
      <c r="K10" s="2397"/>
      <c r="L10" s="2394"/>
      <c r="M10" s="2394"/>
      <c r="N10" s="2240"/>
      <c r="O10" s="1667"/>
      <c r="P10" s="2240"/>
      <c r="Q10" s="2240"/>
      <c r="R10" s="2240"/>
    </row>
    <row r="11" spans="1:30">
      <c r="A11" s="2207" t="s">
        <v>2180</v>
      </c>
      <c r="B11" s="2208" t="s">
        <v>5689</v>
      </c>
      <c r="C11" s="2209"/>
      <c r="D11" s="2210"/>
      <c r="E11" s="2177"/>
      <c r="F11" s="2177"/>
      <c r="G11" s="2177"/>
      <c r="H11" s="2177"/>
      <c r="I11" s="2177"/>
      <c r="J11" s="2797"/>
      <c r="K11" s="2394"/>
      <c r="L11" s="2394"/>
      <c r="M11" s="2394"/>
      <c r="N11" s="2240"/>
      <c r="O11" s="1667"/>
      <c r="P11" s="2240"/>
      <c r="Q11" s="2240"/>
      <c r="R11" s="2240"/>
    </row>
    <row r="12" spans="1:30">
      <c r="A12" s="2211" t="s">
        <v>2181</v>
      </c>
      <c r="B12" s="315" t="s">
        <v>2182</v>
      </c>
      <c r="C12" s="2212" t="s">
        <v>2183</v>
      </c>
      <c r="D12" s="2212" t="s">
        <v>2184</v>
      </c>
      <c r="E12" s="2212" t="s">
        <v>2185</v>
      </c>
      <c r="F12" s="2212" t="s">
        <v>2186</v>
      </c>
      <c r="G12" s="2212" t="s">
        <v>2187</v>
      </c>
      <c r="H12" s="2212" t="s">
        <v>2188</v>
      </c>
      <c r="I12" s="2796" t="s">
        <v>2566</v>
      </c>
      <c r="J12" s="2798"/>
      <c r="K12" s="2394"/>
      <c r="L12" s="2394"/>
      <c r="M12" s="2240"/>
      <c r="N12" s="1667"/>
      <c r="O12" s="2240"/>
      <c r="P12" s="2240"/>
      <c r="Q12" s="2240"/>
      <c r="AD12" s="1615"/>
    </row>
    <row r="13" spans="1:30">
      <c r="A13" s="3117" t="s">
        <v>3322</v>
      </c>
      <c r="B13" s="2213" t="s">
        <v>2189</v>
      </c>
      <c r="C13" s="800">
        <v>70658</v>
      </c>
      <c r="D13" s="800">
        <v>59700</v>
      </c>
      <c r="E13" s="800">
        <v>63353</v>
      </c>
      <c r="F13" s="800">
        <v>63353</v>
      </c>
      <c r="G13" s="800">
        <v>63353</v>
      </c>
      <c r="H13" s="800"/>
      <c r="I13" s="800">
        <v>63353</v>
      </c>
      <c r="J13" s="2798"/>
      <c r="K13" s="2394"/>
      <c r="L13" s="2394"/>
      <c r="M13" s="2240"/>
      <c r="N13" s="1667"/>
      <c r="O13" s="2240"/>
      <c r="P13" s="2240"/>
      <c r="Q13" s="2240"/>
      <c r="AD13" s="1615"/>
    </row>
    <row r="14" spans="1:30">
      <c r="A14" s="1015"/>
      <c r="B14" s="2213" t="s">
        <v>2190</v>
      </c>
      <c r="C14" s="2214">
        <v>70</v>
      </c>
      <c r="D14" s="2214">
        <v>40</v>
      </c>
      <c r="E14" s="2214">
        <v>50</v>
      </c>
      <c r="F14" s="2214">
        <v>50</v>
      </c>
      <c r="G14" s="2214">
        <v>50</v>
      </c>
      <c r="H14" s="2214"/>
      <c r="I14" s="2214">
        <v>50</v>
      </c>
      <c r="J14" s="2799"/>
      <c r="K14" s="2394"/>
      <c r="L14" s="2394"/>
      <c r="M14" s="2240"/>
      <c r="N14" s="1667"/>
      <c r="O14" s="2240"/>
      <c r="P14" s="2240"/>
      <c r="Q14" s="2240"/>
      <c r="AD14" s="1615"/>
    </row>
    <row r="15" spans="1:30">
      <c r="A15" s="312"/>
      <c r="B15" s="2215" t="s">
        <v>2191</v>
      </c>
      <c r="C15" s="2216">
        <f>IF(A13="出让",IF(C13="","",ROUNDDOWN(MIN((C13-$D$3)/365,C14),2)),C14)</f>
        <v>68.09</v>
      </c>
      <c r="D15" s="2216">
        <f>IF(A13="出让",IF(D13="","",ROUNDDOWN(MIN((D13-$D$3)/365,D14),2)),D14)</f>
        <v>38.07</v>
      </c>
      <c r="E15" s="2216">
        <f>IF(A13="出让",IF(E13="","",ROUNDDOWN(MIN((E13-$D$3)/365,E14),2)),E14)</f>
        <v>48.08</v>
      </c>
      <c r="F15" s="2216">
        <f>IF(A13="出让",IF(F13="","",ROUNDDOWN(MIN((F13-$D$3)/365,F14),2)),F14)</f>
        <v>48.08</v>
      </c>
      <c r="G15" s="2216">
        <f>IF(A13="出让",IF(G13="","",ROUNDDOWN(MIN((G13-$D$3)/365,G14),2)),G14)</f>
        <v>48.08</v>
      </c>
      <c r="H15" s="2216" t="str">
        <f>IF(A13="出让",IF(H13="","",ROUNDDOWN(MIN((H13-$D$3)/365,H14),2)),H14)</f>
        <v/>
      </c>
      <c r="I15" s="2216">
        <f>IF(A13="出让",IF(I13="","",ROUNDDOWN(MIN((I13-$D$3)/365,I14),2)),I14)</f>
        <v>48.08</v>
      </c>
      <c r="J15" s="2800"/>
      <c r="K15" s="1667"/>
      <c r="L15" s="1667"/>
      <c r="M15" s="2240"/>
      <c r="N15" s="1667"/>
      <c r="O15" s="2240"/>
      <c r="P15" s="2240"/>
      <c r="Q15" s="2240"/>
      <c r="AD15" s="1615"/>
    </row>
    <row r="16" spans="1:30">
      <c r="A16" s="2206" t="s">
        <v>2192</v>
      </c>
      <c r="B16" s="3286"/>
      <c r="C16" s="3287"/>
      <c r="D16" s="3288"/>
      <c r="E16" s="2217" t="s">
        <v>2193</v>
      </c>
      <c r="F16" s="3289"/>
      <c r="G16" s="3290"/>
      <c r="H16" s="3290"/>
      <c r="I16" s="3291"/>
      <c r="J16" s="2240"/>
      <c r="K16" s="2398"/>
      <c r="L16" s="1667"/>
      <c r="M16" s="1667"/>
      <c r="N16" s="2240"/>
      <c r="O16" s="1667"/>
      <c r="P16" s="2240"/>
      <c r="Q16" s="2240"/>
      <c r="R16" s="2240"/>
    </row>
    <row r="17" spans="1:28">
      <c r="A17" s="305" t="s">
        <v>2194</v>
      </c>
      <c r="B17" s="294" t="s">
        <v>2195</v>
      </c>
      <c r="C17" s="8">
        <f>'数据-汇总表'!E3</f>
        <v>67554.06999999992</v>
      </c>
      <c r="D17" s="1253" t="s">
        <v>2196</v>
      </c>
      <c r="E17" s="3292" t="s">
        <v>2197</v>
      </c>
      <c r="F17" s="3293"/>
      <c r="G17" s="3293"/>
      <c r="H17" s="3293"/>
      <c r="I17" s="3294"/>
      <c r="J17" s="2240"/>
      <c r="K17" s="2399"/>
      <c r="L17" s="1667"/>
      <c r="M17" s="1667"/>
      <c r="N17" s="2240"/>
      <c r="O17" s="1667"/>
      <c r="P17" s="2240"/>
      <c r="Q17" s="2240"/>
      <c r="R17" s="2240"/>
      <c r="S17" s="2240"/>
      <c r="T17" s="2240"/>
      <c r="U17" s="2240"/>
      <c r="V17" s="2240"/>
    </row>
    <row r="18" spans="1:28" ht="24.75" thickBot="1">
      <c r="A18" s="2218" t="s">
        <v>2198</v>
      </c>
      <c r="B18" s="1024" t="s">
        <v>2199</v>
      </c>
      <c r="C18" s="2219">
        <f>'数据-汇总表'!D3</f>
        <v>29999.43</v>
      </c>
      <c r="D18" s="1026" t="s">
        <v>2200</v>
      </c>
      <c r="E18" s="3295" t="s">
        <v>2201</v>
      </c>
      <c r="F18" s="3296"/>
      <c r="G18" s="3296"/>
      <c r="H18" s="3296"/>
      <c r="I18" s="3297"/>
      <c r="J18" s="2240"/>
      <c r="K18" s="2399"/>
      <c r="L18" s="1667"/>
      <c r="M18" s="1667"/>
      <c r="N18" s="2240"/>
      <c r="O18" s="1667"/>
      <c r="P18" s="2240"/>
      <c r="Q18" s="2240"/>
      <c r="R18" s="2240"/>
      <c r="S18" s="2240"/>
      <c r="T18" s="2240"/>
      <c r="U18" s="2240"/>
      <c r="V18" s="2240"/>
    </row>
    <row r="19" spans="1:28" ht="37.5" thickTop="1" thickBot="1">
      <c r="A19" s="319" t="s">
        <v>1055</v>
      </c>
      <c r="B19" s="299" t="s">
        <v>2202</v>
      </c>
      <c r="C19" s="1452"/>
      <c r="D19" s="1453" t="s">
        <v>2203</v>
      </c>
      <c r="E19" s="1454"/>
      <c r="F19" s="1455" t="str">
        <f>IF(AND(C19="是",E19="否"),"是否提供他项权证或相关说明","")</f>
        <v/>
      </c>
      <c r="G19" s="1456"/>
      <c r="H19" s="2437"/>
      <c r="I19" s="2437"/>
      <c r="J19" s="2240"/>
      <c r="K19" s="2397"/>
      <c r="L19" s="2394"/>
      <c r="M19" s="2394"/>
      <c r="N19" s="2240"/>
      <c r="O19" s="1667"/>
      <c r="P19" s="2240"/>
      <c r="Q19" s="2240"/>
      <c r="R19" s="2240"/>
      <c r="S19" s="2240"/>
      <c r="T19" s="2240"/>
      <c r="U19" s="2240"/>
      <c r="V19" s="2240"/>
    </row>
    <row r="20" spans="1:28">
      <c r="A20" s="2412" t="s">
        <v>2204</v>
      </c>
      <c r="B20" s="3282" t="s">
        <v>2205</v>
      </c>
      <c r="C20" s="3283"/>
      <c r="D20" s="3284" t="s">
        <v>2206</v>
      </c>
      <c r="E20" s="3285"/>
      <c r="F20" s="2425" t="s">
        <v>1056</v>
      </c>
      <c r="G20" s="2437"/>
      <c r="H20" s="2437"/>
      <c r="I20" s="2437"/>
      <c r="J20" s="2240"/>
      <c r="K20" s="3281"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3"/>
      <c r="P20" s="2177"/>
      <c r="Q20" s="2177"/>
      <c r="R20" s="2177"/>
      <c r="S20" s="2177"/>
      <c r="T20" s="2177"/>
      <c r="U20" s="2177"/>
      <c r="V20" s="2177"/>
      <c r="W20" s="1615"/>
      <c r="X20" s="1615"/>
      <c r="Y20" s="1615"/>
      <c r="Z20" s="1615"/>
      <c r="AA20" s="1615"/>
      <c r="AB20" s="1615"/>
    </row>
    <row r="21" spans="1:28" ht="24.75" thickBot="1">
      <c r="A21" s="2412"/>
      <c r="B21" s="2413" t="s">
        <v>2208</v>
      </c>
      <c r="C21" s="2291" t="s">
        <v>1057</v>
      </c>
      <c r="D21" s="1457" t="s">
        <v>2209</v>
      </c>
      <c r="E21" s="2414" t="s">
        <v>1057</v>
      </c>
      <c r="F21" s="2426"/>
      <c r="G21" s="2437"/>
      <c r="H21" s="2437"/>
      <c r="I21" s="2437"/>
      <c r="J21" s="2240"/>
      <c r="K21" s="3281"/>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3"/>
      <c r="P21" s="2177"/>
      <c r="Q21" s="2177"/>
      <c r="R21" s="2177"/>
      <c r="S21" s="2177"/>
      <c r="T21" s="2177"/>
      <c r="U21" s="2177"/>
      <c r="V21" s="2177"/>
      <c r="W21" s="1615"/>
      <c r="X21" s="1615"/>
      <c r="Y21" s="1615"/>
      <c r="Z21" s="1615"/>
      <c r="AA21" s="1615"/>
      <c r="AB21" s="1615"/>
    </row>
    <row r="22" spans="1:28" ht="24.75" thickBot="1">
      <c r="A22" s="2412"/>
      <c r="B22" s="2415" t="s">
        <v>2210</v>
      </c>
      <c r="C22" s="2291" t="s">
        <v>1058</v>
      </c>
      <c r="D22" s="2437"/>
      <c r="E22" s="2437"/>
      <c r="F22" s="2437"/>
      <c r="G22" s="2437"/>
      <c r="H22" s="2437"/>
      <c r="I22" s="2437"/>
      <c r="J22" s="2240"/>
      <c r="K22" s="3281"/>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3"/>
      <c r="P22" s="2177"/>
      <c r="Q22" s="2177"/>
      <c r="R22" s="2177"/>
      <c r="S22" s="2177"/>
      <c r="T22" s="2177"/>
      <c r="U22" s="2177"/>
      <c r="V22" s="2177"/>
      <c r="W22" s="1615"/>
      <c r="X22" s="1615"/>
      <c r="Y22" s="1615"/>
      <c r="Z22" s="1615"/>
      <c r="AA22" s="1615"/>
      <c r="AB22" s="1615"/>
    </row>
    <row r="23" spans="1:28">
      <c r="A23" s="2416" t="s">
        <v>2211</v>
      </c>
      <c r="B23" s="2288" t="s">
        <v>2212</v>
      </c>
      <c r="C23" s="2417"/>
      <c r="D23" s="2418" t="s">
        <v>2212</v>
      </c>
      <c r="E23" s="2419"/>
      <c r="F23" s="2437"/>
      <c r="G23" s="2437"/>
      <c r="H23" s="2437"/>
      <c r="I23" s="2437"/>
      <c r="J23" s="2240"/>
      <c r="K23" s="2396"/>
      <c r="L23" s="121"/>
      <c r="M23" s="2394"/>
      <c r="N23" s="2240"/>
      <c r="O23" s="1667"/>
      <c r="P23" s="2240"/>
      <c r="Q23" s="2240"/>
      <c r="R23" s="2240"/>
      <c r="S23" s="2240"/>
      <c r="T23" s="2240"/>
      <c r="U23" s="2240"/>
      <c r="V23" s="2240"/>
    </row>
    <row r="24" spans="1:28">
      <c r="A24" s="2416"/>
      <c r="B24" s="2288" t="s">
        <v>1059</v>
      </c>
      <c r="C24" s="2266"/>
      <c r="D24" s="2416" t="s">
        <v>1059</v>
      </c>
      <c r="E24" s="2420"/>
      <c r="F24" s="2437"/>
      <c r="G24" s="2437"/>
      <c r="H24" s="2437"/>
      <c r="I24" s="2437"/>
      <c r="J24" s="2240"/>
      <c r="K24" s="2396"/>
      <c r="L24" s="121"/>
      <c r="M24" s="2394"/>
      <c r="N24" s="2240"/>
      <c r="O24" s="1667"/>
      <c r="P24" s="2240"/>
      <c r="Q24" s="2240"/>
      <c r="R24" s="2240"/>
      <c r="S24" s="2240"/>
      <c r="T24" s="2240"/>
      <c r="U24" s="2240"/>
      <c r="V24" s="2240"/>
    </row>
    <row r="25" spans="1:28">
      <c r="A25" s="2416"/>
      <c r="B25" s="2288" t="s">
        <v>1060</v>
      </c>
      <c r="C25" s="2266"/>
      <c r="D25" s="2416" t="s">
        <v>1060</v>
      </c>
      <c r="E25" s="2420"/>
      <c r="F25" s="2437"/>
      <c r="G25" s="2437"/>
      <c r="H25" s="2437"/>
      <c r="I25" s="2437"/>
      <c r="J25" s="2240"/>
      <c r="K25" s="2397"/>
      <c r="L25" s="2394"/>
      <c r="M25" s="2394"/>
      <c r="N25" s="2240"/>
      <c r="O25" s="1667"/>
      <c r="P25" s="2240"/>
      <c r="Q25" s="2240"/>
      <c r="R25" s="2240"/>
      <c r="S25" s="2240"/>
      <c r="T25" s="2240"/>
      <c r="U25" s="2240"/>
      <c r="V25" s="2240"/>
    </row>
    <row r="26" spans="1:28" ht="13.5" thickBot="1">
      <c r="A26" s="2421"/>
      <c r="B26" s="2422" t="s">
        <v>1061</v>
      </c>
      <c r="C26" s="2423"/>
      <c r="D26" s="2421" t="s">
        <v>1061</v>
      </c>
      <c r="E26" s="2424"/>
      <c r="F26" s="2438"/>
      <c r="G26" s="2438"/>
      <c r="H26" s="2438"/>
      <c r="I26" s="2438"/>
      <c r="J26" s="2240"/>
      <c r="K26" s="2397"/>
      <c r="L26" s="2394"/>
      <c r="M26" s="2394"/>
      <c r="N26" s="2240"/>
      <c r="O26" s="1667"/>
      <c r="P26" s="2240"/>
      <c r="Q26" s="2240"/>
      <c r="R26" s="2240"/>
      <c r="S26" s="2240"/>
      <c r="T26" s="2240"/>
      <c r="U26" s="2240"/>
      <c r="V26" s="2240"/>
    </row>
    <row r="27" spans="1:28" ht="13.5" thickTop="1">
      <c r="A27" s="3299" t="s">
        <v>2213</v>
      </c>
      <c r="B27" s="312" t="s">
        <v>2214</v>
      </c>
      <c r="C27" s="2220"/>
      <c r="D27" s="2221"/>
      <c r="E27" s="2437"/>
      <c r="F27" s="2437"/>
      <c r="G27" s="2437"/>
      <c r="H27" s="2437"/>
      <c r="I27" s="2437"/>
      <c r="J27" s="2240"/>
      <c r="K27" s="2398"/>
      <c r="L27" s="1667"/>
      <c r="M27" s="1667"/>
      <c r="N27" s="2240"/>
      <c r="O27" s="1667"/>
      <c r="P27" s="2240"/>
      <c r="Q27" s="2240"/>
      <c r="R27" s="2240"/>
      <c r="S27" s="2240"/>
      <c r="T27" s="2240"/>
      <c r="U27" s="2240"/>
      <c r="V27" s="2240"/>
    </row>
    <row r="28" spans="1:28">
      <c r="A28" s="3299"/>
      <c r="B28" s="294" t="s">
        <v>2215</v>
      </c>
      <c r="C28" s="2222"/>
      <c r="D28" s="2223"/>
      <c r="E28" s="2437"/>
      <c r="F28" s="2437"/>
      <c r="G28" s="2437"/>
      <c r="H28" s="2437"/>
      <c r="I28" s="2437"/>
      <c r="J28" s="2240"/>
      <c r="K28" s="2397"/>
      <c r="L28" s="2394"/>
      <c r="M28" s="2394"/>
      <c r="N28" s="2240"/>
      <c r="O28" s="1667"/>
      <c r="P28" s="2240"/>
      <c r="Q28" s="2240"/>
      <c r="R28" s="2240"/>
      <c r="S28" s="2240"/>
      <c r="T28" s="2240"/>
      <c r="U28" s="2240"/>
      <c r="V28" s="2240"/>
    </row>
    <row r="29" spans="1:28">
      <c r="A29" s="3299"/>
      <c r="B29" s="294" t="s">
        <v>2216</v>
      </c>
      <c r="C29" s="2224"/>
      <c r="D29" s="2225"/>
      <c r="E29" s="2437"/>
      <c r="F29" s="2437"/>
      <c r="G29" s="2437"/>
      <c r="H29" s="2437"/>
      <c r="I29" s="2437"/>
      <c r="J29" s="2240"/>
      <c r="K29" s="2397"/>
      <c r="L29" s="2394"/>
      <c r="M29" s="2394"/>
      <c r="N29" s="2240"/>
      <c r="O29" s="1667"/>
      <c r="P29" s="2240"/>
      <c r="Q29" s="2240"/>
      <c r="R29" s="2240"/>
      <c r="S29" s="2240"/>
      <c r="T29" s="2240"/>
      <c r="U29" s="2240"/>
      <c r="V29" s="2240"/>
    </row>
    <row r="30" spans="1:28">
      <c r="A30" s="3300"/>
      <c r="B30" s="294" t="s">
        <v>2217</v>
      </c>
      <c r="C30" s="3301"/>
      <c r="D30" s="3302"/>
      <c r="E30" s="2437"/>
      <c r="F30" s="2437"/>
      <c r="G30" s="2437"/>
      <c r="H30" s="2437"/>
      <c r="I30" s="2437"/>
      <c r="J30" s="2240"/>
      <c r="K30" s="2397"/>
      <c r="L30" s="2394"/>
      <c r="M30" s="2394"/>
      <c r="N30" s="2240"/>
      <c r="O30" s="1667"/>
      <c r="P30" s="2240"/>
      <c r="Q30" s="2240"/>
      <c r="R30" s="2240"/>
      <c r="S30" s="2240"/>
      <c r="T30" s="2240"/>
      <c r="U30" s="2240"/>
      <c r="V30" s="2240"/>
    </row>
    <row r="31" spans="1:28">
      <c r="A31" s="3303" t="s">
        <v>2218</v>
      </c>
      <c r="B31" s="2226"/>
      <c r="C31" s="12" t="str">
        <f>IF(B31="现房","成新及维护状况正常否",IF(B31="在建","工程状态是否正常",IF(B31="土地","是否闲置","-")))</f>
        <v>-</v>
      </c>
      <c r="D31" s="1278"/>
      <c r="E31" s="2227"/>
      <c r="F31" s="2437"/>
      <c r="G31" s="2437"/>
      <c r="H31" s="2437"/>
      <c r="I31" s="2437"/>
      <c r="J31" s="2240"/>
      <c r="K31" s="2396"/>
      <c r="L31" s="2394"/>
      <c r="M31" s="2394"/>
      <c r="N31" s="2240"/>
      <c r="O31" s="1667"/>
      <c r="P31" s="2240"/>
      <c r="Q31" s="2240"/>
      <c r="R31" s="2240"/>
      <c r="S31" s="2240"/>
      <c r="T31" s="2240"/>
      <c r="U31" s="2240"/>
      <c r="V31" s="2240"/>
    </row>
    <row r="32" spans="1:28">
      <c r="A32" s="3304"/>
      <c r="B32" s="2226"/>
      <c r="C32" s="12" t="str">
        <f>IF(B32="现房","成新及维护状况是否正常",IF(B32="在建","工程状态是否正常",IF(B32="土地","是否闲置","-")))</f>
        <v>-</v>
      </c>
      <c r="D32" s="1278"/>
      <c r="E32" s="2227"/>
      <c r="F32" s="2437"/>
      <c r="G32" s="2437"/>
      <c r="H32" s="2437"/>
      <c r="I32" s="2437"/>
      <c r="J32" s="2240"/>
      <c r="K32" s="2397"/>
      <c r="L32" s="2394"/>
      <c r="M32" s="2394"/>
      <c r="N32" s="2240"/>
      <c r="O32" s="1667"/>
      <c r="P32" s="2240"/>
      <c r="Q32" s="2240"/>
      <c r="R32" s="2240"/>
      <c r="S32" s="2240"/>
      <c r="T32" s="2240"/>
      <c r="U32" s="2240"/>
      <c r="V32" s="2240"/>
    </row>
    <row r="33" spans="1:30">
      <c r="A33" s="3304"/>
      <c r="B33" s="2229"/>
      <c r="C33" s="1475" t="str">
        <f>IF(B33="现房","成新及维护状况是否正常",IF(B33="在建","工程状态是否正常",IF(B33="土地","是否闲置","-")))</f>
        <v>-</v>
      </c>
      <c r="D33" s="1271"/>
      <c r="E33" s="2230"/>
      <c r="F33" s="2437"/>
      <c r="G33" s="2437"/>
      <c r="H33" s="2437"/>
      <c r="I33" s="2437"/>
      <c r="J33" s="2240"/>
      <c r="K33" s="2397"/>
      <c r="L33" s="2394"/>
      <c r="M33" s="2394"/>
      <c r="N33" s="2240"/>
      <c r="O33" s="1667"/>
      <c r="P33" s="2240"/>
      <c r="Q33" s="2240"/>
      <c r="R33" s="2240"/>
      <c r="S33" s="2240"/>
      <c r="T33" s="2240"/>
      <c r="U33" s="2240"/>
      <c r="V33" s="2240"/>
    </row>
    <row r="34" spans="1:30">
      <c r="A34" s="294" t="s">
        <v>2219</v>
      </c>
      <c r="B34" s="1865"/>
      <c r="C34" s="1865"/>
      <c r="D34" s="1865"/>
      <c r="E34" s="1865"/>
      <c r="F34" s="1865"/>
      <c r="G34" s="1865"/>
      <c r="H34" s="1865"/>
      <c r="I34" s="2437"/>
      <c r="J34" s="2240"/>
      <c r="K34" s="8">
        <f>COUNTIF(B34:H34,"——")</f>
        <v>0</v>
      </c>
      <c r="L34" s="315" t="s">
        <v>2220</v>
      </c>
      <c r="M34" s="315" t="s">
        <v>2221</v>
      </c>
      <c r="N34" s="315" t="s">
        <v>2222</v>
      </c>
      <c r="O34" s="315" t="s">
        <v>2223</v>
      </c>
      <c r="P34" s="315" t="s">
        <v>2224</v>
      </c>
      <c r="Q34" s="315" t="s">
        <v>2225</v>
      </c>
      <c r="R34" s="315" t="s">
        <v>2226</v>
      </c>
      <c r="S34" s="3298" t="s">
        <v>2227</v>
      </c>
      <c r="T34" s="315" t="str">
        <f>NUMBERSTRING(7-K34,1)&amp;"通"</f>
        <v>七通</v>
      </c>
      <c r="U34" s="2240"/>
      <c r="V34" s="2240"/>
    </row>
    <row r="35" spans="1:30">
      <c r="A35" s="2231"/>
      <c r="B35" s="3298" t="s">
        <v>2228</v>
      </c>
      <c r="C35" s="3298"/>
      <c r="D35" s="3298"/>
      <c r="E35" s="3298"/>
      <c r="F35" s="8">
        <f>C10</f>
        <v>0</v>
      </c>
      <c r="G35" s="2437"/>
      <c r="H35" s="2437"/>
      <c r="I35" s="2437"/>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98"/>
      <c r="T35" s="138" t="str">
        <f>IF(T34="一通",L35,IF(T34="二通",M35,IF(T34="三通",N35,IF(T34="四通",O35,IF(T34="五通",P35,IF(T34="六通",Q35,R35))))))</f>
        <v>、、、、、、</v>
      </c>
      <c r="U35" s="2240"/>
      <c r="V35" s="2240"/>
    </row>
    <row r="36" spans="1:30">
      <c r="A36" s="2178"/>
      <c r="B36" s="8" t="s">
        <v>2184</v>
      </c>
      <c r="C36" s="8" t="s">
        <v>2185</v>
      </c>
      <c r="D36" s="8" t="s">
        <v>2183</v>
      </c>
      <c r="E36" s="8" t="s">
        <v>2188</v>
      </c>
      <c r="F36" s="2796" t="s">
        <v>2569</v>
      </c>
      <c r="G36" s="2437"/>
      <c r="H36" s="2437"/>
      <c r="I36" s="2437"/>
      <c r="J36" s="2240"/>
      <c r="K36" s="2397"/>
      <c r="L36" s="2394"/>
      <c r="M36" s="2394"/>
      <c r="N36" s="2240"/>
      <c r="O36" s="1667"/>
      <c r="P36" s="2240"/>
      <c r="Q36" s="2240"/>
      <c r="R36" s="2240"/>
      <c r="S36" s="2240"/>
      <c r="T36" s="2240"/>
      <c r="U36" s="2240"/>
      <c r="V36" s="2240"/>
    </row>
    <row r="37" spans="1:30">
      <c r="A37" s="2410" t="s">
        <v>2229</v>
      </c>
      <c r="B37" s="2232" t="s">
        <v>29</v>
      </c>
      <c r="C37" s="2232" t="s">
        <v>29</v>
      </c>
      <c r="D37" s="2232" t="s">
        <v>29</v>
      </c>
      <c r="E37" s="2232" t="s">
        <v>29</v>
      </c>
      <c r="F37" s="2232" t="s">
        <v>29</v>
      </c>
      <c r="G37" s="2437"/>
      <c r="H37" s="2437"/>
      <c r="I37" s="2437"/>
      <c r="J37" s="2240"/>
      <c r="K37" s="2397"/>
      <c r="L37" s="2394"/>
      <c r="M37" s="2394"/>
      <c r="N37" s="2240"/>
      <c r="O37" s="1667"/>
      <c r="P37" s="2240"/>
      <c r="Q37" s="2240"/>
      <c r="R37" s="2240"/>
      <c r="S37" s="2240"/>
      <c r="T37" s="2240"/>
      <c r="U37" s="2240"/>
      <c r="V37" s="2240"/>
    </row>
    <row r="38" spans="1:30" ht="13.5" thickBot="1">
      <c r="A38" s="2411" t="s">
        <v>2230</v>
      </c>
      <c r="B38" s="2233" t="s">
        <v>166</v>
      </c>
      <c r="C38" s="2233" t="s">
        <v>166</v>
      </c>
      <c r="D38" s="2233" t="s">
        <v>166</v>
      </c>
      <c r="E38" s="2233" t="s">
        <v>166</v>
      </c>
      <c r="F38" s="2233" t="s">
        <v>166</v>
      </c>
      <c r="G38" s="2438"/>
      <c r="H38" s="2438"/>
      <c r="I38" s="2438"/>
      <c r="J38" s="2240"/>
      <c r="K38" s="2397"/>
      <c r="L38" s="2394"/>
      <c r="M38" s="2394"/>
      <c r="N38" s="2240"/>
      <c r="O38" s="1667"/>
      <c r="P38" s="2240"/>
      <c r="Q38" s="2240"/>
      <c r="R38" s="2240"/>
      <c r="S38" s="2240"/>
      <c r="T38" s="2240"/>
      <c r="U38" s="2240"/>
      <c r="V38" s="2240"/>
    </row>
    <row r="39" spans="1:30" s="2236" customFormat="1" ht="14.25" thickTop="1" thickBot="1">
      <c r="A39" s="2234" t="s">
        <v>2231</v>
      </c>
      <c r="B39" s="2235"/>
      <c r="C39" s="2235"/>
      <c r="D39" s="2235"/>
      <c r="E39" s="2235"/>
      <c r="F39" s="2235"/>
      <c r="G39" s="2235"/>
      <c r="H39" s="2235"/>
      <c r="I39" s="2235"/>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7"/>
      <c r="B40" s="2177"/>
      <c r="C40" s="2177"/>
      <c r="D40" s="2177"/>
      <c r="E40" s="2177"/>
      <c r="F40" s="2177"/>
      <c r="G40" s="2177"/>
      <c r="H40" s="2177"/>
      <c r="I40" s="1463"/>
      <c r="J40" s="2240"/>
      <c r="K40" s="2396"/>
      <c r="L40" s="1667"/>
      <c r="M40" s="1667"/>
      <c r="N40" s="2240"/>
      <c r="O40" s="1667"/>
      <c r="P40" s="2240"/>
      <c r="Q40" s="2240"/>
      <c r="R40" s="2240"/>
      <c r="S40" s="2240"/>
      <c r="T40" s="2240"/>
      <c r="U40" s="2240"/>
      <c r="V40" s="2240"/>
    </row>
    <row r="41" spans="1:30">
      <c r="A41" s="2237" t="s">
        <v>2232</v>
      </c>
      <c r="B41" s="1624"/>
      <c r="C41" s="1278"/>
      <c r="D41" s="2177"/>
      <c r="E41" s="2177"/>
      <c r="F41" s="2177"/>
      <c r="G41" s="2177"/>
      <c r="H41" s="2177"/>
      <c r="I41" s="1463"/>
      <c r="J41" s="2240"/>
      <c r="K41" s="2397"/>
      <c r="L41" s="2394"/>
      <c r="M41" s="2394"/>
      <c r="N41" s="2240"/>
      <c r="O41" s="1667"/>
      <c r="P41" s="2240"/>
      <c r="Q41" s="2240"/>
      <c r="R41" s="2240"/>
      <c r="S41" s="2240"/>
      <c r="T41" s="2240"/>
      <c r="U41" s="2240"/>
      <c r="V41" s="2240"/>
    </row>
    <row r="42" spans="1:30" ht="25.5">
      <c r="A42" s="315" t="s">
        <v>2233</v>
      </c>
      <c r="B42" s="8" t="s">
        <v>2234</v>
      </c>
      <c r="C42" s="8" t="s">
        <v>2235</v>
      </c>
      <c r="D42" s="8" t="s">
        <v>2236</v>
      </c>
      <c r="E42" s="8" t="s">
        <v>2237</v>
      </c>
      <c r="F42" s="8" t="s">
        <v>2238</v>
      </c>
      <c r="G42" s="8" t="s">
        <v>2239</v>
      </c>
      <c r="H42" s="8" t="s">
        <v>2240</v>
      </c>
      <c r="I42" s="8" t="s">
        <v>2241</v>
      </c>
      <c r="J42" s="2406" t="s">
        <v>2242</v>
      </c>
      <c r="K42" s="2407" t="s">
        <v>2243</v>
      </c>
      <c r="L42" s="2407" t="s">
        <v>2244</v>
      </c>
      <c r="M42" s="2407" t="s">
        <v>2245</v>
      </c>
      <c r="N42" s="2400" t="s">
        <v>2246</v>
      </c>
      <c r="O42" s="2400" t="s">
        <v>2247</v>
      </c>
      <c r="P42" s="2400" t="s">
        <v>2248</v>
      </c>
      <c r="Q42" s="2401" t="s">
        <v>2249</v>
      </c>
      <c r="R42" s="2401" t="s">
        <v>2250</v>
      </c>
      <c r="S42" s="2240"/>
      <c r="T42" s="2240"/>
      <c r="U42" s="2240"/>
      <c r="V42" s="2240"/>
    </row>
    <row r="43" spans="1:30" s="1613" customFormat="1">
      <c r="A43" s="1459"/>
      <c r="B43" s="626"/>
      <c r="C43" s="626"/>
      <c r="D43" s="626"/>
      <c r="E43" s="626"/>
      <c r="F43" s="626"/>
      <c r="G43" s="626"/>
      <c r="H43" s="626"/>
      <c r="I43" s="626"/>
      <c r="J43" s="2238"/>
      <c r="K43" s="2239"/>
      <c r="L43" s="2239"/>
      <c r="M43" s="626"/>
      <c r="N43" s="626"/>
      <c r="O43" s="626"/>
      <c r="P43" s="626"/>
      <c r="Q43" s="626"/>
      <c r="R43" s="626"/>
      <c r="S43" s="2240"/>
      <c r="T43" s="2240"/>
      <c r="U43" s="2240"/>
      <c r="V43" s="2240"/>
    </row>
    <row r="44" spans="1:30" s="1613" customFormat="1">
      <c r="A44" s="1459"/>
      <c r="B44" s="1459"/>
      <c r="C44" s="626"/>
      <c r="D44" s="626"/>
      <c r="E44" s="626"/>
      <c r="F44" s="626"/>
      <c r="G44" s="626"/>
      <c r="H44" s="626"/>
      <c r="I44" s="626"/>
      <c r="J44" s="2238"/>
      <c r="K44" s="2239"/>
      <c r="L44" s="2239"/>
      <c r="M44" s="626"/>
      <c r="N44" s="626"/>
      <c r="O44" s="626"/>
      <c r="P44" s="626"/>
      <c r="Q44" s="626"/>
      <c r="R44" s="626"/>
      <c r="S44" s="2240"/>
      <c r="T44" s="2240"/>
      <c r="U44" s="2240"/>
      <c r="V44" s="2240"/>
    </row>
    <row r="45" spans="1:30" s="1613" customFormat="1">
      <c r="A45" s="1459"/>
      <c r="B45" s="1459"/>
      <c r="C45" s="626"/>
      <c r="D45" s="626"/>
      <c r="E45" s="626"/>
      <c r="F45" s="626"/>
      <c r="G45" s="626"/>
      <c r="H45" s="626"/>
      <c r="I45" s="626"/>
      <c r="J45" s="2238"/>
      <c r="K45" s="2239"/>
      <c r="L45" s="2239"/>
      <c r="M45" s="626"/>
      <c r="N45" s="626"/>
      <c r="O45" s="626"/>
      <c r="P45" s="626"/>
      <c r="Q45" s="626"/>
      <c r="R45" s="626"/>
      <c r="S45" s="2240"/>
      <c r="T45" s="2240"/>
      <c r="U45" s="2240"/>
      <c r="V45" s="2240"/>
    </row>
    <row r="46" spans="1:30" s="1613" customFormat="1">
      <c r="A46" s="1459"/>
      <c r="B46" s="1459"/>
      <c r="C46" s="626"/>
      <c r="D46" s="626"/>
      <c r="E46" s="626"/>
      <c r="F46" s="626"/>
      <c r="G46" s="626"/>
      <c r="H46" s="626"/>
      <c r="I46" s="626"/>
      <c r="J46" s="2238"/>
      <c r="K46" s="2239"/>
      <c r="L46" s="2239"/>
      <c r="M46" s="626"/>
      <c r="N46" s="626"/>
      <c r="O46" s="626"/>
      <c r="P46" s="626"/>
      <c r="Q46" s="626"/>
      <c r="R46" s="626"/>
      <c r="S46" s="2240"/>
      <c r="T46" s="2240"/>
      <c r="U46" s="2240"/>
      <c r="V46" s="2240"/>
    </row>
    <row r="47" spans="1:30" s="1613" customFormat="1">
      <c r="A47" s="1459"/>
      <c r="B47" s="1459"/>
      <c r="C47" s="626"/>
      <c r="D47" s="626"/>
      <c r="E47" s="626"/>
      <c r="F47" s="626"/>
      <c r="G47" s="626"/>
      <c r="H47" s="626"/>
      <c r="I47" s="626"/>
      <c r="J47" s="2238"/>
      <c r="K47" s="2239"/>
      <c r="L47" s="2239"/>
      <c r="M47" s="626"/>
      <c r="N47" s="626"/>
      <c r="O47" s="626"/>
      <c r="P47" s="626"/>
      <c r="Q47" s="626"/>
      <c r="R47" s="626"/>
      <c r="S47" s="2240"/>
      <c r="T47" s="2240"/>
      <c r="U47" s="2240"/>
      <c r="V47" s="2240"/>
    </row>
    <row r="48" spans="1:30" s="1613" customFormat="1">
      <c r="A48" s="1459"/>
      <c r="B48" s="1459"/>
      <c r="C48" s="626"/>
      <c r="D48" s="626"/>
      <c r="E48" s="626"/>
      <c r="F48" s="626"/>
      <c r="G48" s="626"/>
      <c r="H48" s="626"/>
      <c r="I48" s="626"/>
      <c r="J48" s="2238"/>
      <c r="K48" s="2239"/>
      <c r="L48" s="2239"/>
      <c r="M48" s="626"/>
      <c r="N48" s="626"/>
      <c r="O48" s="626"/>
      <c r="P48" s="626"/>
      <c r="Q48" s="626"/>
      <c r="R48" s="626"/>
      <c r="S48" s="2240"/>
      <c r="T48" s="2240"/>
      <c r="U48" s="2240"/>
      <c r="V48" s="2240"/>
    </row>
    <row r="49" spans="1:22" s="1613" customFormat="1">
      <c r="A49" s="1459"/>
      <c r="B49" s="1459"/>
      <c r="C49" s="626"/>
      <c r="D49" s="626"/>
      <c r="E49" s="626"/>
      <c r="F49" s="626"/>
      <c r="G49" s="626"/>
      <c r="H49" s="626"/>
      <c r="I49" s="626"/>
      <c r="J49" s="2238"/>
      <c r="K49" s="2239"/>
      <c r="L49" s="2239"/>
      <c r="M49" s="626"/>
      <c r="N49" s="626"/>
      <c r="O49" s="626"/>
      <c r="P49" s="626"/>
      <c r="Q49" s="626"/>
      <c r="R49" s="626"/>
      <c r="S49" s="2240"/>
      <c r="T49" s="2240"/>
      <c r="U49" s="2240"/>
      <c r="V49" s="2240"/>
    </row>
    <row r="50" spans="1:22" s="1613" customFormat="1">
      <c r="A50" s="1459"/>
      <c r="B50" s="1459"/>
      <c r="C50" s="626"/>
      <c r="D50" s="626"/>
      <c r="E50" s="626"/>
      <c r="F50" s="626"/>
      <c r="G50" s="626"/>
      <c r="H50" s="626"/>
      <c r="I50" s="626"/>
      <c r="J50" s="2238"/>
      <c r="K50" s="2239"/>
      <c r="L50" s="2239"/>
      <c r="M50" s="626"/>
      <c r="N50" s="626"/>
      <c r="O50" s="626"/>
      <c r="P50" s="626"/>
      <c r="Q50" s="626"/>
      <c r="R50" s="626"/>
      <c r="S50" s="2240"/>
      <c r="T50" s="2240"/>
      <c r="U50" s="2240"/>
      <c r="V50" s="2240"/>
    </row>
    <row r="51" spans="1:22" s="1613" customFormat="1">
      <c r="A51" s="1459"/>
      <c r="B51" s="1459"/>
      <c r="C51" s="626"/>
      <c r="D51" s="626"/>
      <c r="E51" s="626"/>
      <c r="F51" s="626"/>
      <c r="G51" s="626"/>
      <c r="H51" s="626"/>
      <c r="I51" s="626"/>
      <c r="J51" s="2238"/>
      <c r="K51" s="2239"/>
      <c r="L51" s="2239"/>
      <c r="M51" s="626"/>
      <c r="N51" s="626"/>
      <c r="O51" s="626"/>
      <c r="P51" s="626"/>
      <c r="Q51" s="626"/>
      <c r="R51" s="626"/>
    </row>
    <row r="52" spans="1:22" s="1613" customFormat="1">
      <c r="A52" s="1459"/>
      <c r="B52" s="1459"/>
      <c r="C52" s="1459"/>
      <c r="D52" s="1459"/>
      <c r="E52" s="1459"/>
      <c r="F52" s="626"/>
      <c r="G52" s="1459"/>
      <c r="H52" s="1459"/>
      <c r="I52" s="1459"/>
      <c r="J52" s="2241"/>
      <c r="K52" s="2239"/>
      <c r="L52" s="2239"/>
      <c r="M52" s="2239"/>
      <c r="N52" s="1459"/>
      <c r="O52" s="1459"/>
      <c r="P52" s="1459"/>
      <c r="Q52" s="1459"/>
      <c r="R52" s="1459"/>
    </row>
    <row r="53" spans="1:22" s="1613" customFormat="1">
      <c r="A53" s="1459"/>
      <c r="B53" s="1459"/>
      <c r="C53" s="1459"/>
      <c r="D53" s="1459"/>
      <c r="E53" s="1459"/>
      <c r="F53" s="626"/>
      <c r="G53" s="1459"/>
      <c r="H53" s="1459"/>
      <c r="I53" s="1459"/>
      <c r="J53" s="2241"/>
      <c r="K53" s="2239"/>
      <c r="L53" s="2239"/>
      <c r="M53" s="2239"/>
      <c r="N53" s="1459"/>
      <c r="O53" s="1459"/>
      <c r="P53" s="1459"/>
      <c r="Q53" s="1459"/>
      <c r="R53" s="1459"/>
    </row>
    <row r="54" spans="1:22" s="1613" customFormat="1">
      <c r="A54" s="1459"/>
      <c r="B54" s="1459"/>
      <c r="C54" s="1459"/>
      <c r="D54" s="1459"/>
      <c r="E54" s="1459"/>
      <c r="F54" s="626"/>
      <c r="G54" s="1459"/>
      <c r="H54" s="1459"/>
      <c r="I54" s="1459"/>
      <c r="J54" s="2241"/>
      <c r="K54" s="2239"/>
      <c r="L54" s="2239"/>
      <c r="M54" s="2239"/>
      <c r="N54" s="1459"/>
      <c r="O54" s="1459"/>
      <c r="P54" s="1459"/>
      <c r="Q54" s="1459"/>
      <c r="R54" s="1459"/>
    </row>
    <row r="55" spans="1:22" s="1613" customFormat="1">
      <c r="A55" s="1459"/>
      <c r="B55" s="1459"/>
      <c r="C55" s="1459"/>
      <c r="D55" s="1459"/>
      <c r="E55" s="1459"/>
      <c r="F55" s="626"/>
      <c r="G55" s="1459"/>
      <c r="H55" s="1459"/>
      <c r="I55" s="1459"/>
      <c r="J55" s="2241"/>
      <c r="K55" s="2239"/>
      <c r="L55" s="2239"/>
      <c r="M55" s="2239"/>
      <c r="N55" s="1459"/>
      <c r="O55" s="1459"/>
      <c r="P55" s="1459"/>
      <c r="Q55" s="1459"/>
      <c r="R55" s="1459"/>
    </row>
    <row r="56" spans="1:22" s="1613" customFormat="1">
      <c r="A56" s="1459"/>
      <c r="B56" s="1459"/>
      <c r="C56" s="1459"/>
      <c r="D56" s="1459"/>
      <c r="E56" s="1459"/>
      <c r="F56" s="626"/>
      <c r="G56" s="1459"/>
      <c r="H56" s="1459"/>
      <c r="I56" s="1459"/>
      <c r="J56" s="2241"/>
      <c r="K56" s="2239"/>
      <c r="L56" s="2239"/>
      <c r="M56" s="2239"/>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460" customWidth="1"/>
    <col min="2" max="2" width="11" style="1460" customWidth="1"/>
    <col min="3" max="3" width="15.625" style="1460" bestFit="1"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hidden="1" customWidth="1"/>
    <col min="16" max="16" width="9.75" style="1460" hidden="1" customWidth="1"/>
    <col min="17" max="17" width="9.375" style="1460" hidden="1" customWidth="1"/>
    <col min="18" max="18" width="9.25" style="1460" hidden="1" customWidth="1"/>
    <col min="19" max="19" width="10.875" style="1460" hidden="1" customWidth="1"/>
    <col min="20" max="21" width="10.75" style="1460" hidden="1" customWidth="1"/>
    <col min="22" max="22" width="10.875" style="1460" hidden="1" customWidth="1"/>
    <col min="23" max="27" width="10.75" style="1460" hidden="1" customWidth="1"/>
    <col min="28" max="28" width="10.875" style="1460" hidden="1" customWidth="1"/>
    <col min="29" max="29" width="11" style="1460" bestFit="1" customWidth="1"/>
    <col min="30" max="46" width="8.75" style="1460" customWidth="1"/>
    <col min="47" max="47" width="18.125" style="1460" customWidth="1"/>
    <col min="48" max="49" width="9.75" style="1460" customWidth="1"/>
    <col min="50" max="50" width="15.125" style="1460" bestFit="1"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v>29999.43</v>
      </c>
      <c r="B3" s="11">
        <f>IF(C3="否",G5-AT5,G5)</f>
        <v>67554.06999999992</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67554.06999999992</v>
      </c>
      <c r="H5" s="13">
        <f t="shared" ref="H5:AT5" si="0">SUM(H13:H656)</f>
        <v>67554.06999999992</v>
      </c>
      <c r="I5" s="13">
        <f t="shared" si="0"/>
        <v>36124.270000000026</v>
      </c>
      <c r="J5" s="13">
        <f t="shared" si="0"/>
        <v>0</v>
      </c>
      <c r="K5" s="13">
        <f t="shared" si="0"/>
        <v>15395.17</v>
      </c>
      <c r="L5" s="13">
        <f t="shared" si="0"/>
        <v>0</v>
      </c>
      <c r="M5" s="13">
        <f t="shared" si="0"/>
        <v>16034.629999999899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67554.06999999992</v>
      </c>
      <c r="BA5" s="15">
        <f t="shared" si="1"/>
        <v>67554.06999999992</v>
      </c>
      <c r="BB5" s="15">
        <f t="shared" si="1"/>
        <v>36124.270000000026</v>
      </c>
      <c r="BC5" s="15">
        <f t="shared" si="1"/>
        <v>15395.17</v>
      </c>
      <c r="BD5" s="15">
        <f t="shared" si="1"/>
        <v>16034.629999999899</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29999.43</v>
      </c>
      <c r="F6" s="13" t="s">
        <v>0</v>
      </c>
      <c r="G6" s="13" t="s">
        <v>1</v>
      </c>
      <c r="H6" s="17">
        <f>SUMIF(I$12:AB$12,"总值",I6:AB6)</f>
        <v>29999.43</v>
      </c>
      <c r="I6" s="13">
        <f t="shared" ref="I6:AB6" si="2">ROUND($A$3*I5/$B$3,2)</f>
        <v>16042.08</v>
      </c>
      <c r="J6" s="13">
        <f t="shared" si="2"/>
        <v>0</v>
      </c>
      <c r="K6" s="13">
        <f t="shared" si="2"/>
        <v>6836.69</v>
      </c>
      <c r="L6" s="13">
        <f t="shared" si="2"/>
        <v>0</v>
      </c>
      <c r="M6" s="13">
        <f t="shared" si="2"/>
        <v>7120.66</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29999.43</v>
      </c>
      <c r="AZ6" s="13" t="s">
        <v>2</v>
      </c>
      <c r="BA6" s="13">
        <f>ROUND($AY$6*BA5/$AZ$5,2)</f>
        <v>29999.43</v>
      </c>
      <c r="BB6" s="13">
        <f>ROUND($AY$6*BB5/$AZ$5,2)</f>
        <v>16042.08</v>
      </c>
      <c r="BC6" s="13">
        <f t="shared" ref="BC6:BH6" si="4">ROUND($AY$6*BC5/$AZ$5,2)</f>
        <v>6836.69</v>
      </c>
      <c r="BD6" s="13">
        <f t="shared" si="4"/>
        <v>7120.66</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5693</v>
      </c>
      <c r="J9" s="758"/>
      <c r="K9" s="1488" t="s">
        <v>5694</v>
      </c>
      <c r="L9" s="758"/>
      <c r="M9" s="1488" t="s">
        <v>5694</v>
      </c>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3395</v>
      </c>
      <c r="J10" s="758"/>
      <c r="K10" s="1494" t="s">
        <v>3324</v>
      </c>
      <c r="L10" s="758"/>
      <c r="M10" s="1494" t="s">
        <v>3323</v>
      </c>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住宅</v>
      </c>
      <c r="BC11" s="1484" t="str">
        <f>K10</f>
        <v>仓储</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t="s">
        <v>3395</v>
      </c>
      <c r="D13" s="1510" t="s">
        <v>5690</v>
      </c>
      <c r="E13" s="13">
        <f>IF($C$3="是",ROUND($A$3*G13/$B$3,2),ROUND($A$3*(G13-AT13)/$B$3,2))</f>
        <v>16042.08</v>
      </c>
      <c r="F13" s="29"/>
      <c r="G13" s="30">
        <f>H13+AC13+AT13</f>
        <v>36124.270000000026</v>
      </c>
      <c r="H13" s="17">
        <f>SUMIF(I$12:AB$12,"总值",I13:AB13)</f>
        <v>36124.270000000026</v>
      </c>
      <c r="I13" s="1511">
        <f>'最新范围-住宅'!F170</f>
        <v>36124.270000000026</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住宅</v>
      </c>
      <c r="AY13" s="1257">
        <f>ROUND($AY$6*AZ13/$AZ$5,2)</f>
        <v>16042.08</v>
      </c>
      <c r="AZ13" s="13">
        <f>BA13+BL13</f>
        <v>36124.270000000026</v>
      </c>
      <c r="BA13" s="13">
        <f>SUM(BB13:BK13)</f>
        <v>36124.270000000026</v>
      </c>
      <c r="BB13" s="13">
        <f>IF($D13="是",I13-J13,0)</f>
        <v>36124.270000000026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626" t="s">
        <v>5691</v>
      </c>
      <c r="D14" s="1510" t="s">
        <v>5690</v>
      </c>
      <c r="E14" s="13">
        <f>IF($C$3="是",ROUND($A$3*G14/$B$3,2),ROUND($A$3*(G14-AT14)/$B$3,2))</f>
        <v>6836.69</v>
      </c>
      <c r="F14" s="29"/>
      <c r="G14" s="30">
        <f>H14+AC14+AT14</f>
        <v>15395.17</v>
      </c>
      <c r="H14" s="17">
        <f>SUMIF(I$12:AB$12,"总值",I14:AB14)</f>
        <v>15395.17</v>
      </c>
      <c r="I14" s="1511"/>
      <c r="J14" s="1511"/>
      <c r="K14" s="1511">
        <f>'最新范围-仓储'!F435</f>
        <v>15395.17</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986"/>
      <c r="AU14" s="1512"/>
      <c r="AV14" s="8">
        <f t="shared" si="6"/>
        <v>0</v>
      </c>
      <c r="AW14" s="8">
        <f t="shared" si="6"/>
        <v>0</v>
      </c>
      <c r="AX14" s="8" t="str">
        <f t="shared" si="6"/>
        <v>地下仓储</v>
      </c>
      <c r="AY14" s="1257">
        <f>ROUND($AY$6*AZ14/$AZ$5,2)</f>
        <v>6836.69</v>
      </c>
      <c r="AZ14" s="13">
        <f>BA14+BL14</f>
        <v>15395.17</v>
      </c>
      <c r="BA14" s="13">
        <f>SUM(BB14:BK14)</f>
        <v>15395.17</v>
      </c>
      <c r="BB14" s="13">
        <f>IF($D14="是",I14-J14,0)</f>
        <v>0</v>
      </c>
      <c r="BC14" s="13">
        <f>IF($D14="是",K14-L14,0)</f>
        <v>15395.17</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626" t="s">
        <v>5692</v>
      </c>
      <c r="D15" s="1510" t="s">
        <v>5690</v>
      </c>
      <c r="E15" s="13">
        <f>IF($C$3="是",ROUND($A$3*G15/$B$3,2),ROUND($A$3*(G15-AT15)/$B$3,2))</f>
        <v>7120.66</v>
      </c>
      <c r="F15" s="29"/>
      <c r="G15" s="30">
        <f>H15+AC15+AT15</f>
        <v>16034.629999999899</v>
      </c>
      <c r="H15" s="17">
        <f>SUMIF(I$12:AB$12,"总值",I15:AB15)</f>
        <v>16034.629999999899</v>
      </c>
      <c r="I15" s="1511"/>
      <c r="J15" s="1511"/>
      <c r="K15" s="1511"/>
      <c r="L15" s="1511"/>
      <c r="M15" s="1511">
        <f>'最新范围-车位'!F429</f>
        <v>16034.629999999899</v>
      </c>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986"/>
      <c r="AU15" s="1512"/>
      <c r="AV15" s="8">
        <f t="shared" si="6"/>
        <v>0</v>
      </c>
      <c r="AW15" s="8">
        <f t="shared" si="6"/>
        <v>0</v>
      </c>
      <c r="AX15" s="8" t="str">
        <f t="shared" si="6"/>
        <v>地下车库</v>
      </c>
      <c r="AY15" s="1257">
        <f>ROUND($AY$6*AZ15/$AZ$5,2)</f>
        <v>7120.66</v>
      </c>
      <c r="AZ15" s="13">
        <f>BA15+BL15</f>
        <v>16034.629999999899</v>
      </c>
      <c r="BA15" s="13">
        <f>SUM(BB15:BK15)</f>
        <v>16034.629999999899</v>
      </c>
      <c r="BB15" s="13">
        <f>IF($D15="是",I15-J15,0)</f>
        <v>0</v>
      </c>
      <c r="BC15" s="13">
        <f>IF($D15="是",K15-L15,0)</f>
        <v>0</v>
      </c>
      <c r="BD15" s="13">
        <f>IF($D15="是",M15-N15,0)</f>
        <v>16034.629999999899</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626"/>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986"/>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626"/>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986"/>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6"/>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986"/>
      <c r="AE18" s="986"/>
      <c r="AF18" s="986"/>
      <c r="AG18" s="986"/>
      <c r="AH18" s="986"/>
      <c r="AI18" s="986"/>
      <c r="AJ18" s="986"/>
      <c r="AK18" s="986"/>
      <c r="AL18" s="986"/>
      <c r="AM18" s="986"/>
      <c r="AN18" s="986"/>
      <c r="AO18" s="986"/>
      <c r="AP18" s="986"/>
      <c r="AQ18" s="986"/>
      <c r="AR18" s="986"/>
      <c r="AS18" s="986"/>
      <c r="AT18" s="986"/>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6"/>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986"/>
      <c r="AE19" s="986"/>
      <c r="AF19" s="986"/>
      <c r="AG19" s="986"/>
      <c r="AH19" s="986"/>
      <c r="AI19" s="986"/>
      <c r="AJ19" s="986"/>
      <c r="AK19" s="986"/>
      <c r="AL19" s="986"/>
      <c r="AM19" s="986"/>
      <c r="AN19" s="986"/>
      <c r="AO19" s="986"/>
      <c r="AP19" s="986"/>
      <c r="AQ19" s="986"/>
      <c r="AR19" s="986"/>
      <c r="AS19" s="986"/>
      <c r="AT19" s="986"/>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986"/>
      <c r="AE20" s="986"/>
      <c r="AF20" s="986"/>
      <c r="AG20" s="986"/>
      <c r="AH20" s="986"/>
      <c r="AI20" s="986"/>
      <c r="AJ20" s="986"/>
      <c r="AK20" s="986"/>
      <c r="AL20" s="986"/>
      <c r="AM20" s="986"/>
      <c r="AN20" s="986"/>
      <c r="AO20" s="986"/>
      <c r="AP20" s="986"/>
      <c r="AQ20" s="986"/>
      <c r="AR20" s="986"/>
      <c r="AS20" s="986"/>
      <c r="AT20" s="986"/>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1069"/>
  <sheetViews>
    <sheetView topLeftCell="A1044" workbookViewId="0">
      <selection activeCell="G1069" sqref="G1069"/>
    </sheetView>
  </sheetViews>
  <sheetFormatPr defaultRowHeight="13.5"/>
  <cols>
    <col min="1" max="1" width="9" style="3157"/>
    <col min="2" max="2" width="10.5" style="3157" bestFit="1" customWidth="1"/>
    <col min="3" max="3" width="10.625" style="3157" customWidth="1"/>
    <col min="4" max="4" width="10.25" style="3157" customWidth="1"/>
    <col min="5" max="5" width="9.5" style="3157" bestFit="1" customWidth="1"/>
    <col min="6" max="6" width="13" style="3157" bestFit="1" customWidth="1"/>
    <col min="7" max="7" width="14.5" style="3157" bestFit="1" customWidth="1"/>
    <col min="8" max="10" width="9" style="3157"/>
    <col min="11" max="11" width="10.5" style="3157" bestFit="1" customWidth="1"/>
    <col min="12" max="12" width="9.5" style="3157" bestFit="1" customWidth="1"/>
    <col min="13" max="13" width="9" style="3157"/>
    <col min="14" max="14" width="12.75" style="3157" bestFit="1" customWidth="1"/>
    <col min="15" max="15" width="11.625" style="3157" bestFit="1" customWidth="1"/>
    <col min="16" max="16" width="12.75" style="3157" bestFit="1" customWidth="1"/>
    <col min="17" max="17" width="12.125" style="3157" customWidth="1"/>
    <col min="18" max="16384" width="9" style="3157"/>
  </cols>
  <sheetData>
    <row r="1" spans="1:21">
      <c r="A1" s="3188" t="s">
        <v>3401</v>
      </c>
      <c r="B1" s="3188" t="s">
        <v>3402</v>
      </c>
      <c r="C1" s="3188" t="s">
        <v>2542</v>
      </c>
      <c r="D1" s="3188" t="s">
        <v>3403</v>
      </c>
      <c r="E1" s="3188" t="s">
        <v>3404</v>
      </c>
      <c r="F1" s="3188"/>
      <c r="G1" s="3188" t="s">
        <v>5829</v>
      </c>
      <c r="J1" s="3157" t="s">
        <v>5836</v>
      </c>
      <c r="K1" s="3157" t="s">
        <v>5833</v>
      </c>
      <c r="L1" s="3157" t="s">
        <v>5835</v>
      </c>
      <c r="M1" s="3157" t="s">
        <v>5834</v>
      </c>
      <c r="N1" s="3157" t="s">
        <v>5837</v>
      </c>
      <c r="O1" s="3157" t="s">
        <v>5838</v>
      </c>
      <c r="P1" s="3157" t="s">
        <v>5835</v>
      </c>
      <c r="Q1" s="3157" t="s">
        <v>5839</v>
      </c>
      <c r="R1" s="3157" t="s">
        <v>5840</v>
      </c>
      <c r="S1" s="3157" t="s">
        <v>5841</v>
      </c>
      <c r="T1" s="3157" t="s">
        <v>5842</v>
      </c>
      <c r="U1" s="3157" t="s">
        <v>5828</v>
      </c>
    </row>
    <row r="2" spans="1:21">
      <c r="A2" s="3188" t="s">
        <v>3405</v>
      </c>
      <c r="B2" s="3188">
        <f>C2+D2+E2</f>
        <v>3696.5</v>
      </c>
      <c r="C2" s="3188">
        <v>2937.98</v>
      </c>
      <c r="D2" s="3188">
        <v>758.52</v>
      </c>
      <c r="E2" s="3188"/>
      <c r="F2" s="3188"/>
      <c r="G2" s="3188"/>
      <c r="I2" s="3157" t="s">
        <v>5830</v>
      </c>
      <c r="M2" s="3157">
        <v>180</v>
      </c>
    </row>
    <row r="3" spans="1:21">
      <c r="A3" s="3188" t="s">
        <v>3406</v>
      </c>
      <c r="B3" s="3188">
        <f t="shared" ref="B3:B25" si="0">C3+D3+E3</f>
        <v>5511.78</v>
      </c>
      <c r="C3" s="3188">
        <v>4393.91</v>
      </c>
      <c r="D3" s="3188">
        <v>1117.8699999999999</v>
      </c>
      <c r="E3" s="3188"/>
      <c r="F3" s="3188"/>
      <c r="G3" s="3188"/>
      <c r="I3" s="3157" t="s">
        <v>5831</v>
      </c>
      <c r="L3" s="3157">
        <v>100</v>
      </c>
    </row>
    <row r="4" spans="1:21">
      <c r="A4" s="3188" t="s">
        <v>3407</v>
      </c>
      <c r="B4" s="3188">
        <f t="shared" si="0"/>
        <v>5529.66</v>
      </c>
      <c r="C4" s="3188">
        <v>4413.4399999999996</v>
      </c>
      <c r="D4" s="3188">
        <v>1116.22</v>
      </c>
      <c r="E4" s="3188"/>
      <c r="F4" s="3188"/>
      <c r="G4" s="3188"/>
      <c r="I4" s="3157" t="s">
        <v>5832</v>
      </c>
      <c r="O4" s="3157">
        <v>11</v>
      </c>
      <c r="P4" s="3157">
        <v>185</v>
      </c>
      <c r="Q4" s="3157">
        <v>103</v>
      </c>
      <c r="R4" s="3157">
        <v>102</v>
      </c>
      <c r="S4" s="3157">
        <v>164</v>
      </c>
      <c r="T4" s="3157">
        <v>756</v>
      </c>
      <c r="U4" s="3157">
        <v>352</v>
      </c>
    </row>
    <row r="5" spans="1:21">
      <c r="A5" s="3188" t="s">
        <v>3408</v>
      </c>
      <c r="B5" s="3188">
        <f t="shared" si="0"/>
        <v>3694.99</v>
      </c>
      <c r="C5" s="3188">
        <v>2950.94</v>
      </c>
      <c r="D5" s="3188">
        <v>744.05</v>
      </c>
      <c r="E5" s="3188"/>
      <c r="F5" s="3188"/>
      <c r="G5" s="3188"/>
      <c r="I5" s="3157" t="s">
        <v>5833</v>
      </c>
      <c r="K5" s="3157">
        <v>143.28</v>
      </c>
    </row>
    <row r="6" spans="1:21">
      <c r="A6" s="3188" t="s">
        <v>3409</v>
      </c>
      <c r="B6" s="3188">
        <f t="shared" si="0"/>
        <v>1892.26</v>
      </c>
      <c r="C6" s="3188">
        <v>1462.73</v>
      </c>
      <c r="D6" s="3188">
        <v>429.53</v>
      </c>
      <c r="E6" s="3188"/>
      <c r="F6" s="3188"/>
      <c r="G6" s="3188"/>
    </row>
    <row r="7" spans="1:21">
      <c r="A7" s="3188" t="s">
        <v>3410</v>
      </c>
      <c r="B7" s="3188">
        <f t="shared" si="0"/>
        <v>1921.6299999999999</v>
      </c>
      <c r="C7" s="3188">
        <v>1523.06</v>
      </c>
      <c r="D7" s="3188">
        <v>398.57</v>
      </c>
      <c r="E7" s="3188"/>
      <c r="F7" s="3188"/>
      <c r="G7" s="3188"/>
    </row>
    <row r="8" spans="1:21">
      <c r="A8" s="3188" t="s">
        <v>3411</v>
      </c>
      <c r="B8" s="3188">
        <f t="shared" si="0"/>
        <v>5521.9699999999993</v>
      </c>
      <c r="C8" s="3188">
        <v>4411.7</v>
      </c>
      <c r="D8" s="3188">
        <v>1110.27</v>
      </c>
      <c r="E8" s="3188"/>
      <c r="F8" s="3188"/>
      <c r="G8" s="3188"/>
    </row>
    <row r="9" spans="1:21">
      <c r="A9" s="3188" t="s">
        <v>3412</v>
      </c>
      <c r="B9" s="3188">
        <f t="shared" si="0"/>
        <v>3687.22</v>
      </c>
      <c r="C9" s="3188">
        <v>2940.24</v>
      </c>
      <c r="D9" s="3188">
        <v>746.98</v>
      </c>
      <c r="E9" s="3188"/>
      <c r="F9" s="3188"/>
      <c r="G9" s="3188"/>
    </row>
    <row r="10" spans="1:21">
      <c r="A10" s="3188" t="s">
        <v>3413</v>
      </c>
      <c r="B10" s="3188">
        <f t="shared" si="0"/>
        <v>3686.52</v>
      </c>
      <c r="C10" s="3188">
        <v>2939.91</v>
      </c>
      <c r="D10" s="3188">
        <v>746.61</v>
      </c>
      <c r="E10" s="3188"/>
      <c r="F10" s="3188"/>
      <c r="G10" s="3188"/>
    </row>
    <row r="11" spans="1:21">
      <c r="A11" s="3188" t="s">
        <v>3414</v>
      </c>
      <c r="B11" s="3188">
        <f t="shared" si="0"/>
        <v>5524.17</v>
      </c>
      <c r="C11" s="3188">
        <v>4412.8999999999996</v>
      </c>
      <c r="D11" s="3188">
        <v>1111.27</v>
      </c>
      <c r="E11" s="3188"/>
      <c r="F11" s="3188"/>
      <c r="G11" s="3188"/>
    </row>
    <row r="12" spans="1:21">
      <c r="A12" s="3188" t="s">
        <v>3415</v>
      </c>
      <c r="B12" s="3188">
        <f t="shared" si="0"/>
        <v>6576.5199999999995</v>
      </c>
      <c r="C12" s="3188">
        <v>5299.94</v>
      </c>
      <c r="D12" s="3188">
        <v>1276.58</v>
      </c>
      <c r="E12" s="3188"/>
      <c r="F12" s="3188"/>
      <c r="G12" s="3188"/>
    </row>
    <row r="13" spans="1:21">
      <c r="A13" s="3188" t="s">
        <v>3416</v>
      </c>
      <c r="B13" s="3188">
        <f t="shared" si="0"/>
        <v>5375.51</v>
      </c>
      <c r="C13" s="3188">
        <v>4359.18</v>
      </c>
      <c r="D13" s="3188">
        <v>1016.33</v>
      </c>
      <c r="E13" s="3188"/>
      <c r="F13" s="3188"/>
      <c r="G13" s="3188"/>
    </row>
    <row r="14" spans="1:21">
      <c r="A14" s="3188" t="s">
        <v>3417</v>
      </c>
      <c r="B14" s="3188">
        <f t="shared" si="0"/>
        <v>2324.69</v>
      </c>
      <c r="C14" s="3188">
        <v>1824.32</v>
      </c>
      <c r="D14" s="3188">
        <v>500.37</v>
      </c>
      <c r="E14" s="3188"/>
      <c r="F14" s="3188"/>
      <c r="G14" s="3188"/>
    </row>
    <row r="15" spans="1:21">
      <c r="A15" s="3188" t="s">
        <v>3418</v>
      </c>
      <c r="B15" s="3188">
        <f t="shared" si="0"/>
        <v>2697.7000000000003</v>
      </c>
      <c r="C15" s="3188">
        <v>2182.8000000000002</v>
      </c>
      <c r="D15" s="3188">
        <v>514.9</v>
      </c>
      <c r="E15" s="3188"/>
      <c r="F15" s="3188"/>
      <c r="G15" s="3188"/>
    </row>
    <row r="16" spans="1:21">
      <c r="A16" s="3188" t="s">
        <v>3419</v>
      </c>
      <c r="B16" s="3188">
        <f t="shared" si="0"/>
        <v>5365.45</v>
      </c>
      <c r="C16" s="3188">
        <v>4357.32</v>
      </c>
      <c r="D16" s="3188">
        <v>1008.13</v>
      </c>
      <c r="E16" s="3188"/>
      <c r="F16" s="3188"/>
      <c r="G16" s="3188"/>
    </row>
    <row r="17" spans="1:17">
      <c r="A17" s="3188" t="s">
        <v>3420</v>
      </c>
      <c r="B17" s="3188">
        <f t="shared" si="0"/>
        <v>5651.8600000000006</v>
      </c>
      <c r="C17" s="3188">
        <v>4442.43</v>
      </c>
      <c r="D17" s="3188">
        <v>1209.43</v>
      </c>
      <c r="E17" s="3188"/>
      <c r="F17" s="3188"/>
      <c r="G17" s="3188"/>
    </row>
    <row r="18" spans="1:17">
      <c r="A18" s="3188" t="s">
        <v>3421</v>
      </c>
      <c r="B18" s="3188">
        <f t="shared" si="0"/>
        <v>5376.03</v>
      </c>
      <c r="C18" s="3188">
        <v>4357.8999999999996</v>
      </c>
      <c r="D18" s="3188">
        <v>1018.13</v>
      </c>
      <c r="E18" s="3188"/>
      <c r="F18" s="3188"/>
      <c r="G18" s="3188"/>
    </row>
    <row r="19" spans="1:17">
      <c r="A19" s="3188" t="s">
        <v>3422</v>
      </c>
      <c r="B19" s="3188">
        <f t="shared" si="0"/>
        <v>4443.25</v>
      </c>
      <c r="C19" s="3188">
        <v>3576.76</v>
      </c>
      <c r="D19" s="3188">
        <v>866.49</v>
      </c>
      <c r="E19" s="3188"/>
      <c r="F19" s="3188"/>
      <c r="G19" s="3188"/>
    </row>
    <row r="20" spans="1:17">
      <c r="A20" s="3188" t="s">
        <v>3423</v>
      </c>
      <c r="B20" s="3188">
        <f t="shared" si="0"/>
        <v>6609.5199999999995</v>
      </c>
      <c r="C20" s="3188">
        <v>5330.19</v>
      </c>
      <c r="D20" s="3188">
        <v>1279.33</v>
      </c>
      <c r="E20" s="3188"/>
      <c r="F20" s="3188"/>
      <c r="G20" s="3188"/>
      <c r="I20" s="3157" t="s">
        <v>5858</v>
      </c>
      <c r="J20" s="3157" t="s">
        <v>5857</v>
      </c>
      <c r="K20" s="3157">
        <v>27058.23</v>
      </c>
      <c r="L20" s="3157">
        <v>88608</v>
      </c>
      <c r="M20" s="3157">
        <v>0.15</v>
      </c>
      <c r="N20" s="3157">
        <v>0.25</v>
      </c>
      <c r="O20" s="3157">
        <f>1+3.05%</f>
        <v>1.0305</v>
      </c>
      <c r="P20" s="3157">
        <f>L20*K20*N20*M20*O20</f>
        <v>92651313.786642</v>
      </c>
    </row>
    <row r="21" spans="1:17">
      <c r="A21" s="3188" t="s">
        <v>3424</v>
      </c>
      <c r="B21" s="3188">
        <f t="shared" si="0"/>
        <v>5398.36</v>
      </c>
      <c r="C21" s="3188">
        <v>4358.24</v>
      </c>
      <c r="D21" s="3188">
        <v>1040.1199999999999</v>
      </c>
      <c r="E21" s="3188"/>
      <c r="F21" s="3188"/>
      <c r="G21" s="3188"/>
      <c r="J21" s="3157" t="s">
        <v>5856</v>
      </c>
      <c r="K21" s="3157">
        <v>21680.35</v>
      </c>
      <c r="L21" s="3157">
        <v>88608</v>
      </c>
      <c r="M21" s="3157">
        <v>0.25</v>
      </c>
      <c r="N21" s="3157">
        <v>0.25</v>
      </c>
      <c r="O21" s="3157">
        <f>1+3.05%</f>
        <v>1.0305</v>
      </c>
      <c r="P21" s="3157">
        <f t="shared" ref="P21:P23" si="1">L21*K21*N21*M21*O21</f>
        <v>123727784.53815</v>
      </c>
      <c r="Q21" s="3157">
        <f>P20+P21</f>
        <v>216379098.324792</v>
      </c>
    </row>
    <row r="22" spans="1:17">
      <c r="A22" s="3188" t="s">
        <v>3425</v>
      </c>
      <c r="B22" s="3188">
        <f t="shared" si="0"/>
        <v>6810.4500000000007</v>
      </c>
      <c r="C22" s="3188">
        <v>5330.64</v>
      </c>
      <c r="D22" s="3188">
        <v>1479.81</v>
      </c>
      <c r="E22" s="3188"/>
      <c r="F22" s="3188"/>
      <c r="G22" s="3188"/>
      <c r="I22" s="3157" t="s">
        <v>5859</v>
      </c>
      <c r="J22" s="3157" t="s">
        <v>5857</v>
      </c>
      <c r="K22" s="3157">
        <f>E26</f>
        <v>26581.66</v>
      </c>
      <c r="L22" s="3157">
        <v>88608</v>
      </c>
      <c r="M22" s="3157">
        <v>0.15</v>
      </c>
      <c r="N22" s="3157">
        <v>0.25</v>
      </c>
      <c r="O22" s="3157">
        <f>1+3.05%</f>
        <v>1.0305</v>
      </c>
      <c r="P22" s="3157">
        <f t="shared" si="1"/>
        <v>91019468.813363999</v>
      </c>
    </row>
    <row r="23" spans="1:17">
      <c r="A23" s="3188" t="s">
        <v>3426</v>
      </c>
      <c r="B23" s="3188">
        <f t="shared" si="0"/>
        <v>6641.55</v>
      </c>
      <c r="C23" s="3188">
        <v>5331.18</v>
      </c>
      <c r="D23" s="3188">
        <v>1310.3699999999999</v>
      </c>
      <c r="E23" s="3188"/>
      <c r="F23" s="3188"/>
      <c r="G23" s="3188"/>
      <c r="J23" s="3157" t="s">
        <v>5856</v>
      </c>
      <c r="K23" s="3157">
        <f>D27</f>
        <v>23741.789999999994</v>
      </c>
      <c r="L23" s="3157">
        <v>88608</v>
      </c>
      <c r="M23" s="3157">
        <v>0.25</v>
      </c>
      <c r="N23" s="3157">
        <v>0.25</v>
      </c>
      <c r="O23" s="3157">
        <f>1+3.05%</f>
        <v>1.0305</v>
      </c>
      <c r="P23" s="3157">
        <f t="shared" si="1"/>
        <v>135492235.02710995</v>
      </c>
      <c r="Q23" s="3157">
        <f>P22+P23</f>
        <v>226511703.84047395</v>
      </c>
    </row>
    <row r="24" spans="1:17">
      <c r="A24" s="3188" t="s">
        <v>3427</v>
      </c>
      <c r="B24" s="3188">
        <f t="shared" si="0"/>
        <v>6791.5599999999995</v>
      </c>
      <c r="C24" s="3188">
        <v>5290.7</v>
      </c>
      <c r="D24" s="3188">
        <v>1500.86</v>
      </c>
      <c r="E24" s="3188"/>
      <c r="F24" s="3188"/>
      <c r="G24" s="3188"/>
      <c r="Q24" s="3157">
        <f>Q23-Q21</f>
        <v>10132605.515681952</v>
      </c>
    </row>
    <row r="25" spans="1:17">
      <c r="A25" s="3188" t="s">
        <v>3428</v>
      </c>
      <c r="B25" s="3188">
        <f t="shared" si="0"/>
        <v>6731.93</v>
      </c>
      <c r="C25" s="3188">
        <v>5290.88</v>
      </c>
      <c r="D25" s="3188">
        <v>1441.05</v>
      </c>
      <c r="E25" s="3188"/>
      <c r="F25" s="3188"/>
      <c r="G25" s="3188"/>
      <c r="J25" s="3157" t="s">
        <v>5859</v>
      </c>
      <c r="K25" s="3157" t="s">
        <v>5858</v>
      </c>
      <c r="L25" s="3157" t="s">
        <v>5860</v>
      </c>
      <c r="M25" s="3157" t="s">
        <v>5861</v>
      </c>
      <c r="N25" s="3157" t="s">
        <v>5862</v>
      </c>
      <c r="P25" s="3157">
        <f>P23-P21</f>
        <v>11764450.488959953</v>
      </c>
    </row>
    <row r="26" spans="1:17">
      <c r="A26" s="3188" t="s">
        <v>3429</v>
      </c>
      <c r="B26" s="3188">
        <f>C26+D26+E26</f>
        <v>26581.66</v>
      </c>
      <c r="C26" s="3188"/>
      <c r="D26" s="3188"/>
      <c r="E26" s="3188">
        <v>26581.66</v>
      </c>
      <c r="F26" s="3188"/>
      <c r="G26" s="3188">
        <f>126.78+140.8</f>
        <v>267.58000000000004</v>
      </c>
      <c r="J26" s="3157">
        <f>C27</f>
        <v>93719.290000000023</v>
      </c>
      <c r="K26" s="3202">
        <v>88898.315000000002</v>
      </c>
      <c r="L26" s="3202">
        <f>J26-K26</f>
        <v>4820.9750000000204</v>
      </c>
      <c r="M26" s="3157">
        <v>88608</v>
      </c>
      <c r="N26" s="3157">
        <f>M26*L26</f>
        <v>427176952.8000018</v>
      </c>
    </row>
    <row r="27" spans="1:17">
      <c r="A27" s="3188" t="s">
        <v>3430</v>
      </c>
      <c r="B27" s="3188"/>
      <c r="C27" s="3188">
        <f>SUM(C2:C26)</f>
        <v>93719.290000000023</v>
      </c>
      <c r="D27" s="3188">
        <f>SUM(D2:D26)</f>
        <v>23741.789999999994</v>
      </c>
      <c r="E27" s="3188">
        <f>SUM(E2:E26)</f>
        <v>26581.66</v>
      </c>
      <c r="F27" s="3188">
        <f>C27+D27+E27</f>
        <v>144042.74000000002</v>
      </c>
      <c r="G27" s="3188"/>
      <c r="L27" s="3203">
        <f>L26/K26</f>
        <v>5.4230217974322911E-2</v>
      </c>
    </row>
    <row r="30" spans="1:17">
      <c r="D30" s="3158"/>
    </row>
    <row r="31" spans="1:17">
      <c r="C31" s="3159"/>
      <c r="D31" s="3159"/>
      <c r="E31" s="3159"/>
      <c r="I31" s="3188"/>
      <c r="J31" s="3188"/>
      <c r="K31" s="3188" t="s">
        <v>5863</v>
      </c>
    </row>
    <row r="32" spans="1:17">
      <c r="C32" s="3159"/>
      <c r="D32" s="3159"/>
      <c r="E32" s="3159"/>
      <c r="I32" s="3188" t="s">
        <v>5859</v>
      </c>
      <c r="J32" s="3188" t="s">
        <v>5857</v>
      </c>
      <c r="K32" s="3188">
        <f>K22</f>
        <v>26581.66</v>
      </c>
    </row>
    <row r="33" spans="1:12">
      <c r="C33" s="3159"/>
      <c r="D33" s="3159"/>
      <c r="E33" s="3159"/>
      <c r="I33" s="3188"/>
      <c r="J33" s="3188" t="s">
        <v>5856</v>
      </c>
      <c r="K33" s="3188">
        <f>K23</f>
        <v>23741.789999999994</v>
      </c>
    </row>
    <row r="34" spans="1:12">
      <c r="C34" s="3159"/>
      <c r="D34" s="3159"/>
      <c r="E34" s="3159"/>
    </row>
    <row r="35" spans="1:12">
      <c r="C35" s="3159"/>
      <c r="D35" s="3159"/>
      <c r="E35" s="3159"/>
    </row>
    <row r="38" spans="1:12" ht="26.25" thickBot="1">
      <c r="A38" s="3309" t="s">
        <v>5959</v>
      </c>
      <c r="B38" s="3310"/>
      <c r="C38" s="3310"/>
      <c r="D38" s="3310"/>
      <c r="E38" s="3310"/>
      <c r="F38" s="3310"/>
      <c r="G38" s="3310"/>
      <c r="H38" s="3310"/>
      <c r="I38" s="3310"/>
      <c r="J38" s="3307"/>
      <c r="K38" s="3308"/>
      <c r="L38" s="3206"/>
    </row>
    <row r="39" spans="1:12" ht="27">
      <c r="A39" s="3219" t="s">
        <v>3433</v>
      </c>
      <c r="B39" s="3220" t="s">
        <v>3434</v>
      </c>
      <c r="C39" s="3220" t="s">
        <v>3438</v>
      </c>
      <c r="D39" s="3220" t="s">
        <v>5927</v>
      </c>
      <c r="E39" s="3220" t="s">
        <v>5928</v>
      </c>
      <c r="F39" s="3220" t="s">
        <v>3440</v>
      </c>
      <c r="G39" s="3221" t="s">
        <v>5929</v>
      </c>
      <c r="H39" s="3221" t="s">
        <v>5957</v>
      </c>
      <c r="I39" s="3226" t="s">
        <v>5960</v>
      </c>
      <c r="J39" s="3305"/>
      <c r="K39" s="3306"/>
      <c r="L39" s="3208"/>
    </row>
    <row r="40" spans="1:12">
      <c r="A40" s="3222">
        <v>1</v>
      </c>
      <c r="B40" s="3223" t="s">
        <v>3444</v>
      </c>
      <c r="C40" s="3223" t="s">
        <v>5930</v>
      </c>
      <c r="D40" s="3223">
        <v>101</v>
      </c>
      <c r="E40" s="3223" t="s">
        <v>3395</v>
      </c>
      <c r="F40" s="3223">
        <v>192.35</v>
      </c>
      <c r="G40" s="3224">
        <f>ROUND(F40*H40,2)</f>
        <v>85.42</v>
      </c>
      <c r="H40" s="3224">
        <v>0.44408023116547801</v>
      </c>
      <c r="I40" s="3227"/>
      <c r="J40" s="3305"/>
      <c r="K40" s="3306"/>
      <c r="L40" s="3208"/>
    </row>
    <row r="41" spans="1:12">
      <c r="A41" s="3222">
        <v>2</v>
      </c>
      <c r="B41" s="3223" t="s">
        <v>3444</v>
      </c>
      <c r="C41" s="3223" t="s">
        <v>5930</v>
      </c>
      <c r="D41" s="3223">
        <v>102</v>
      </c>
      <c r="E41" s="3223" t="s">
        <v>3395</v>
      </c>
      <c r="F41" s="3223">
        <v>161.68</v>
      </c>
      <c r="G41" s="3224">
        <f t="shared" ref="G41:G104" si="2">ROUND(F41*H41,2)</f>
        <v>71.8</v>
      </c>
      <c r="H41" s="3224">
        <f>H40</f>
        <v>0.44408023116547801</v>
      </c>
      <c r="I41" s="3227"/>
      <c r="J41" s="3305"/>
      <c r="K41" s="3306"/>
      <c r="L41" s="3208"/>
    </row>
    <row r="42" spans="1:12">
      <c r="A42" s="3222">
        <v>3</v>
      </c>
      <c r="B42" s="3223" t="s">
        <v>3444</v>
      </c>
      <c r="C42" s="3223" t="s">
        <v>5930</v>
      </c>
      <c r="D42" s="3223">
        <v>202</v>
      </c>
      <c r="E42" s="3223" t="s">
        <v>3395</v>
      </c>
      <c r="F42" s="3223">
        <v>184.32</v>
      </c>
      <c r="G42" s="3224">
        <f t="shared" si="2"/>
        <v>81.849999999999994</v>
      </c>
      <c r="H42" s="3224">
        <f>H41</f>
        <v>0.44408023116547801</v>
      </c>
      <c r="I42" s="3227"/>
      <c r="J42" s="3305"/>
      <c r="K42" s="3306"/>
      <c r="L42" s="3208"/>
    </row>
    <row r="43" spans="1:12">
      <c r="A43" s="3222">
        <v>4</v>
      </c>
      <c r="B43" s="3223" t="s">
        <v>3444</v>
      </c>
      <c r="C43" s="3223" t="s">
        <v>5930</v>
      </c>
      <c r="D43" s="3223">
        <v>301</v>
      </c>
      <c r="E43" s="3223" t="s">
        <v>3395</v>
      </c>
      <c r="F43" s="3223">
        <v>192.37</v>
      </c>
      <c r="G43" s="3224">
        <f t="shared" si="2"/>
        <v>85.43</v>
      </c>
      <c r="H43" s="3224">
        <f t="shared" ref="H43:H106" si="3">H42</f>
        <v>0.44408023116547801</v>
      </c>
      <c r="I43" s="3227"/>
      <c r="J43" s="3305"/>
      <c r="K43" s="3306"/>
      <c r="L43" s="3208"/>
    </row>
    <row r="44" spans="1:12">
      <c r="A44" s="3222">
        <v>5</v>
      </c>
      <c r="B44" s="3223" t="s">
        <v>3444</v>
      </c>
      <c r="C44" s="3223" t="s">
        <v>5930</v>
      </c>
      <c r="D44" s="3223">
        <v>302</v>
      </c>
      <c r="E44" s="3223" t="s">
        <v>3395</v>
      </c>
      <c r="F44" s="3223">
        <v>184.32</v>
      </c>
      <c r="G44" s="3224">
        <f t="shared" si="2"/>
        <v>81.849999999999994</v>
      </c>
      <c r="H44" s="3224">
        <f t="shared" si="3"/>
        <v>0.44408023116547801</v>
      </c>
      <c r="I44" s="3227"/>
      <c r="J44" s="3305"/>
      <c r="K44" s="3306"/>
      <c r="L44" s="3208"/>
    </row>
    <row r="45" spans="1:12">
      <c r="A45" s="3222">
        <v>6</v>
      </c>
      <c r="B45" s="3223" t="s">
        <v>3444</v>
      </c>
      <c r="C45" s="3223" t="s">
        <v>5931</v>
      </c>
      <c r="D45" s="3223">
        <v>101</v>
      </c>
      <c r="E45" s="3223" t="s">
        <v>3395</v>
      </c>
      <c r="F45" s="3223">
        <v>161.68</v>
      </c>
      <c r="G45" s="3224">
        <f t="shared" si="2"/>
        <v>71.8</v>
      </c>
      <c r="H45" s="3224">
        <f t="shared" si="3"/>
        <v>0.44408023116547801</v>
      </c>
      <c r="I45" s="3227"/>
      <c r="J45" s="3305"/>
      <c r="K45" s="3306"/>
      <c r="L45" s="3208"/>
    </row>
    <row r="46" spans="1:12">
      <c r="A46" s="3222">
        <v>7</v>
      </c>
      <c r="B46" s="3223" t="s">
        <v>3444</v>
      </c>
      <c r="C46" s="3223" t="s">
        <v>5931</v>
      </c>
      <c r="D46" s="3223">
        <v>102</v>
      </c>
      <c r="E46" s="3223" t="s">
        <v>3395</v>
      </c>
      <c r="F46" s="3223">
        <v>184.78</v>
      </c>
      <c r="G46" s="3224">
        <f t="shared" si="2"/>
        <v>82.06</v>
      </c>
      <c r="H46" s="3224">
        <f t="shared" si="3"/>
        <v>0.44408023116547801</v>
      </c>
      <c r="I46" s="3227"/>
      <c r="J46" s="3305"/>
      <c r="K46" s="3306"/>
      <c r="L46" s="3208"/>
    </row>
    <row r="47" spans="1:12">
      <c r="A47" s="3222">
        <v>8</v>
      </c>
      <c r="B47" s="3223" t="s">
        <v>3444</v>
      </c>
      <c r="C47" s="3223" t="s">
        <v>5931</v>
      </c>
      <c r="D47" s="3223">
        <v>301</v>
      </c>
      <c r="E47" s="3223" t="s">
        <v>3395</v>
      </c>
      <c r="F47" s="3223">
        <v>184.32</v>
      </c>
      <c r="G47" s="3224">
        <f t="shared" si="2"/>
        <v>81.849999999999994</v>
      </c>
      <c r="H47" s="3224">
        <f t="shared" si="3"/>
        <v>0.44408023116547801</v>
      </c>
      <c r="I47" s="3227"/>
      <c r="J47" s="3305"/>
      <c r="K47" s="3306"/>
      <c r="L47" s="3208"/>
    </row>
    <row r="48" spans="1:12">
      <c r="A48" s="3222">
        <v>9</v>
      </c>
      <c r="B48" s="3223" t="s">
        <v>3444</v>
      </c>
      <c r="C48" s="3223" t="s">
        <v>5931</v>
      </c>
      <c r="D48" s="3223">
        <v>302</v>
      </c>
      <c r="E48" s="3223" t="s">
        <v>3395</v>
      </c>
      <c r="F48" s="3223">
        <v>184.82</v>
      </c>
      <c r="G48" s="3224">
        <f t="shared" si="2"/>
        <v>82.07</v>
      </c>
      <c r="H48" s="3224">
        <f t="shared" si="3"/>
        <v>0.44408023116547801</v>
      </c>
      <c r="I48" s="3227"/>
      <c r="J48" s="3305"/>
      <c r="K48" s="3306"/>
      <c r="L48" s="3208"/>
    </row>
    <row r="49" spans="1:12">
      <c r="A49" s="3222">
        <v>10</v>
      </c>
      <c r="B49" s="3223" t="s">
        <v>3444</v>
      </c>
      <c r="C49" s="3223" t="s">
        <v>5931</v>
      </c>
      <c r="D49" s="3223">
        <v>401</v>
      </c>
      <c r="E49" s="3223" t="s">
        <v>3395</v>
      </c>
      <c r="F49" s="3223">
        <v>184.32</v>
      </c>
      <c r="G49" s="3224">
        <f t="shared" si="2"/>
        <v>81.849999999999994</v>
      </c>
      <c r="H49" s="3224">
        <f t="shared" si="3"/>
        <v>0.44408023116547801</v>
      </c>
      <c r="I49" s="3227"/>
      <c r="J49" s="3305"/>
      <c r="K49" s="3306"/>
      <c r="L49" s="3208"/>
    </row>
    <row r="50" spans="1:12">
      <c r="A50" s="3222">
        <v>11</v>
      </c>
      <c r="B50" s="3223" t="s">
        <v>3444</v>
      </c>
      <c r="C50" s="3223" t="s">
        <v>5931</v>
      </c>
      <c r="D50" s="3223">
        <v>402</v>
      </c>
      <c r="E50" s="3223" t="s">
        <v>3395</v>
      </c>
      <c r="F50" s="3223">
        <v>184.82</v>
      </c>
      <c r="G50" s="3224">
        <f t="shared" si="2"/>
        <v>82.07</v>
      </c>
      <c r="H50" s="3224">
        <f t="shared" si="3"/>
        <v>0.44408023116547801</v>
      </c>
      <c r="I50" s="3227"/>
      <c r="J50" s="3305"/>
      <c r="K50" s="3306"/>
      <c r="L50" s="3208"/>
    </row>
    <row r="51" spans="1:12">
      <c r="A51" s="3222">
        <v>12</v>
      </c>
      <c r="B51" s="3223" t="s">
        <v>3444</v>
      </c>
      <c r="C51" s="3223" t="s">
        <v>5931</v>
      </c>
      <c r="D51" s="3223">
        <v>201</v>
      </c>
      <c r="E51" s="3223" t="s">
        <v>3395</v>
      </c>
      <c r="F51" s="3223">
        <v>184.32</v>
      </c>
      <c r="G51" s="3224">
        <f t="shared" si="2"/>
        <v>81.849999999999994</v>
      </c>
      <c r="H51" s="3224">
        <f t="shared" si="3"/>
        <v>0.44408023116547801</v>
      </c>
      <c r="I51" s="3227"/>
      <c r="J51" s="3305"/>
      <c r="K51" s="3306"/>
      <c r="L51" s="3208"/>
    </row>
    <row r="52" spans="1:12">
      <c r="A52" s="3222">
        <v>13</v>
      </c>
      <c r="B52" s="3223" t="s">
        <v>5932</v>
      </c>
      <c r="C52" s="3223"/>
      <c r="D52" s="3223">
        <v>101</v>
      </c>
      <c r="E52" s="3223" t="s">
        <v>3851</v>
      </c>
      <c r="F52" s="3223">
        <v>30.96</v>
      </c>
      <c r="G52" s="3224">
        <f t="shared" si="2"/>
        <v>13.75</v>
      </c>
      <c r="H52" s="3224">
        <f t="shared" si="3"/>
        <v>0.44408023116547801</v>
      </c>
      <c r="I52" s="3227"/>
      <c r="J52" s="3305"/>
      <c r="K52" s="3306"/>
      <c r="L52" s="3208"/>
    </row>
    <row r="53" spans="1:12">
      <c r="A53" s="3222">
        <v>14</v>
      </c>
      <c r="B53" s="3223" t="s">
        <v>5932</v>
      </c>
      <c r="C53" s="3223"/>
      <c r="D53" s="3223">
        <v>102</v>
      </c>
      <c r="E53" s="3223" t="s">
        <v>3851</v>
      </c>
      <c r="F53" s="3223">
        <v>16.05</v>
      </c>
      <c r="G53" s="3224">
        <f t="shared" si="2"/>
        <v>7.13</v>
      </c>
      <c r="H53" s="3224">
        <f t="shared" si="3"/>
        <v>0.44408023116547801</v>
      </c>
      <c r="I53" s="3227"/>
      <c r="J53" s="3305"/>
      <c r="K53" s="3306"/>
      <c r="L53" s="3208"/>
    </row>
    <row r="54" spans="1:12">
      <c r="A54" s="3222">
        <v>15</v>
      </c>
      <c r="B54" s="3223" t="s">
        <v>5932</v>
      </c>
      <c r="C54" s="3223"/>
      <c r="D54" s="3223">
        <v>103</v>
      </c>
      <c r="E54" s="3223" t="s">
        <v>3851</v>
      </c>
      <c r="F54" s="3223">
        <v>46.62</v>
      </c>
      <c r="G54" s="3224">
        <f t="shared" si="2"/>
        <v>20.7</v>
      </c>
      <c r="H54" s="3224">
        <f t="shared" si="3"/>
        <v>0.44408023116547801</v>
      </c>
      <c r="I54" s="3227"/>
      <c r="J54" s="3305"/>
      <c r="K54" s="3306"/>
      <c r="L54" s="3208"/>
    </row>
    <row r="55" spans="1:12">
      <c r="A55" s="3222">
        <v>16</v>
      </c>
      <c r="B55" s="3223" t="s">
        <v>5932</v>
      </c>
      <c r="C55" s="3223"/>
      <c r="D55" s="3223">
        <v>104</v>
      </c>
      <c r="E55" s="3223" t="s">
        <v>3851</v>
      </c>
      <c r="F55" s="3223">
        <v>53.65</v>
      </c>
      <c r="G55" s="3224">
        <f t="shared" si="2"/>
        <v>23.82</v>
      </c>
      <c r="H55" s="3224">
        <f t="shared" si="3"/>
        <v>0.44408023116547801</v>
      </c>
      <c r="I55" s="3227"/>
      <c r="J55" s="3305"/>
      <c r="K55" s="3306"/>
      <c r="L55" s="3208"/>
    </row>
    <row r="56" spans="1:12">
      <c r="A56" s="3222">
        <v>17</v>
      </c>
      <c r="B56" s="3223" t="s">
        <v>5932</v>
      </c>
      <c r="C56" s="3223"/>
      <c r="D56" s="3223">
        <v>105</v>
      </c>
      <c r="E56" s="3223" t="s">
        <v>3851</v>
      </c>
      <c r="F56" s="3223">
        <v>23.61</v>
      </c>
      <c r="G56" s="3224">
        <f t="shared" si="2"/>
        <v>10.48</v>
      </c>
      <c r="H56" s="3224">
        <f t="shared" si="3"/>
        <v>0.44408023116547801</v>
      </c>
      <c r="I56" s="3227"/>
      <c r="J56" s="3305"/>
      <c r="K56" s="3306"/>
      <c r="L56" s="3208"/>
    </row>
    <row r="57" spans="1:12">
      <c r="A57" s="3222">
        <v>18</v>
      </c>
      <c r="B57" s="3223" t="s">
        <v>5932</v>
      </c>
      <c r="C57" s="3223"/>
      <c r="D57" s="3223">
        <v>106</v>
      </c>
      <c r="E57" s="3223" t="s">
        <v>3851</v>
      </c>
      <c r="F57" s="3223">
        <v>23.65</v>
      </c>
      <c r="G57" s="3224">
        <f t="shared" si="2"/>
        <v>10.5</v>
      </c>
      <c r="H57" s="3224">
        <f t="shared" si="3"/>
        <v>0.44408023116547801</v>
      </c>
      <c r="I57" s="3227"/>
      <c r="J57" s="3305"/>
      <c r="K57" s="3306"/>
      <c r="L57" s="3208"/>
    </row>
    <row r="58" spans="1:12">
      <c r="A58" s="3222">
        <v>19</v>
      </c>
      <c r="B58" s="3223" t="s">
        <v>5932</v>
      </c>
      <c r="C58" s="3223"/>
      <c r="D58" s="3223">
        <v>107</v>
      </c>
      <c r="E58" s="3223" t="s">
        <v>3851</v>
      </c>
      <c r="F58" s="3223">
        <v>56.61</v>
      </c>
      <c r="G58" s="3224">
        <f t="shared" si="2"/>
        <v>25.14</v>
      </c>
      <c r="H58" s="3224">
        <f t="shared" si="3"/>
        <v>0.44408023116547801</v>
      </c>
      <c r="I58" s="3227"/>
      <c r="J58" s="3305"/>
      <c r="K58" s="3306"/>
      <c r="L58" s="3208"/>
    </row>
    <row r="59" spans="1:12">
      <c r="A59" s="3222">
        <v>20</v>
      </c>
      <c r="B59" s="3223" t="s">
        <v>5932</v>
      </c>
      <c r="C59" s="3223"/>
      <c r="D59" s="3223">
        <v>108</v>
      </c>
      <c r="E59" s="3223" t="s">
        <v>3851</v>
      </c>
      <c r="F59" s="3223">
        <v>41.07</v>
      </c>
      <c r="G59" s="3224">
        <f t="shared" si="2"/>
        <v>18.239999999999998</v>
      </c>
      <c r="H59" s="3224">
        <f t="shared" si="3"/>
        <v>0.44408023116547801</v>
      </c>
      <c r="I59" s="3227"/>
      <c r="J59" s="3305"/>
      <c r="K59" s="3306"/>
      <c r="L59" s="3208"/>
    </row>
    <row r="60" spans="1:12">
      <c r="A60" s="3222">
        <v>21</v>
      </c>
      <c r="B60" s="3223" t="s">
        <v>5932</v>
      </c>
      <c r="C60" s="3223"/>
      <c r="D60" s="3223">
        <v>109</v>
      </c>
      <c r="E60" s="3223" t="s">
        <v>3851</v>
      </c>
      <c r="F60" s="3223">
        <v>41.07</v>
      </c>
      <c r="G60" s="3224">
        <f t="shared" si="2"/>
        <v>18.239999999999998</v>
      </c>
      <c r="H60" s="3224">
        <f t="shared" si="3"/>
        <v>0.44408023116547801</v>
      </c>
      <c r="I60" s="3227"/>
      <c r="J60" s="3305"/>
      <c r="K60" s="3306"/>
      <c r="L60" s="3208"/>
    </row>
    <row r="61" spans="1:12">
      <c r="A61" s="3222">
        <v>22</v>
      </c>
      <c r="B61" s="3223" t="s">
        <v>5932</v>
      </c>
      <c r="C61" s="3223"/>
      <c r="D61" s="3223">
        <v>111</v>
      </c>
      <c r="E61" s="3223" t="s">
        <v>3851</v>
      </c>
      <c r="F61" s="3223">
        <v>23.65</v>
      </c>
      <c r="G61" s="3224">
        <f t="shared" si="2"/>
        <v>10.5</v>
      </c>
      <c r="H61" s="3224">
        <f t="shared" si="3"/>
        <v>0.44408023116547801</v>
      </c>
      <c r="I61" s="3227"/>
      <c r="J61" s="3305"/>
      <c r="K61" s="3306"/>
      <c r="L61" s="3208"/>
    </row>
    <row r="62" spans="1:12">
      <c r="A62" s="3222">
        <v>23</v>
      </c>
      <c r="B62" s="3223" t="s">
        <v>5932</v>
      </c>
      <c r="C62" s="3223"/>
      <c r="D62" s="3223">
        <v>112</v>
      </c>
      <c r="E62" s="3223" t="s">
        <v>3851</v>
      </c>
      <c r="F62" s="3223">
        <v>23.61</v>
      </c>
      <c r="G62" s="3224">
        <f t="shared" si="2"/>
        <v>10.48</v>
      </c>
      <c r="H62" s="3224">
        <f t="shared" si="3"/>
        <v>0.44408023116547801</v>
      </c>
      <c r="I62" s="3227"/>
      <c r="J62" s="3305"/>
      <c r="K62" s="3306"/>
      <c r="L62" s="3208"/>
    </row>
    <row r="63" spans="1:12">
      <c r="A63" s="3222">
        <v>24</v>
      </c>
      <c r="B63" s="3223" t="s">
        <v>5932</v>
      </c>
      <c r="C63" s="3223"/>
      <c r="D63" s="3223">
        <v>113</v>
      </c>
      <c r="E63" s="3223" t="s">
        <v>3851</v>
      </c>
      <c r="F63" s="3223">
        <v>49.56</v>
      </c>
      <c r="G63" s="3224">
        <f t="shared" si="2"/>
        <v>22.01</v>
      </c>
      <c r="H63" s="3224">
        <f t="shared" si="3"/>
        <v>0.44408023116547801</v>
      </c>
      <c r="I63" s="3227"/>
      <c r="J63" s="3305"/>
      <c r="K63" s="3306"/>
      <c r="L63" s="3208"/>
    </row>
    <row r="64" spans="1:12">
      <c r="A64" s="3222">
        <v>25</v>
      </c>
      <c r="B64" s="3223" t="s">
        <v>5932</v>
      </c>
      <c r="C64" s="3223"/>
      <c r="D64" s="3223">
        <v>114</v>
      </c>
      <c r="E64" s="3223" t="s">
        <v>3851</v>
      </c>
      <c r="F64" s="3223">
        <v>47.93</v>
      </c>
      <c r="G64" s="3224">
        <f t="shared" si="2"/>
        <v>21.28</v>
      </c>
      <c r="H64" s="3224">
        <f t="shared" si="3"/>
        <v>0.44408023116547801</v>
      </c>
      <c r="I64" s="3227"/>
      <c r="J64" s="3305"/>
      <c r="K64" s="3306"/>
      <c r="L64" s="3208"/>
    </row>
    <row r="65" spans="1:12">
      <c r="A65" s="3222">
        <v>26</v>
      </c>
      <c r="B65" s="3223" t="s">
        <v>5932</v>
      </c>
      <c r="C65" s="3223"/>
      <c r="D65" s="3223">
        <v>115</v>
      </c>
      <c r="E65" s="3223" t="s">
        <v>3851</v>
      </c>
      <c r="F65" s="3223">
        <v>22.61</v>
      </c>
      <c r="G65" s="3224">
        <f t="shared" si="2"/>
        <v>10.039999999999999</v>
      </c>
      <c r="H65" s="3224">
        <f t="shared" si="3"/>
        <v>0.44408023116547801</v>
      </c>
      <c r="I65" s="3227"/>
      <c r="J65" s="3305"/>
      <c r="K65" s="3306"/>
      <c r="L65" s="3208"/>
    </row>
    <row r="66" spans="1:12">
      <c r="A66" s="3222">
        <v>27</v>
      </c>
      <c r="B66" s="3223" t="s">
        <v>5932</v>
      </c>
      <c r="C66" s="3223"/>
      <c r="D66" s="3223">
        <v>116</v>
      </c>
      <c r="E66" s="3223" t="s">
        <v>3851</v>
      </c>
      <c r="F66" s="3223">
        <v>27.95</v>
      </c>
      <c r="G66" s="3224">
        <f t="shared" si="2"/>
        <v>12.41</v>
      </c>
      <c r="H66" s="3224">
        <f t="shared" si="3"/>
        <v>0.44408023116547801</v>
      </c>
      <c r="I66" s="3227"/>
      <c r="J66" s="3314"/>
      <c r="K66" s="3315"/>
      <c r="L66" s="3208"/>
    </row>
    <row r="67" spans="1:12">
      <c r="A67" s="3222">
        <v>28</v>
      </c>
      <c r="B67" s="3223" t="s">
        <v>5932</v>
      </c>
      <c r="C67" s="3223"/>
      <c r="D67" s="3223">
        <v>117</v>
      </c>
      <c r="E67" s="3223" t="s">
        <v>3851</v>
      </c>
      <c r="F67" s="3223">
        <v>27.6</v>
      </c>
      <c r="G67" s="3224">
        <f t="shared" si="2"/>
        <v>12.26</v>
      </c>
      <c r="H67" s="3224">
        <f t="shared" si="3"/>
        <v>0.44408023116547801</v>
      </c>
      <c r="I67" s="3227"/>
      <c r="J67" s="3305"/>
      <c r="K67" s="3306"/>
      <c r="L67" s="3208"/>
    </row>
    <row r="68" spans="1:12">
      <c r="A68" s="3222">
        <v>29</v>
      </c>
      <c r="B68" s="3223" t="s">
        <v>5932</v>
      </c>
      <c r="C68" s="3223"/>
      <c r="D68" s="3223">
        <v>118</v>
      </c>
      <c r="E68" s="3223" t="s">
        <v>3851</v>
      </c>
      <c r="F68" s="3223">
        <v>19.13</v>
      </c>
      <c r="G68" s="3224">
        <f t="shared" si="2"/>
        <v>8.5</v>
      </c>
      <c r="H68" s="3224">
        <f t="shared" si="3"/>
        <v>0.44408023116547801</v>
      </c>
      <c r="I68" s="3227"/>
      <c r="J68" s="3305"/>
      <c r="K68" s="3306"/>
      <c r="L68" s="3208"/>
    </row>
    <row r="69" spans="1:12">
      <c r="A69" s="3222">
        <v>30</v>
      </c>
      <c r="B69" s="3223" t="s">
        <v>5932</v>
      </c>
      <c r="C69" s="3223"/>
      <c r="D69" s="3223">
        <v>119</v>
      </c>
      <c r="E69" s="3223" t="s">
        <v>3851</v>
      </c>
      <c r="F69" s="3223">
        <v>19.13</v>
      </c>
      <c r="G69" s="3224">
        <f t="shared" si="2"/>
        <v>8.5</v>
      </c>
      <c r="H69" s="3224">
        <f t="shared" si="3"/>
        <v>0.44408023116547801</v>
      </c>
      <c r="I69" s="3227"/>
      <c r="J69" s="3314"/>
      <c r="K69" s="3315"/>
      <c r="L69" s="3208"/>
    </row>
    <row r="70" spans="1:12">
      <c r="A70" s="3222">
        <v>31</v>
      </c>
      <c r="B70" s="3223" t="s">
        <v>5932</v>
      </c>
      <c r="C70" s="3223"/>
      <c r="D70" s="3223">
        <v>120</v>
      </c>
      <c r="E70" s="3223" t="s">
        <v>3851</v>
      </c>
      <c r="F70" s="3223">
        <v>27.6</v>
      </c>
      <c r="G70" s="3224">
        <f t="shared" si="2"/>
        <v>12.26</v>
      </c>
      <c r="H70" s="3224">
        <f t="shared" si="3"/>
        <v>0.44408023116547801</v>
      </c>
      <c r="I70" s="3227"/>
      <c r="J70" s="3305"/>
      <c r="K70" s="3306"/>
      <c r="L70" s="3208"/>
    </row>
    <row r="71" spans="1:12">
      <c r="A71" s="3222">
        <v>32</v>
      </c>
      <c r="B71" s="3223" t="s">
        <v>5932</v>
      </c>
      <c r="C71" s="3223"/>
      <c r="D71" s="3223">
        <v>201</v>
      </c>
      <c r="E71" s="3223" t="s">
        <v>3851</v>
      </c>
      <c r="F71" s="3223">
        <v>15.83</v>
      </c>
      <c r="G71" s="3224">
        <f t="shared" si="2"/>
        <v>7.03</v>
      </c>
      <c r="H71" s="3224">
        <f t="shared" si="3"/>
        <v>0.44408023116547801</v>
      </c>
      <c r="I71" s="3227"/>
      <c r="J71" s="3305"/>
      <c r="K71" s="3306"/>
      <c r="L71" s="3208"/>
    </row>
    <row r="72" spans="1:12">
      <c r="A72" s="3222">
        <v>33</v>
      </c>
      <c r="B72" s="3223" t="s">
        <v>5932</v>
      </c>
      <c r="C72" s="3223"/>
      <c r="D72" s="3223">
        <v>202</v>
      </c>
      <c r="E72" s="3223" t="s">
        <v>3851</v>
      </c>
      <c r="F72" s="3223">
        <v>18.309999999999999</v>
      </c>
      <c r="G72" s="3224">
        <f t="shared" si="2"/>
        <v>8.1300000000000008</v>
      </c>
      <c r="H72" s="3224">
        <f t="shared" si="3"/>
        <v>0.44408023116547801</v>
      </c>
      <c r="I72" s="3227"/>
      <c r="J72" s="3305"/>
      <c r="K72" s="3306"/>
      <c r="L72" s="3208"/>
    </row>
    <row r="73" spans="1:12">
      <c r="A73" s="3222">
        <v>34</v>
      </c>
      <c r="B73" s="3223" t="s">
        <v>5932</v>
      </c>
      <c r="C73" s="3223"/>
      <c r="D73" s="3223">
        <v>203</v>
      </c>
      <c r="E73" s="3223" t="s">
        <v>3851</v>
      </c>
      <c r="F73" s="3223">
        <v>16.329999999999998</v>
      </c>
      <c r="G73" s="3224">
        <f t="shared" si="2"/>
        <v>7.25</v>
      </c>
      <c r="H73" s="3224">
        <f t="shared" si="3"/>
        <v>0.44408023116547801</v>
      </c>
      <c r="I73" s="3227"/>
      <c r="J73" s="3305"/>
      <c r="K73" s="3306"/>
      <c r="L73" s="3208"/>
    </row>
    <row r="74" spans="1:12">
      <c r="A74" s="3222">
        <v>35</v>
      </c>
      <c r="B74" s="3223" t="s">
        <v>5932</v>
      </c>
      <c r="C74" s="3223"/>
      <c r="D74" s="3223">
        <v>204</v>
      </c>
      <c r="E74" s="3223" t="s">
        <v>3851</v>
      </c>
      <c r="F74" s="3223">
        <v>12.38</v>
      </c>
      <c r="G74" s="3224">
        <f t="shared" si="2"/>
        <v>5.5</v>
      </c>
      <c r="H74" s="3224">
        <f t="shared" si="3"/>
        <v>0.44408023116547801</v>
      </c>
      <c r="I74" s="3227"/>
      <c r="J74" s="3318"/>
      <c r="K74" s="3319"/>
      <c r="L74" s="3208"/>
    </row>
    <row r="75" spans="1:12">
      <c r="A75" s="3222">
        <v>36</v>
      </c>
      <c r="B75" s="3223" t="s">
        <v>5932</v>
      </c>
      <c r="C75" s="3223"/>
      <c r="D75" s="3223">
        <v>205</v>
      </c>
      <c r="E75" s="3223" t="s">
        <v>3851</v>
      </c>
      <c r="F75" s="3223">
        <v>17</v>
      </c>
      <c r="G75" s="3224">
        <f t="shared" si="2"/>
        <v>7.55</v>
      </c>
      <c r="H75" s="3224">
        <f t="shared" si="3"/>
        <v>0.44408023116547801</v>
      </c>
      <c r="I75" s="3227"/>
      <c r="J75" s="3316"/>
      <c r="K75" s="3317"/>
      <c r="L75" s="3208"/>
    </row>
    <row r="76" spans="1:12">
      <c r="A76" s="3222">
        <v>37</v>
      </c>
      <c r="B76" s="3223" t="s">
        <v>3613</v>
      </c>
      <c r="C76" s="3223" t="s">
        <v>5930</v>
      </c>
      <c r="D76" s="3223">
        <v>102</v>
      </c>
      <c r="E76" s="3223" t="s">
        <v>3395</v>
      </c>
      <c r="F76" s="3223">
        <v>161.83000000000001</v>
      </c>
      <c r="G76" s="3224">
        <f t="shared" si="2"/>
        <v>71.87</v>
      </c>
      <c r="H76" s="3224">
        <f t="shared" si="3"/>
        <v>0.44408023116547801</v>
      </c>
      <c r="I76" s="3227"/>
      <c r="J76" s="3316"/>
      <c r="K76" s="3317"/>
      <c r="L76" s="3208"/>
    </row>
    <row r="77" spans="1:12">
      <c r="A77" s="3222">
        <v>38</v>
      </c>
      <c r="B77" s="3223" t="s">
        <v>3613</v>
      </c>
      <c r="C77" s="3223" t="s">
        <v>5930</v>
      </c>
      <c r="D77" s="3223">
        <v>301</v>
      </c>
      <c r="E77" s="3223" t="s">
        <v>3395</v>
      </c>
      <c r="F77" s="3223">
        <v>192.55</v>
      </c>
      <c r="G77" s="3224">
        <f t="shared" si="2"/>
        <v>85.51</v>
      </c>
      <c r="H77" s="3224">
        <f t="shared" si="3"/>
        <v>0.44408023116547801</v>
      </c>
      <c r="I77" s="3227"/>
      <c r="J77" s="3316"/>
      <c r="K77" s="3317"/>
      <c r="L77" s="3208"/>
    </row>
    <row r="78" spans="1:12">
      <c r="A78" s="3222">
        <v>45</v>
      </c>
      <c r="B78" s="3223" t="s">
        <v>3613</v>
      </c>
      <c r="C78" s="3223" t="s">
        <v>5931</v>
      </c>
      <c r="D78" s="3223">
        <v>101</v>
      </c>
      <c r="E78" s="3223" t="s">
        <v>3395</v>
      </c>
      <c r="F78" s="3223">
        <v>161.83000000000001</v>
      </c>
      <c r="G78" s="3224">
        <f t="shared" si="2"/>
        <v>71.87</v>
      </c>
      <c r="H78" s="3224">
        <f>H87</f>
        <v>0.44408023116547801</v>
      </c>
      <c r="I78" s="3227"/>
      <c r="J78" s="3316"/>
      <c r="K78" s="3317"/>
      <c r="L78" s="3208"/>
    </row>
    <row r="79" spans="1:12">
      <c r="A79" s="3222">
        <v>46</v>
      </c>
      <c r="B79" s="3223" t="s">
        <v>3613</v>
      </c>
      <c r="C79" s="3223" t="s">
        <v>5931</v>
      </c>
      <c r="D79" s="3223">
        <v>102</v>
      </c>
      <c r="E79" s="3223" t="s">
        <v>3395</v>
      </c>
      <c r="F79" s="3223">
        <v>184.45</v>
      </c>
      <c r="G79" s="3224">
        <f t="shared" si="2"/>
        <v>81.91</v>
      </c>
      <c r="H79" s="3224">
        <f>H78</f>
        <v>0.44408023116547801</v>
      </c>
      <c r="I79" s="3227"/>
      <c r="J79" s="3316"/>
      <c r="K79" s="3317"/>
      <c r="L79" s="3208"/>
    </row>
    <row r="80" spans="1:12">
      <c r="A80" s="3222">
        <v>47</v>
      </c>
      <c r="B80" s="3223" t="s">
        <v>3613</v>
      </c>
      <c r="C80" s="3223" t="s">
        <v>5931</v>
      </c>
      <c r="D80" s="3223">
        <v>302</v>
      </c>
      <c r="E80" s="3223" t="s">
        <v>3395</v>
      </c>
      <c r="F80" s="3223">
        <v>184.49</v>
      </c>
      <c r="G80" s="3224">
        <f t="shared" si="2"/>
        <v>81.93</v>
      </c>
      <c r="H80" s="3224">
        <f>H79</f>
        <v>0.44408023116547801</v>
      </c>
      <c r="I80" s="3227"/>
      <c r="J80" s="3316"/>
      <c r="K80" s="3317"/>
      <c r="L80" s="3208"/>
    </row>
    <row r="81" spans="1:12">
      <c r="A81" s="3222">
        <v>48</v>
      </c>
      <c r="B81" s="3223" t="s">
        <v>3613</v>
      </c>
      <c r="C81" s="3223" t="s">
        <v>5931</v>
      </c>
      <c r="D81" s="3223">
        <v>401</v>
      </c>
      <c r="E81" s="3223" t="s">
        <v>3395</v>
      </c>
      <c r="F81" s="3223">
        <v>184.49</v>
      </c>
      <c r="G81" s="3224">
        <f t="shared" si="2"/>
        <v>81.93</v>
      </c>
      <c r="H81" s="3224">
        <f>H80</f>
        <v>0.44408023116547801</v>
      </c>
      <c r="I81" s="3227"/>
      <c r="J81" s="3316"/>
      <c r="K81" s="3317"/>
      <c r="L81" s="3208"/>
    </row>
    <row r="82" spans="1:12">
      <c r="A82" s="3222">
        <v>39</v>
      </c>
      <c r="B82" s="3223" t="s">
        <v>3613</v>
      </c>
      <c r="C82" s="3223" t="s">
        <v>5933</v>
      </c>
      <c r="D82" s="3223">
        <v>101</v>
      </c>
      <c r="E82" s="3223" t="s">
        <v>3395</v>
      </c>
      <c r="F82" s="3223">
        <v>161.83000000000001</v>
      </c>
      <c r="G82" s="3224">
        <f t="shared" si="2"/>
        <v>71.87</v>
      </c>
      <c r="H82" s="3224">
        <f>H77</f>
        <v>0.44408023116547801</v>
      </c>
      <c r="I82" s="3227"/>
      <c r="J82" s="3316"/>
      <c r="K82" s="3317"/>
      <c r="L82" s="3208"/>
    </row>
    <row r="83" spans="1:12">
      <c r="A83" s="3222">
        <v>40</v>
      </c>
      <c r="B83" s="3223" t="s">
        <v>3613</v>
      </c>
      <c r="C83" s="3223" t="s">
        <v>5933</v>
      </c>
      <c r="D83" s="3223">
        <v>102</v>
      </c>
      <c r="E83" s="3223" t="s">
        <v>3395</v>
      </c>
      <c r="F83" s="3223">
        <v>184.95</v>
      </c>
      <c r="G83" s="3224">
        <f t="shared" si="2"/>
        <v>82.13</v>
      </c>
      <c r="H83" s="3224">
        <f>H82</f>
        <v>0.44408023116547801</v>
      </c>
      <c r="I83" s="3227"/>
      <c r="J83" s="3316"/>
      <c r="K83" s="3317"/>
      <c r="L83" s="3208"/>
    </row>
    <row r="84" spans="1:12">
      <c r="A84" s="3222">
        <v>41</v>
      </c>
      <c r="B84" s="3223" t="s">
        <v>3613</v>
      </c>
      <c r="C84" s="3223" t="s">
        <v>5933</v>
      </c>
      <c r="D84" s="3223">
        <v>201</v>
      </c>
      <c r="E84" s="3223" t="s">
        <v>3395</v>
      </c>
      <c r="F84" s="3223">
        <v>184.49</v>
      </c>
      <c r="G84" s="3224">
        <f t="shared" si="2"/>
        <v>81.93</v>
      </c>
      <c r="H84" s="3224">
        <f>H83</f>
        <v>0.44408023116547801</v>
      </c>
      <c r="I84" s="3227"/>
      <c r="J84" s="3316"/>
      <c r="K84" s="3317"/>
      <c r="L84" s="3208"/>
    </row>
    <row r="85" spans="1:12">
      <c r="A85" s="3222">
        <v>42</v>
      </c>
      <c r="B85" s="3223" t="s">
        <v>3613</v>
      </c>
      <c r="C85" s="3223" t="s">
        <v>5933</v>
      </c>
      <c r="D85" s="3223">
        <v>202</v>
      </c>
      <c r="E85" s="3223" t="s">
        <v>3395</v>
      </c>
      <c r="F85" s="3223">
        <v>184.99</v>
      </c>
      <c r="G85" s="3224">
        <f t="shared" si="2"/>
        <v>82.15</v>
      </c>
      <c r="H85" s="3224">
        <f>H84</f>
        <v>0.44408023116547801</v>
      </c>
      <c r="I85" s="3227"/>
      <c r="J85" s="3316"/>
      <c r="K85" s="3317"/>
      <c r="L85" s="3208"/>
    </row>
    <row r="86" spans="1:12">
      <c r="A86" s="3222">
        <v>43</v>
      </c>
      <c r="B86" s="3223" t="s">
        <v>3613</v>
      </c>
      <c r="C86" s="3223" t="s">
        <v>5933</v>
      </c>
      <c r="D86" s="3223">
        <v>301</v>
      </c>
      <c r="E86" s="3223" t="s">
        <v>3395</v>
      </c>
      <c r="F86" s="3223">
        <v>184.49</v>
      </c>
      <c r="G86" s="3224">
        <f t="shared" si="2"/>
        <v>81.93</v>
      </c>
      <c r="H86" s="3224">
        <f>H85</f>
        <v>0.44408023116547801</v>
      </c>
      <c r="I86" s="3227"/>
      <c r="J86" s="3316"/>
      <c r="K86" s="3317"/>
      <c r="L86" s="3208"/>
    </row>
    <row r="87" spans="1:12">
      <c r="A87" s="3222">
        <v>44</v>
      </c>
      <c r="B87" s="3223" t="s">
        <v>3613</v>
      </c>
      <c r="C87" s="3223" t="s">
        <v>5933</v>
      </c>
      <c r="D87" s="3223">
        <v>401</v>
      </c>
      <c r="E87" s="3223" t="s">
        <v>3395</v>
      </c>
      <c r="F87" s="3223">
        <v>184.49</v>
      </c>
      <c r="G87" s="3224">
        <f t="shared" si="2"/>
        <v>81.93</v>
      </c>
      <c r="H87" s="3224">
        <f>H86</f>
        <v>0.44408023116547801</v>
      </c>
      <c r="I87" s="3227"/>
      <c r="J87" s="3316"/>
      <c r="K87" s="3317"/>
      <c r="L87" s="3208"/>
    </row>
    <row r="88" spans="1:12">
      <c r="A88" s="3222">
        <v>49</v>
      </c>
      <c r="B88" s="3223" t="s">
        <v>5934</v>
      </c>
      <c r="C88" s="3223"/>
      <c r="D88" s="3223">
        <v>107</v>
      </c>
      <c r="E88" s="3223" t="s">
        <v>3851</v>
      </c>
      <c r="F88" s="3223">
        <v>56.79</v>
      </c>
      <c r="G88" s="3224">
        <f t="shared" si="2"/>
        <v>25.22</v>
      </c>
      <c r="H88" s="3224">
        <f>H81</f>
        <v>0.44408023116547801</v>
      </c>
      <c r="I88" s="3227"/>
      <c r="J88" s="3320"/>
      <c r="K88" s="3321"/>
      <c r="L88" s="3208"/>
    </row>
    <row r="89" spans="1:12">
      <c r="A89" s="3222">
        <v>50</v>
      </c>
      <c r="B89" s="3223" t="s">
        <v>5934</v>
      </c>
      <c r="C89" s="3223"/>
      <c r="D89" s="3223">
        <v>108</v>
      </c>
      <c r="E89" s="3223" t="s">
        <v>3851</v>
      </c>
      <c r="F89" s="3223">
        <v>41.5</v>
      </c>
      <c r="G89" s="3224">
        <f t="shared" si="2"/>
        <v>18.43</v>
      </c>
      <c r="H89" s="3224">
        <f t="shared" si="3"/>
        <v>0.44408023116547801</v>
      </c>
      <c r="I89" s="3227"/>
      <c r="J89" s="3320"/>
      <c r="K89" s="3321"/>
      <c r="L89" s="3208"/>
    </row>
    <row r="90" spans="1:12">
      <c r="A90" s="3222">
        <v>51</v>
      </c>
      <c r="B90" s="3223" t="s">
        <v>5934</v>
      </c>
      <c r="C90" s="3223"/>
      <c r="D90" s="3223">
        <v>109</v>
      </c>
      <c r="E90" s="3223" t="s">
        <v>3851</v>
      </c>
      <c r="F90" s="3223">
        <v>41.5</v>
      </c>
      <c r="G90" s="3224">
        <f t="shared" si="2"/>
        <v>18.43</v>
      </c>
      <c r="H90" s="3224">
        <f t="shared" si="3"/>
        <v>0.44408023116547801</v>
      </c>
      <c r="I90" s="3227"/>
      <c r="J90" s="3316"/>
      <c r="K90" s="3317"/>
      <c r="L90" s="3208"/>
    </row>
    <row r="91" spans="1:12">
      <c r="A91" s="3222">
        <v>52</v>
      </c>
      <c r="B91" s="3223" t="s">
        <v>5934</v>
      </c>
      <c r="C91" s="3223"/>
      <c r="D91" s="3223">
        <v>110</v>
      </c>
      <c r="E91" s="3223" t="s">
        <v>3851</v>
      </c>
      <c r="F91" s="3223">
        <v>56.79</v>
      </c>
      <c r="G91" s="3224">
        <f t="shared" si="2"/>
        <v>25.22</v>
      </c>
      <c r="H91" s="3224">
        <f t="shared" si="3"/>
        <v>0.44408023116547801</v>
      </c>
      <c r="I91" s="3227"/>
      <c r="J91" s="3316"/>
      <c r="K91" s="3317"/>
      <c r="L91" s="3208"/>
    </row>
    <row r="92" spans="1:12">
      <c r="A92" s="3222">
        <v>53</v>
      </c>
      <c r="B92" s="3223" t="s">
        <v>5934</v>
      </c>
      <c r="C92" s="3223"/>
      <c r="D92" s="3223">
        <v>111</v>
      </c>
      <c r="E92" s="3223" t="s">
        <v>3851</v>
      </c>
      <c r="F92" s="3223">
        <v>23.72</v>
      </c>
      <c r="G92" s="3224">
        <f t="shared" si="2"/>
        <v>10.53</v>
      </c>
      <c r="H92" s="3224">
        <f t="shared" si="3"/>
        <v>0.44408023116547801</v>
      </c>
      <c r="I92" s="3227"/>
      <c r="J92" s="3316"/>
      <c r="K92" s="3317"/>
      <c r="L92" s="3208"/>
    </row>
    <row r="93" spans="1:12">
      <c r="A93" s="3222">
        <v>54</v>
      </c>
      <c r="B93" s="3223" t="s">
        <v>5934</v>
      </c>
      <c r="C93" s="3223"/>
      <c r="D93" s="3223">
        <v>112</v>
      </c>
      <c r="E93" s="3223" t="s">
        <v>3851</v>
      </c>
      <c r="F93" s="3223">
        <v>23.68</v>
      </c>
      <c r="G93" s="3224">
        <f t="shared" si="2"/>
        <v>10.52</v>
      </c>
      <c r="H93" s="3224">
        <f t="shared" si="3"/>
        <v>0.44408023116547801</v>
      </c>
      <c r="I93" s="3227"/>
      <c r="J93" s="3316"/>
      <c r="K93" s="3317"/>
      <c r="L93" s="3208"/>
    </row>
    <row r="94" spans="1:12">
      <c r="A94" s="3222">
        <v>55</v>
      </c>
      <c r="B94" s="3223" t="s">
        <v>5934</v>
      </c>
      <c r="C94" s="3223"/>
      <c r="D94" s="3223">
        <v>113</v>
      </c>
      <c r="E94" s="3223" t="s">
        <v>3851</v>
      </c>
      <c r="F94" s="3223">
        <v>56.75</v>
      </c>
      <c r="G94" s="3224">
        <f t="shared" si="2"/>
        <v>25.2</v>
      </c>
      <c r="H94" s="3224">
        <f t="shared" si="3"/>
        <v>0.44408023116547801</v>
      </c>
      <c r="I94" s="3227"/>
      <c r="J94" s="3316"/>
      <c r="K94" s="3317"/>
      <c r="L94" s="3208"/>
    </row>
    <row r="95" spans="1:12">
      <c r="A95" s="3222">
        <v>56</v>
      </c>
      <c r="B95" s="3223" t="s">
        <v>5934</v>
      </c>
      <c r="C95" s="3223"/>
      <c r="D95" s="3223">
        <v>114</v>
      </c>
      <c r="E95" s="3223" t="s">
        <v>3851</v>
      </c>
      <c r="F95" s="3223">
        <v>41.19</v>
      </c>
      <c r="G95" s="3224">
        <f t="shared" si="2"/>
        <v>18.29</v>
      </c>
      <c r="H95" s="3224">
        <f t="shared" si="3"/>
        <v>0.44408023116547801</v>
      </c>
      <c r="I95" s="3227"/>
      <c r="J95" s="3316"/>
      <c r="K95" s="3317"/>
      <c r="L95" s="3208"/>
    </row>
    <row r="96" spans="1:12">
      <c r="A96" s="3222">
        <v>57</v>
      </c>
      <c r="B96" s="3223" t="s">
        <v>5934</v>
      </c>
      <c r="C96" s="3223"/>
      <c r="D96" s="3223">
        <v>115</v>
      </c>
      <c r="E96" s="3223" t="s">
        <v>3851</v>
      </c>
      <c r="F96" s="3223">
        <v>41.19</v>
      </c>
      <c r="G96" s="3224">
        <f t="shared" si="2"/>
        <v>18.29</v>
      </c>
      <c r="H96" s="3224">
        <f t="shared" si="3"/>
        <v>0.44408023116547801</v>
      </c>
      <c r="I96" s="3227"/>
      <c r="J96" s="3316"/>
      <c r="K96" s="3317"/>
      <c r="L96" s="3208"/>
    </row>
    <row r="97" spans="1:12">
      <c r="A97" s="3222">
        <v>58</v>
      </c>
      <c r="B97" s="3223" t="s">
        <v>5934</v>
      </c>
      <c r="C97" s="3223"/>
      <c r="D97" s="3223">
        <v>117</v>
      </c>
      <c r="E97" s="3223" t="s">
        <v>3851</v>
      </c>
      <c r="F97" s="3223">
        <v>23.72</v>
      </c>
      <c r="G97" s="3224">
        <f t="shared" si="2"/>
        <v>10.53</v>
      </c>
      <c r="H97" s="3224">
        <f t="shared" si="3"/>
        <v>0.44408023116547801</v>
      </c>
      <c r="I97" s="3227"/>
      <c r="J97" s="3316"/>
      <c r="K97" s="3317"/>
      <c r="L97" s="3208"/>
    </row>
    <row r="98" spans="1:12">
      <c r="A98" s="3222">
        <v>59</v>
      </c>
      <c r="B98" s="3223" t="s">
        <v>5934</v>
      </c>
      <c r="C98" s="3223"/>
      <c r="D98" s="3223">
        <v>118</v>
      </c>
      <c r="E98" s="3223" t="s">
        <v>3851</v>
      </c>
      <c r="F98" s="3223">
        <v>23.68</v>
      </c>
      <c r="G98" s="3224">
        <f t="shared" si="2"/>
        <v>10.52</v>
      </c>
      <c r="H98" s="3224">
        <f t="shared" si="3"/>
        <v>0.44408023116547801</v>
      </c>
      <c r="I98" s="3227"/>
      <c r="J98" s="3316"/>
      <c r="K98" s="3317"/>
      <c r="L98" s="3208"/>
    </row>
    <row r="99" spans="1:12">
      <c r="A99" s="3222">
        <v>60</v>
      </c>
      <c r="B99" s="3223" t="s">
        <v>5934</v>
      </c>
      <c r="C99" s="3223"/>
      <c r="D99" s="3223">
        <v>119</v>
      </c>
      <c r="E99" s="3223" t="s">
        <v>3851</v>
      </c>
      <c r="F99" s="3223">
        <v>49.71</v>
      </c>
      <c r="G99" s="3224">
        <f t="shared" si="2"/>
        <v>22.08</v>
      </c>
      <c r="H99" s="3224">
        <f t="shared" si="3"/>
        <v>0.44408023116547801</v>
      </c>
      <c r="I99" s="3227"/>
      <c r="J99" s="3316"/>
      <c r="K99" s="3317"/>
      <c r="L99" s="3208"/>
    </row>
    <row r="100" spans="1:12">
      <c r="A100" s="3222">
        <v>61</v>
      </c>
      <c r="B100" s="3223" t="s">
        <v>5934</v>
      </c>
      <c r="C100" s="3223"/>
      <c r="D100" s="3223">
        <v>120</v>
      </c>
      <c r="E100" s="3223" t="s">
        <v>3851</v>
      </c>
      <c r="F100" s="3223">
        <v>48.07</v>
      </c>
      <c r="G100" s="3224">
        <f t="shared" si="2"/>
        <v>21.35</v>
      </c>
      <c r="H100" s="3224">
        <f t="shared" si="3"/>
        <v>0.44408023116547801</v>
      </c>
      <c r="I100" s="3227"/>
      <c r="J100" s="3316"/>
      <c r="K100" s="3317"/>
      <c r="L100" s="3208"/>
    </row>
    <row r="101" spans="1:12">
      <c r="A101" s="3222">
        <v>62</v>
      </c>
      <c r="B101" s="3223" t="s">
        <v>5934</v>
      </c>
      <c r="C101" s="3223"/>
      <c r="D101" s="3223">
        <v>121</v>
      </c>
      <c r="E101" s="3223" t="s">
        <v>3851</v>
      </c>
      <c r="F101" s="3223">
        <v>22.85</v>
      </c>
      <c r="G101" s="3224">
        <f t="shared" si="2"/>
        <v>10.15</v>
      </c>
      <c r="H101" s="3224">
        <f t="shared" si="3"/>
        <v>0.44408023116547801</v>
      </c>
      <c r="I101" s="3227"/>
      <c r="J101" s="3316"/>
      <c r="K101" s="3317"/>
      <c r="L101" s="3208"/>
    </row>
    <row r="102" spans="1:12">
      <c r="A102" s="3222">
        <v>63</v>
      </c>
      <c r="B102" s="3223" t="s">
        <v>5934</v>
      </c>
      <c r="C102" s="3223"/>
      <c r="D102" s="3223">
        <v>122</v>
      </c>
      <c r="E102" s="3223" t="s">
        <v>3851</v>
      </c>
      <c r="F102" s="3223">
        <v>28.04</v>
      </c>
      <c r="G102" s="3224">
        <f t="shared" si="2"/>
        <v>12.45</v>
      </c>
      <c r="H102" s="3224">
        <f t="shared" si="3"/>
        <v>0.44408023116547801</v>
      </c>
      <c r="I102" s="3227"/>
      <c r="J102" s="3316"/>
      <c r="K102" s="3317"/>
      <c r="L102" s="3208"/>
    </row>
    <row r="103" spans="1:12">
      <c r="A103" s="3222">
        <v>64</v>
      </c>
      <c r="B103" s="3223" t="s">
        <v>5934</v>
      </c>
      <c r="C103" s="3223"/>
      <c r="D103" s="3223">
        <v>123</v>
      </c>
      <c r="E103" s="3223" t="s">
        <v>3851</v>
      </c>
      <c r="F103" s="3223">
        <v>27.68</v>
      </c>
      <c r="G103" s="3224">
        <f t="shared" si="2"/>
        <v>12.29</v>
      </c>
      <c r="H103" s="3224">
        <f t="shared" si="3"/>
        <v>0.44408023116547801</v>
      </c>
      <c r="I103" s="3227"/>
      <c r="J103" s="3316"/>
      <c r="K103" s="3317"/>
      <c r="L103" s="3208"/>
    </row>
    <row r="104" spans="1:12">
      <c r="A104" s="3222">
        <v>65</v>
      </c>
      <c r="B104" s="3223" t="s">
        <v>5934</v>
      </c>
      <c r="C104" s="3223"/>
      <c r="D104" s="3223">
        <v>124</v>
      </c>
      <c r="E104" s="3223" t="s">
        <v>3851</v>
      </c>
      <c r="F104" s="3223">
        <v>19.190000000000001</v>
      </c>
      <c r="G104" s="3224">
        <f t="shared" si="2"/>
        <v>8.52</v>
      </c>
      <c r="H104" s="3224">
        <f t="shared" si="3"/>
        <v>0.44408023116547801</v>
      </c>
      <c r="I104" s="3227"/>
      <c r="J104" s="3316"/>
      <c r="K104" s="3317"/>
      <c r="L104" s="3208"/>
    </row>
    <row r="105" spans="1:12">
      <c r="A105" s="3222">
        <v>66</v>
      </c>
      <c r="B105" s="3223" t="s">
        <v>5934</v>
      </c>
      <c r="C105" s="3223"/>
      <c r="D105" s="3223">
        <v>125</v>
      </c>
      <c r="E105" s="3223" t="s">
        <v>3851</v>
      </c>
      <c r="F105" s="3223">
        <v>19.190000000000001</v>
      </c>
      <c r="G105" s="3224">
        <f t="shared" ref="G105:G168" si="4">ROUND(F105*H105,2)</f>
        <v>8.52</v>
      </c>
      <c r="H105" s="3224">
        <f t="shared" si="3"/>
        <v>0.44408023116547801</v>
      </c>
      <c r="I105" s="3227"/>
      <c r="J105" s="3316"/>
      <c r="K105" s="3317"/>
      <c r="L105" s="3208"/>
    </row>
    <row r="106" spans="1:12">
      <c r="A106" s="3222">
        <v>67</v>
      </c>
      <c r="B106" s="3223" t="s">
        <v>5934</v>
      </c>
      <c r="C106" s="3223"/>
      <c r="D106" s="3223">
        <v>126</v>
      </c>
      <c r="E106" s="3223" t="s">
        <v>3851</v>
      </c>
      <c r="F106" s="3223">
        <v>27.85</v>
      </c>
      <c r="G106" s="3224">
        <f t="shared" si="4"/>
        <v>12.37</v>
      </c>
      <c r="H106" s="3224">
        <f t="shared" si="3"/>
        <v>0.44408023116547801</v>
      </c>
      <c r="I106" s="3227"/>
      <c r="J106" s="3316"/>
      <c r="K106" s="3317"/>
      <c r="L106" s="3208"/>
    </row>
    <row r="107" spans="1:12">
      <c r="A107" s="3222">
        <v>68</v>
      </c>
      <c r="B107" s="3223" t="s">
        <v>5934</v>
      </c>
      <c r="C107" s="3223"/>
      <c r="D107" s="3223">
        <v>127</v>
      </c>
      <c r="E107" s="3223" t="s">
        <v>3851</v>
      </c>
      <c r="F107" s="3223">
        <v>27.68</v>
      </c>
      <c r="G107" s="3224">
        <f t="shared" si="4"/>
        <v>12.29</v>
      </c>
      <c r="H107" s="3224">
        <f t="shared" ref="H107:H170" si="5">H106</f>
        <v>0.44408023116547801</v>
      </c>
      <c r="I107" s="3227"/>
      <c r="J107" s="3316"/>
      <c r="K107" s="3317"/>
      <c r="L107" s="3208"/>
    </row>
    <row r="108" spans="1:12">
      <c r="A108" s="3222">
        <v>69</v>
      </c>
      <c r="B108" s="3223" t="s">
        <v>5934</v>
      </c>
      <c r="C108" s="3223"/>
      <c r="D108" s="3223">
        <v>128</v>
      </c>
      <c r="E108" s="3223" t="s">
        <v>3851</v>
      </c>
      <c r="F108" s="3223">
        <v>19.829999999999998</v>
      </c>
      <c r="G108" s="3224">
        <f t="shared" si="4"/>
        <v>8.81</v>
      </c>
      <c r="H108" s="3224">
        <f t="shared" si="5"/>
        <v>0.44408023116547801</v>
      </c>
      <c r="I108" s="3227"/>
      <c r="J108" s="3316"/>
      <c r="K108" s="3317"/>
      <c r="L108" s="3208"/>
    </row>
    <row r="109" spans="1:12">
      <c r="A109" s="3222">
        <v>70</v>
      </c>
      <c r="B109" s="3223" t="s">
        <v>5934</v>
      </c>
      <c r="C109" s="3223"/>
      <c r="D109" s="3223">
        <v>129</v>
      </c>
      <c r="E109" s="3223" t="s">
        <v>3851</v>
      </c>
      <c r="F109" s="3223">
        <v>19.829999999999998</v>
      </c>
      <c r="G109" s="3224">
        <f t="shared" si="4"/>
        <v>8.81</v>
      </c>
      <c r="H109" s="3224">
        <f t="shared" si="5"/>
        <v>0.44408023116547801</v>
      </c>
      <c r="I109" s="3227"/>
      <c r="J109" s="3316"/>
      <c r="K109" s="3317"/>
      <c r="L109" s="3208"/>
    </row>
    <row r="110" spans="1:12">
      <c r="A110" s="3222">
        <v>71</v>
      </c>
      <c r="B110" s="3223" t="s">
        <v>5934</v>
      </c>
      <c r="C110" s="3223"/>
      <c r="D110" s="3223">
        <v>130</v>
      </c>
      <c r="E110" s="3223" t="s">
        <v>3851</v>
      </c>
      <c r="F110" s="3223">
        <v>27.68</v>
      </c>
      <c r="G110" s="3224">
        <f t="shared" si="4"/>
        <v>12.29</v>
      </c>
      <c r="H110" s="3224">
        <f t="shared" si="5"/>
        <v>0.44408023116547801</v>
      </c>
      <c r="I110" s="3227"/>
      <c r="J110" s="3316"/>
      <c r="K110" s="3317"/>
      <c r="L110" s="3208"/>
    </row>
    <row r="111" spans="1:12">
      <c r="A111" s="3222">
        <v>72</v>
      </c>
      <c r="B111" s="3223" t="s">
        <v>5934</v>
      </c>
      <c r="C111" s="3223"/>
      <c r="D111" s="3223">
        <v>202</v>
      </c>
      <c r="E111" s="3223" t="s">
        <v>3851</v>
      </c>
      <c r="F111" s="3223">
        <v>16.38</v>
      </c>
      <c r="G111" s="3224">
        <f t="shared" si="4"/>
        <v>7.27</v>
      </c>
      <c r="H111" s="3224">
        <f t="shared" si="5"/>
        <v>0.44408023116547801</v>
      </c>
      <c r="I111" s="3227"/>
      <c r="J111" s="3316"/>
      <c r="K111" s="3317"/>
      <c r="L111" s="3208"/>
    </row>
    <row r="112" spans="1:12">
      <c r="A112" s="3222">
        <v>73</v>
      </c>
      <c r="B112" s="3223" t="s">
        <v>5934</v>
      </c>
      <c r="C112" s="3223"/>
      <c r="D112" s="3223">
        <v>204</v>
      </c>
      <c r="E112" s="3223" t="s">
        <v>3851</v>
      </c>
      <c r="F112" s="3223">
        <v>16.38</v>
      </c>
      <c r="G112" s="3224">
        <f t="shared" si="4"/>
        <v>7.27</v>
      </c>
      <c r="H112" s="3224">
        <f t="shared" si="5"/>
        <v>0.44408023116547801</v>
      </c>
      <c r="I112" s="3227"/>
      <c r="J112" s="3316"/>
      <c r="K112" s="3317"/>
      <c r="L112" s="3208"/>
    </row>
    <row r="113" spans="1:12">
      <c r="A113" s="3222">
        <v>74</v>
      </c>
      <c r="B113" s="3223" t="s">
        <v>5934</v>
      </c>
      <c r="C113" s="3223"/>
      <c r="D113" s="3223">
        <v>205</v>
      </c>
      <c r="E113" s="3223" t="s">
        <v>3851</v>
      </c>
      <c r="F113" s="3223">
        <v>16.38</v>
      </c>
      <c r="G113" s="3224">
        <f t="shared" si="4"/>
        <v>7.27</v>
      </c>
      <c r="H113" s="3224">
        <f t="shared" si="5"/>
        <v>0.44408023116547801</v>
      </c>
      <c r="I113" s="3227"/>
      <c r="J113" s="3316"/>
      <c r="K113" s="3317"/>
      <c r="L113" s="3208"/>
    </row>
    <row r="114" spans="1:12">
      <c r="A114" s="3222">
        <v>75</v>
      </c>
      <c r="B114" s="3223" t="s">
        <v>5934</v>
      </c>
      <c r="C114" s="3223"/>
      <c r="D114" s="3223">
        <v>206</v>
      </c>
      <c r="E114" s="3223" t="s">
        <v>3851</v>
      </c>
      <c r="F114" s="3223">
        <v>17.059999999999999</v>
      </c>
      <c r="G114" s="3224">
        <f t="shared" si="4"/>
        <v>7.58</v>
      </c>
      <c r="H114" s="3224">
        <f t="shared" si="5"/>
        <v>0.44408023116547801</v>
      </c>
      <c r="I114" s="3227"/>
      <c r="J114" s="3316"/>
      <c r="K114" s="3317"/>
      <c r="L114" s="3208"/>
    </row>
    <row r="115" spans="1:12">
      <c r="A115" s="3222">
        <v>76</v>
      </c>
      <c r="B115" s="3223" t="s">
        <v>3771</v>
      </c>
      <c r="C115" s="3223" t="s">
        <v>5930</v>
      </c>
      <c r="D115" s="3223">
        <v>102</v>
      </c>
      <c r="E115" s="3223" t="s">
        <v>3395</v>
      </c>
      <c r="F115" s="3223">
        <v>168.11</v>
      </c>
      <c r="G115" s="3224">
        <f t="shared" si="4"/>
        <v>74.650000000000006</v>
      </c>
      <c r="H115" s="3224">
        <f t="shared" si="5"/>
        <v>0.44408023116547801</v>
      </c>
      <c r="I115" s="3227"/>
      <c r="J115" s="3316"/>
      <c r="K115" s="3317"/>
      <c r="L115" s="3208"/>
    </row>
    <row r="116" spans="1:12">
      <c r="A116" s="3222">
        <v>79</v>
      </c>
      <c r="B116" s="3223" t="s">
        <v>3771</v>
      </c>
      <c r="C116" s="3223" t="s">
        <v>5931</v>
      </c>
      <c r="D116" s="3223">
        <v>101</v>
      </c>
      <c r="E116" s="3223" t="s">
        <v>3395</v>
      </c>
      <c r="F116" s="3223">
        <v>168.11</v>
      </c>
      <c r="G116" s="3224">
        <f t="shared" si="4"/>
        <v>74.650000000000006</v>
      </c>
      <c r="H116" s="3224">
        <f>H118</f>
        <v>0.44408023116547801</v>
      </c>
      <c r="I116" s="3227"/>
      <c r="J116" s="3316"/>
      <c r="K116" s="3317"/>
      <c r="L116" s="3208"/>
    </row>
    <row r="117" spans="1:12">
      <c r="A117" s="3222">
        <v>77</v>
      </c>
      <c r="B117" s="3223" t="s">
        <v>3771</v>
      </c>
      <c r="C117" s="3223" t="s">
        <v>5933</v>
      </c>
      <c r="D117" s="3223">
        <v>101</v>
      </c>
      <c r="E117" s="3223" t="s">
        <v>3395</v>
      </c>
      <c r="F117" s="3223">
        <v>168.11</v>
      </c>
      <c r="G117" s="3224">
        <f t="shared" si="4"/>
        <v>74.650000000000006</v>
      </c>
      <c r="H117" s="3224">
        <f>H115</f>
        <v>0.44408023116547801</v>
      </c>
      <c r="I117" s="3227"/>
      <c r="J117" s="3316"/>
      <c r="K117" s="3317"/>
      <c r="L117" s="3208"/>
    </row>
    <row r="118" spans="1:12">
      <c r="A118" s="3222">
        <v>78</v>
      </c>
      <c r="B118" s="3223" t="s">
        <v>3771</v>
      </c>
      <c r="C118" s="3223" t="s">
        <v>5933</v>
      </c>
      <c r="D118" s="3223">
        <v>302</v>
      </c>
      <c r="E118" s="3223" t="s">
        <v>3395</v>
      </c>
      <c r="F118" s="3223">
        <v>185.02</v>
      </c>
      <c r="G118" s="3224">
        <f t="shared" si="4"/>
        <v>82.16</v>
      </c>
      <c r="H118" s="3224">
        <f>H117</f>
        <v>0.44408023116547801</v>
      </c>
      <c r="I118" s="3227"/>
      <c r="J118" s="3316"/>
      <c r="K118" s="3317"/>
      <c r="L118" s="3208"/>
    </row>
    <row r="119" spans="1:12">
      <c r="A119" s="3222">
        <v>80</v>
      </c>
      <c r="B119" s="3223" t="s">
        <v>5935</v>
      </c>
      <c r="C119" s="3223"/>
      <c r="D119" s="3223">
        <v>106</v>
      </c>
      <c r="E119" s="3223" t="s">
        <v>3851</v>
      </c>
      <c r="F119" s="3223">
        <v>23.66</v>
      </c>
      <c r="G119" s="3224">
        <f t="shared" si="4"/>
        <v>10.51</v>
      </c>
      <c r="H119" s="3224">
        <f>H116</f>
        <v>0.44408023116547801</v>
      </c>
      <c r="I119" s="3227"/>
      <c r="J119" s="3316"/>
      <c r="K119" s="3317"/>
      <c r="L119" s="3208"/>
    </row>
    <row r="120" spans="1:12">
      <c r="A120" s="3222">
        <v>81</v>
      </c>
      <c r="B120" s="3223" t="s">
        <v>5935</v>
      </c>
      <c r="C120" s="3223"/>
      <c r="D120" s="3223">
        <v>107</v>
      </c>
      <c r="E120" s="3223" t="s">
        <v>3851</v>
      </c>
      <c r="F120" s="3223">
        <v>56.69</v>
      </c>
      <c r="G120" s="3224">
        <f t="shared" si="4"/>
        <v>25.17</v>
      </c>
      <c r="H120" s="3224">
        <f t="shared" si="5"/>
        <v>0.44408023116547801</v>
      </c>
      <c r="I120" s="3227"/>
      <c r="J120" s="3316"/>
      <c r="K120" s="3317"/>
      <c r="L120" s="3208"/>
    </row>
    <row r="121" spans="1:12">
      <c r="A121" s="3222">
        <v>82</v>
      </c>
      <c r="B121" s="3223" t="s">
        <v>5935</v>
      </c>
      <c r="C121" s="3223"/>
      <c r="D121" s="3223">
        <v>108</v>
      </c>
      <c r="E121" s="3223" t="s">
        <v>3851</v>
      </c>
      <c r="F121" s="3223">
        <v>41.45</v>
      </c>
      <c r="G121" s="3224">
        <f t="shared" si="4"/>
        <v>18.41</v>
      </c>
      <c r="H121" s="3224">
        <f t="shared" si="5"/>
        <v>0.44408023116547801</v>
      </c>
      <c r="I121" s="3227"/>
      <c r="J121" s="3316"/>
      <c r="K121" s="3317"/>
      <c r="L121" s="3208"/>
    </row>
    <row r="122" spans="1:12">
      <c r="A122" s="3222">
        <v>83</v>
      </c>
      <c r="B122" s="3223" t="s">
        <v>5935</v>
      </c>
      <c r="C122" s="3223"/>
      <c r="D122" s="3223">
        <v>109</v>
      </c>
      <c r="E122" s="3223" t="s">
        <v>3851</v>
      </c>
      <c r="F122" s="3223">
        <v>41.45</v>
      </c>
      <c r="G122" s="3224">
        <f t="shared" si="4"/>
        <v>18.41</v>
      </c>
      <c r="H122" s="3224">
        <f t="shared" si="5"/>
        <v>0.44408023116547801</v>
      </c>
      <c r="I122" s="3227"/>
      <c r="J122" s="3316"/>
      <c r="K122" s="3317"/>
      <c r="L122" s="3208"/>
    </row>
    <row r="123" spans="1:12">
      <c r="A123" s="3222">
        <v>84</v>
      </c>
      <c r="B123" s="3223" t="s">
        <v>5935</v>
      </c>
      <c r="C123" s="3223"/>
      <c r="D123" s="3223">
        <v>110</v>
      </c>
      <c r="E123" s="3223" t="s">
        <v>3851</v>
      </c>
      <c r="F123" s="3223">
        <v>56.69</v>
      </c>
      <c r="G123" s="3224">
        <f t="shared" si="4"/>
        <v>25.17</v>
      </c>
      <c r="H123" s="3224">
        <f t="shared" si="5"/>
        <v>0.44408023116547801</v>
      </c>
      <c r="I123" s="3227"/>
      <c r="J123" s="3316"/>
      <c r="K123" s="3317"/>
      <c r="L123" s="3208"/>
    </row>
    <row r="124" spans="1:12">
      <c r="A124" s="3222">
        <v>85</v>
      </c>
      <c r="B124" s="3223" t="s">
        <v>5935</v>
      </c>
      <c r="C124" s="3223"/>
      <c r="D124" s="3223">
        <v>111</v>
      </c>
      <c r="E124" s="3223" t="s">
        <v>3851</v>
      </c>
      <c r="F124" s="3223">
        <v>23.66</v>
      </c>
      <c r="G124" s="3224">
        <f t="shared" si="4"/>
        <v>10.51</v>
      </c>
      <c r="H124" s="3224">
        <f t="shared" si="5"/>
        <v>0.44408023116547801</v>
      </c>
      <c r="I124" s="3227"/>
      <c r="J124" s="3316"/>
      <c r="K124" s="3317"/>
      <c r="L124" s="3208"/>
    </row>
    <row r="125" spans="1:12">
      <c r="A125" s="3222">
        <v>86</v>
      </c>
      <c r="B125" s="3223" t="s">
        <v>5935</v>
      </c>
      <c r="C125" s="3223"/>
      <c r="D125" s="3223">
        <v>115</v>
      </c>
      <c r="E125" s="3223" t="s">
        <v>3851</v>
      </c>
      <c r="F125" s="3223">
        <v>41.15</v>
      </c>
      <c r="G125" s="3224">
        <f t="shared" si="4"/>
        <v>18.27</v>
      </c>
      <c r="H125" s="3224">
        <f t="shared" si="5"/>
        <v>0.44408023116547801</v>
      </c>
      <c r="I125" s="3227"/>
      <c r="J125" s="3316"/>
      <c r="K125" s="3317"/>
      <c r="L125" s="3208"/>
    </row>
    <row r="126" spans="1:12">
      <c r="A126" s="3222">
        <v>87</v>
      </c>
      <c r="B126" s="3223" t="s">
        <v>5935</v>
      </c>
      <c r="C126" s="3223"/>
      <c r="D126" s="3223">
        <v>116</v>
      </c>
      <c r="E126" s="3223" t="s">
        <v>3851</v>
      </c>
      <c r="F126" s="3223">
        <v>56.69</v>
      </c>
      <c r="G126" s="3224">
        <f t="shared" si="4"/>
        <v>25.17</v>
      </c>
      <c r="H126" s="3224">
        <f t="shared" si="5"/>
        <v>0.44408023116547801</v>
      </c>
      <c r="I126" s="3227"/>
      <c r="J126" s="3316"/>
      <c r="K126" s="3317"/>
      <c r="L126" s="3208"/>
    </row>
    <row r="127" spans="1:12">
      <c r="A127" s="3222">
        <v>88</v>
      </c>
      <c r="B127" s="3223" t="s">
        <v>5935</v>
      </c>
      <c r="C127" s="3223"/>
      <c r="D127" s="3223">
        <v>117</v>
      </c>
      <c r="E127" s="3223" t="s">
        <v>3851</v>
      </c>
      <c r="F127" s="3223">
        <v>23.66</v>
      </c>
      <c r="G127" s="3224">
        <f t="shared" si="4"/>
        <v>10.51</v>
      </c>
      <c r="H127" s="3224">
        <f t="shared" si="5"/>
        <v>0.44408023116547801</v>
      </c>
      <c r="I127" s="3227"/>
      <c r="J127" s="3316"/>
      <c r="K127" s="3317"/>
      <c r="L127" s="3208"/>
    </row>
    <row r="128" spans="1:12">
      <c r="A128" s="3222">
        <v>89</v>
      </c>
      <c r="B128" s="3223" t="s">
        <v>5935</v>
      </c>
      <c r="C128" s="3223"/>
      <c r="D128" s="3223">
        <v>123</v>
      </c>
      <c r="E128" s="3223" t="s">
        <v>3851</v>
      </c>
      <c r="F128" s="3223">
        <v>27.65</v>
      </c>
      <c r="G128" s="3224">
        <f t="shared" si="4"/>
        <v>12.28</v>
      </c>
      <c r="H128" s="3224">
        <f t="shared" si="5"/>
        <v>0.44408023116547801</v>
      </c>
      <c r="I128" s="3227"/>
      <c r="J128" s="3316"/>
      <c r="K128" s="3317"/>
      <c r="L128" s="3208"/>
    </row>
    <row r="129" spans="1:12">
      <c r="A129" s="3222">
        <v>90</v>
      </c>
      <c r="B129" s="3223" t="s">
        <v>5935</v>
      </c>
      <c r="C129" s="3223"/>
      <c r="D129" s="3223">
        <v>124</v>
      </c>
      <c r="E129" s="3223" t="s">
        <v>3851</v>
      </c>
      <c r="F129" s="3223">
        <v>19.170000000000002</v>
      </c>
      <c r="G129" s="3224">
        <f t="shared" si="4"/>
        <v>8.51</v>
      </c>
      <c r="H129" s="3224">
        <f t="shared" si="5"/>
        <v>0.44408023116547801</v>
      </c>
      <c r="I129" s="3227"/>
      <c r="J129" s="3316"/>
      <c r="K129" s="3317"/>
      <c r="L129" s="3208"/>
    </row>
    <row r="130" spans="1:12">
      <c r="A130" s="3222">
        <v>91</v>
      </c>
      <c r="B130" s="3223" t="s">
        <v>5935</v>
      </c>
      <c r="C130" s="3223"/>
      <c r="D130" s="3223">
        <v>125</v>
      </c>
      <c r="E130" s="3223" t="s">
        <v>3851</v>
      </c>
      <c r="F130" s="3223">
        <v>19.170000000000002</v>
      </c>
      <c r="G130" s="3224">
        <f t="shared" si="4"/>
        <v>8.51</v>
      </c>
      <c r="H130" s="3224">
        <f t="shared" si="5"/>
        <v>0.44408023116547801</v>
      </c>
      <c r="I130" s="3227"/>
      <c r="J130" s="3316"/>
      <c r="K130" s="3317"/>
      <c r="L130" s="3208"/>
    </row>
    <row r="131" spans="1:12">
      <c r="A131" s="3222">
        <v>92</v>
      </c>
      <c r="B131" s="3223" t="s">
        <v>5935</v>
      </c>
      <c r="C131" s="3223"/>
      <c r="D131" s="3223">
        <v>126</v>
      </c>
      <c r="E131" s="3223" t="s">
        <v>3851</v>
      </c>
      <c r="F131" s="3223">
        <v>27.82</v>
      </c>
      <c r="G131" s="3224">
        <f t="shared" si="4"/>
        <v>12.35</v>
      </c>
      <c r="H131" s="3224">
        <f t="shared" si="5"/>
        <v>0.44408023116547801</v>
      </c>
      <c r="I131" s="3227"/>
      <c r="J131" s="3316"/>
      <c r="K131" s="3317"/>
      <c r="L131" s="3208"/>
    </row>
    <row r="132" spans="1:12">
      <c r="A132" s="3222">
        <v>93</v>
      </c>
      <c r="B132" s="3223" t="s">
        <v>5935</v>
      </c>
      <c r="C132" s="3223"/>
      <c r="D132" s="3223">
        <v>127</v>
      </c>
      <c r="E132" s="3223" t="s">
        <v>3851</v>
      </c>
      <c r="F132" s="3223">
        <v>27.65</v>
      </c>
      <c r="G132" s="3224">
        <f t="shared" si="4"/>
        <v>12.28</v>
      </c>
      <c r="H132" s="3224">
        <f t="shared" si="5"/>
        <v>0.44408023116547801</v>
      </c>
      <c r="I132" s="3227"/>
      <c r="J132" s="3316"/>
      <c r="K132" s="3317"/>
      <c r="L132" s="3208"/>
    </row>
    <row r="133" spans="1:12">
      <c r="A133" s="3222">
        <v>94</v>
      </c>
      <c r="B133" s="3223" t="s">
        <v>5935</v>
      </c>
      <c r="C133" s="3223"/>
      <c r="D133" s="3223">
        <v>128</v>
      </c>
      <c r="E133" s="3223" t="s">
        <v>3851</v>
      </c>
      <c r="F133" s="3223">
        <v>19.809999999999999</v>
      </c>
      <c r="G133" s="3224">
        <f t="shared" si="4"/>
        <v>8.8000000000000007</v>
      </c>
      <c r="H133" s="3224">
        <f t="shared" si="5"/>
        <v>0.44408023116547801</v>
      </c>
      <c r="I133" s="3227"/>
      <c r="J133" s="3316"/>
      <c r="K133" s="3317"/>
      <c r="L133" s="3208"/>
    </row>
    <row r="134" spans="1:12">
      <c r="A134" s="3222">
        <v>95</v>
      </c>
      <c r="B134" s="3223" t="s">
        <v>5935</v>
      </c>
      <c r="C134" s="3223"/>
      <c r="D134" s="3223">
        <v>130</v>
      </c>
      <c r="E134" s="3223" t="s">
        <v>3851</v>
      </c>
      <c r="F134" s="3223">
        <v>27.65</v>
      </c>
      <c r="G134" s="3224">
        <f t="shared" si="4"/>
        <v>12.28</v>
      </c>
      <c r="H134" s="3224">
        <f t="shared" si="5"/>
        <v>0.44408023116547801</v>
      </c>
      <c r="I134" s="3227"/>
      <c r="J134" s="3316"/>
      <c r="K134" s="3317"/>
      <c r="L134" s="3208"/>
    </row>
    <row r="135" spans="1:12">
      <c r="A135" s="3222">
        <v>96</v>
      </c>
      <c r="B135" s="3223" t="s">
        <v>5935</v>
      </c>
      <c r="C135" s="3223"/>
      <c r="D135" s="3223">
        <v>202</v>
      </c>
      <c r="E135" s="3223" t="s">
        <v>3851</v>
      </c>
      <c r="F135" s="3223">
        <v>16.36</v>
      </c>
      <c r="G135" s="3224">
        <f t="shared" si="4"/>
        <v>7.27</v>
      </c>
      <c r="H135" s="3224">
        <f t="shared" si="5"/>
        <v>0.44408023116547801</v>
      </c>
      <c r="I135" s="3227"/>
      <c r="J135" s="3320"/>
      <c r="K135" s="3321"/>
      <c r="L135" s="3208"/>
    </row>
    <row r="136" spans="1:12">
      <c r="A136" s="3222">
        <v>97</v>
      </c>
      <c r="B136" s="3223" t="s">
        <v>5935</v>
      </c>
      <c r="C136" s="3223"/>
      <c r="D136" s="3223">
        <v>203</v>
      </c>
      <c r="E136" s="3223" t="s">
        <v>3851</v>
      </c>
      <c r="F136" s="3223">
        <v>12.4</v>
      </c>
      <c r="G136" s="3224">
        <f t="shared" si="4"/>
        <v>5.51</v>
      </c>
      <c r="H136" s="3224">
        <f t="shared" si="5"/>
        <v>0.44408023116547801</v>
      </c>
      <c r="I136" s="3227"/>
      <c r="J136" s="3316"/>
      <c r="K136" s="3317"/>
      <c r="L136" s="3208"/>
    </row>
    <row r="137" spans="1:12">
      <c r="A137" s="3222">
        <v>98</v>
      </c>
      <c r="B137" s="3223" t="s">
        <v>5935</v>
      </c>
      <c r="C137" s="3223"/>
      <c r="D137" s="3223">
        <v>205</v>
      </c>
      <c r="E137" s="3223" t="s">
        <v>3851</v>
      </c>
      <c r="F137" s="3223">
        <v>16.36</v>
      </c>
      <c r="G137" s="3224">
        <f t="shared" si="4"/>
        <v>7.27</v>
      </c>
      <c r="H137" s="3224">
        <f t="shared" si="5"/>
        <v>0.44408023116547801</v>
      </c>
      <c r="I137" s="3227"/>
      <c r="J137" s="3316"/>
      <c r="K137" s="3317"/>
      <c r="L137" s="3208"/>
    </row>
    <row r="138" spans="1:12">
      <c r="A138" s="3222">
        <v>99</v>
      </c>
      <c r="B138" s="3223" t="s">
        <v>3784</v>
      </c>
      <c r="C138" s="3223" t="s">
        <v>5930</v>
      </c>
      <c r="D138" s="3223">
        <v>101</v>
      </c>
      <c r="E138" s="3223" t="s">
        <v>3395</v>
      </c>
      <c r="F138" s="3223">
        <v>192.38</v>
      </c>
      <c r="G138" s="3224">
        <f t="shared" si="4"/>
        <v>85.43</v>
      </c>
      <c r="H138" s="3224">
        <f t="shared" si="5"/>
        <v>0.44408023116547801</v>
      </c>
      <c r="I138" s="3227"/>
      <c r="J138" s="3316"/>
      <c r="K138" s="3317"/>
      <c r="L138" s="3208"/>
    </row>
    <row r="139" spans="1:12">
      <c r="A139" s="3222">
        <v>100</v>
      </c>
      <c r="B139" s="3223" t="s">
        <v>3784</v>
      </c>
      <c r="C139" s="3223" t="s">
        <v>5930</v>
      </c>
      <c r="D139" s="3223">
        <v>102</v>
      </c>
      <c r="E139" s="3223" t="s">
        <v>3395</v>
      </c>
      <c r="F139" s="3223">
        <v>167.95</v>
      </c>
      <c r="G139" s="3224">
        <f t="shared" si="4"/>
        <v>74.58</v>
      </c>
      <c r="H139" s="3224">
        <f t="shared" si="5"/>
        <v>0.44408023116547801</v>
      </c>
      <c r="I139" s="3227"/>
      <c r="J139" s="3320"/>
      <c r="K139" s="3321"/>
      <c r="L139" s="3208"/>
    </row>
    <row r="140" spans="1:12">
      <c r="A140" s="3222">
        <v>101</v>
      </c>
      <c r="B140" s="3223" t="s">
        <v>3784</v>
      </c>
      <c r="C140" s="3223" t="s">
        <v>5930</v>
      </c>
      <c r="D140" s="3223">
        <v>201</v>
      </c>
      <c r="E140" s="3223" t="s">
        <v>3395</v>
      </c>
      <c r="F140" s="3223">
        <v>192.4</v>
      </c>
      <c r="G140" s="3224">
        <f t="shared" si="4"/>
        <v>85.44</v>
      </c>
      <c r="H140" s="3224">
        <f t="shared" si="5"/>
        <v>0.44408023116547801</v>
      </c>
      <c r="I140" s="3227"/>
      <c r="J140" s="3320"/>
      <c r="K140" s="3321"/>
      <c r="L140" s="3208"/>
    </row>
    <row r="141" spans="1:12">
      <c r="A141" s="3222">
        <v>102</v>
      </c>
      <c r="B141" s="3223" t="s">
        <v>3784</v>
      </c>
      <c r="C141" s="3223" t="s">
        <v>5930</v>
      </c>
      <c r="D141" s="3223">
        <v>301</v>
      </c>
      <c r="E141" s="3223" t="s">
        <v>3395</v>
      </c>
      <c r="F141" s="3223">
        <v>192.4</v>
      </c>
      <c r="G141" s="3224">
        <f t="shared" si="4"/>
        <v>85.44</v>
      </c>
      <c r="H141" s="3224">
        <f t="shared" si="5"/>
        <v>0.44408023116547801</v>
      </c>
      <c r="I141" s="3227"/>
      <c r="J141" s="3316"/>
      <c r="K141" s="3317"/>
      <c r="L141" s="3208"/>
    </row>
    <row r="142" spans="1:12">
      <c r="A142" s="3222">
        <v>103</v>
      </c>
      <c r="B142" s="3223" t="s">
        <v>3784</v>
      </c>
      <c r="C142" s="3223" t="s">
        <v>5930</v>
      </c>
      <c r="D142" s="3223">
        <v>302</v>
      </c>
      <c r="E142" s="3223" t="s">
        <v>3395</v>
      </c>
      <c r="F142" s="3223">
        <v>184.35</v>
      </c>
      <c r="G142" s="3224">
        <f t="shared" si="4"/>
        <v>81.87</v>
      </c>
      <c r="H142" s="3224">
        <f t="shared" si="5"/>
        <v>0.44408023116547801</v>
      </c>
      <c r="I142" s="3227"/>
      <c r="J142" s="3320"/>
      <c r="K142" s="3321"/>
      <c r="L142" s="3208"/>
    </row>
    <row r="143" spans="1:12">
      <c r="A143" s="3222">
        <v>104</v>
      </c>
      <c r="B143" s="3223" t="s">
        <v>3784</v>
      </c>
      <c r="C143" s="3223" t="s">
        <v>5930</v>
      </c>
      <c r="D143" s="3223">
        <v>401</v>
      </c>
      <c r="E143" s="3223" t="s">
        <v>3395</v>
      </c>
      <c r="F143" s="3223">
        <v>192.4</v>
      </c>
      <c r="G143" s="3224">
        <f t="shared" si="4"/>
        <v>85.44</v>
      </c>
      <c r="H143" s="3224">
        <f t="shared" si="5"/>
        <v>0.44408023116547801</v>
      </c>
      <c r="I143" s="3227"/>
      <c r="J143" s="3316"/>
      <c r="K143" s="3317"/>
      <c r="L143" s="3208"/>
    </row>
    <row r="144" spans="1:12">
      <c r="A144" s="3222">
        <v>105</v>
      </c>
      <c r="B144" s="3223" t="s">
        <v>3784</v>
      </c>
      <c r="C144" s="3223" t="s">
        <v>5931</v>
      </c>
      <c r="D144" s="3223">
        <v>101</v>
      </c>
      <c r="E144" s="3223" t="s">
        <v>3395</v>
      </c>
      <c r="F144" s="3223">
        <v>167.95</v>
      </c>
      <c r="G144" s="3224">
        <f t="shared" si="4"/>
        <v>74.58</v>
      </c>
      <c r="H144" s="3224">
        <f t="shared" si="5"/>
        <v>0.44408023116547801</v>
      </c>
      <c r="I144" s="3227"/>
      <c r="J144" s="3316"/>
      <c r="K144" s="3317"/>
      <c r="L144" s="3208"/>
    </row>
    <row r="145" spans="1:12">
      <c r="A145" s="3222">
        <v>106</v>
      </c>
      <c r="B145" s="3223" t="s">
        <v>5936</v>
      </c>
      <c r="C145" s="3223"/>
      <c r="D145" s="3223">
        <v>101</v>
      </c>
      <c r="E145" s="3223" t="s">
        <v>3851</v>
      </c>
      <c r="F145" s="3223">
        <v>31.03</v>
      </c>
      <c r="G145" s="3224">
        <f t="shared" si="4"/>
        <v>13.78</v>
      </c>
      <c r="H145" s="3224">
        <f t="shared" si="5"/>
        <v>0.44408023116547801</v>
      </c>
      <c r="I145" s="3227"/>
      <c r="J145" s="3316"/>
      <c r="K145" s="3317"/>
      <c r="L145" s="3208"/>
    </row>
    <row r="146" spans="1:12">
      <c r="A146" s="3222">
        <v>107</v>
      </c>
      <c r="B146" s="3223" t="s">
        <v>5936</v>
      </c>
      <c r="C146" s="3223"/>
      <c r="D146" s="3223">
        <v>102</v>
      </c>
      <c r="E146" s="3223" t="s">
        <v>3851</v>
      </c>
      <c r="F146" s="3223">
        <v>16.079999999999998</v>
      </c>
      <c r="G146" s="3224">
        <f t="shared" si="4"/>
        <v>7.14</v>
      </c>
      <c r="H146" s="3224">
        <f t="shared" si="5"/>
        <v>0.44408023116547801</v>
      </c>
      <c r="I146" s="3227"/>
      <c r="J146" s="3316"/>
      <c r="K146" s="3317"/>
      <c r="L146" s="3208"/>
    </row>
    <row r="147" spans="1:12">
      <c r="A147" s="3222">
        <v>108</v>
      </c>
      <c r="B147" s="3223" t="s">
        <v>5936</v>
      </c>
      <c r="C147" s="3223"/>
      <c r="D147" s="3223">
        <v>103</v>
      </c>
      <c r="E147" s="3223" t="s">
        <v>3851</v>
      </c>
      <c r="F147" s="3223">
        <v>46.54</v>
      </c>
      <c r="G147" s="3224">
        <f t="shared" si="4"/>
        <v>20.67</v>
      </c>
      <c r="H147" s="3224">
        <f t="shared" si="5"/>
        <v>0.44408023116547801</v>
      </c>
      <c r="I147" s="3227"/>
      <c r="J147" s="3316"/>
      <c r="K147" s="3317"/>
      <c r="L147" s="3208"/>
    </row>
    <row r="148" spans="1:12">
      <c r="A148" s="3222">
        <v>109</v>
      </c>
      <c r="B148" s="3223" t="s">
        <v>5936</v>
      </c>
      <c r="C148" s="3223"/>
      <c r="D148" s="3223">
        <v>104</v>
      </c>
      <c r="E148" s="3223" t="s">
        <v>3851</v>
      </c>
      <c r="F148" s="3223">
        <v>53.76</v>
      </c>
      <c r="G148" s="3224">
        <f t="shared" si="4"/>
        <v>23.87</v>
      </c>
      <c r="H148" s="3224">
        <f t="shared" si="5"/>
        <v>0.44408023116547801</v>
      </c>
      <c r="I148" s="3227"/>
      <c r="J148" s="3316"/>
      <c r="K148" s="3317"/>
      <c r="L148" s="3208"/>
    </row>
    <row r="149" spans="1:12">
      <c r="A149" s="3222">
        <v>110</v>
      </c>
      <c r="B149" s="3223" t="s">
        <v>5936</v>
      </c>
      <c r="C149" s="3223"/>
      <c r="D149" s="3223">
        <v>105</v>
      </c>
      <c r="E149" s="3223" t="s">
        <v>3851</v>
      </c>
      <c r="F149" s="3223">
        <v>23.66</v>
      </c>
      <c r="G149" s="3224">
        <f t="shared" si="4"/>
        <v>10.51</v>
      </c>
      <c r="H149" s="3224">
        <f t="shared" si="5"/>
        <v>0.44408023116547801</v>
      </c>
      <c r="I149" s="3227"/>
      <c r="J149" s="3316"/>
      <c r="K149" s="3317"/>
      <c r="L149" s="3208"/>
    </row>
    <row r="150" spans="1:12">
      <c r="A150" s="3222">
        <v>111</v>
      </c>
      <c r="B150" s="3223" t="s">
        <v>5936</v>
      </c>
      <c r="C150" s="3223"/>
      <c r="D150" s="3223">
        <v>106</v>
      </c>
      <c r="E150" s="3223" t="s">
        <v>3851</v>
      </c>
      <c r="F150" s="3223">
        <v>23.66</v>
      </c>
      <c r="G150" s="3224">
        <f t="shared" si="4"/>
        <v>10.51</v>
      </c>
      <c r="H150" s="3224">
        <f t="shared" si="5"/>
        <v>0.44408023116547801</v>
      </c>
      <c r="I150" s="3227"/>
      <c r="J150" s="3316"/>
      <c r="K150" s="3317"/>
      <c r="L150" s="3208"/>
    </row>
    <row r="151" spans="1:12">
      <c r="A151" s="3222">
        <v>112</v>
      </c>
      <c r="B151" s="3223" t="s">
        <v>5936</v>
      </c>
      <c r="C151" s="3223"/>
      <c r="D151" s="3223">
        <v>107</v>
      </c>
      <c r="E151" s="3223" t="s">
        <v>3851</v>
      </c>
      <c r="F151" s="3223">
        <v>56.69</v>
      </c>
      <c r="G151" s="3224">
        <f t="shared" si="4"/>
        <v>25.17</v>
      </c>
      <c r="H151" s="3224">
        <f t="shared" si="5"/>
        <v>0.44408023116547801</v>
      </c>
      <c r="I151" s="3227"/>
      <c r="J151" s="3316"/>
      <c r="K151" s="3317"/>
      <c r="L151" s="3208"/>
    </row>
    <row r="152" spans="1:12">
      <c r="A152" s="3222">
        <v>113</v>
      </c>
      <c r="B152" s="3223" t="s">
        <v>5936</v>
      </c>
      <c r="C152" s="3223"/>
      <c r="D152" s="3223">
        <v>108</v>
      </c>
      <c r="E152" s="3223" t="s">
        <v>3851</v>
      </c>
      <c r="F152" s="3223">
        <v>41.15</v>
      </c>
      <c r="G152" s="3224">
        <f t="shared" si="4"/>
        <v>18.27</v>
      </c>
      <c r="H152" s="3224">
        <f t="shared" si="5"/>
        <v>0.44408023116547801</v>
      </c>
      <c r="I152" s="3227"/>
      <c r="J152" s="3316"/>
      <c r="K152" s="3317"/>
      <c r="L152" s="3208"/>
    </row>
    <row r="153" spans="1:12">
      <c r="A153" s="3222">
        <v>114</v>
      </c>
      <c r="B153" s="3223" t="s">
        <v>5936</v>
      </c>
      <c r="C153" s="3223"/>
      <c r="D153" s="3223">
        <v>109</v>
      </c>
      <c r="E153" s="3223" t="s">
        <v>3851</v>
      </c>
      <c r="F153" s="3223">
        <v>41.15</v>
      </c>
      <c r="G153" s="3224">
        <f t="shared" si="4"/>
        <v>18.27</v>
      </c>
      <c r="H153" s="3224">
        <f t="shared" si="5"/>
        <v>0.44408023116547801</v>
      </c>
      <c r="I153" s="3227"/>
      <c r="J153" s="3316"/>
      <c r="K153" s="3317"/>
      <c r="L153" s="3208"/>
    </row>
    <row r="154" spans="1:12">
      <c r="A154" s="3222">
        <v>115</v>
      </c>
      <c r="B154" s="3223" t="s">
        <v>5936</v>
      </c>
      <c r="C154" s="3223"/>
      <c r="D154" s="3223">
        <v>110</v>
      </c>
      <c r="E154" s="3223" t="s">
        <v>3851</v>
      </c>
      <c r="F154" s="3223">
        <v>56.69</v>
      </c>
      <c r="G154" s="3224">
        <f t="shared" si="4"/>
        <v>25.17</v>
      </c>
      <c r="H154" s="3224">
        <f t="shared" si="5"/>
        <v>0.44408023116547801</v>
      </c>
      <c r="I154" s="3227"/>
      <c r="J154" s="3316"/>
      <c r="K154" s="3317"/>
      <c r="L154" s="3208"/>
    </row>
    <row r="155" spans="1:12">
      <c r="A155" s="3222">
        <v>116</v>
      </c>
      <c r="B155" s="3223" t="s">
        <v>5936</v>
      </c>
      <c r="C155" s="3223"/>
      <c r="D155" s="3223">
        <v>111</v>
      </c>
      <c r="E155" s="3223" t="s">
        <v>3851</v>
      </c>
      <c r="F155" s="3223">
        <v>23.66</v>
      </c>
      <c r="G155" s="3224">
        <f t="shared" si="4"/>
        <v>10.51</v>
      </c>
      <c r="H155" s="3224">
        <f t="shared" si="5"/>
        <v>0.44408023116547801</v>
      </c>
      <c r="I155" s="3227"/>
      <c r="J155" s="3316"/>
      <c r="K155" s="3317"/>
      <c r="L155" s="3208"/>
    </row>
    <row r="156" spans="1:12">
      <c r="A156" s="3222">
        <v>117</v>
      </c>
      <c r="B156" s="3223" t="s">
        <v>5936</v>
      </c>
      <c r="C156" s="3223"/>
      <c r="D156" s="3223">
        <v>117</v>
      </c>
      <c r="E156" s="3223" t="s">
        <v>3851</v>
      </c>
      <c r="F156" s="3223">
        <v>27.65</v>
      </c>
      <c r="G156" s="3224">
        <f t="shared" si="4"/>
        <v>12.28</v>
      </c>
      <c r="H156" s="3224">
        <f t="shared" si="5"/>
        <v>0.44408023116547801</v>
      </c>
      <c r="I156" s="3227"/>
      <c r="J156" s="3316"/>
      <c r="K156" s="3317"/>
      <c r="L156" s="3208"/>
    </row>
    <row r="157" spans="1:12">
      <c r="A157" s="3222">
        <v>118</v>
      </c>
      <c r="B157" s="3223" t="s">
        <v>5936</v>
      </c>
      <c r="C157" s="3223"/>
      <c r="D157" s="3223">
        <v>118</v>
      </c>
      <c r="E157" s="3223" t="s">
        <v>3851</v>
      </c>
      <c r="F157" s="3223">
        <v>19.170000000000002</v>
      </c>
      <c r="G157" s="3224">
        <f t="shared" si="4"/>
        <v>8.51</v>
      </c>
      <c r="H157" s="3224">
        <f t="shared" si="5"/>
        <v>0.44408023116547801</v>
      </c>
      <c r="I157" s="3227"/>
      <c r="J157" s="3316"/>
      <c r="K157" s="3317"/>
      <c r="L157" s="3208"/>
    </row>
    <row r="158" spans="1:12">
      <c r="A158" s="3222">
        <v>119</v>
      </c>
      <c r="B158" s="3223" t="s">
        <v>5936</v>
      </c>
      <c r="C158" s="3223"/>
      <c r="D158" s="3223">
        <v>119</v>
      </c>
      <c r="E158" s="3223" t="s">
        <v>3851</v>
      </c>
      <c r="F158" s="3223">
        <v>19.170000000000002</v>
      </c>
      <c r="G158" s="3224">
        <f t="shared" si="4"/>
        <v>8.51</v>
      </c>
      <c r="H158" s="3224">
        <f t="shared" si="5"/>
        <v>0.44408023116547801</v>
      </c>
      <c r="I158" s="3227"/>
      <c r="J158" s="3316"/>
      <c r="K158" s="3317"/>
      <c r="L158" s="3208"/>
    </row>
    <row r="159" spans="1:12">
      <c r="A159" s="3222">
        <v>120</v>
      </c>
      <c r="B159" s="3223" t="s">
        <v>5936</v>
      </c>
      <c r="C159" s="3223"/>
      <c r="D159" s="3223">
        <v>120</v>
      </c>
      <c r="E159" s="3223" t="s">
        <v>3851</v>
      </c>
      <c r="F159" s="3223">
        <v>27.65</v>
      </c>
      <c r="G159" s="3224">
        <f t="shared" si="4"/>
        <v>12.28</v>
      </c>
      <c r="H159" s="3224">
        <f t="shared" si="5"/>
        <v>0.44408023116547801</v>
      </c>
      <c r="I159" s="3227"/>
      <c r="J159" s="3316"/>
      <c r="K159" s="3317"/>
      <c r="L159" s="3208"/>
    </row>
    <row r="160" spans="1:12">
      <c r="A160" s="3222">
        <v>121</v>
      </c>
      <c r="B160" s="3223" t="s">
        <v>5936</v>
      </c>
      <c r="C160" s="3223"/>
      <c r="D160" s="3223">
        <v>201</v>
      </c>
      <c r="E160" s="3223" t="s">
        <v>3851</v>
      </c>
      <c r="F160" s="3223">
        <v>18.350000000000001</v>
      </c>
      <c r="G160" s="3224">
        <f t="shared" si="4"/>
        <v>8.15</v>
      </c>
      <c r="H160" s="3224">
        <f t="shared" si="5"/>
        <v>0.44408023116547801</v>
      </c>
      <c r="I160" s="3227"/>
      <c r="J160" s="3316"/>
      <c r="K160" s="3317"/>
      <c r="L160" s="3208"/>
    </row>
    <row r="161" spans="1:12">
      <c r="A161" s="3222">
        <v>122</v>
      </c>
      <c r="B161" s="3223" t="s">
        <v>5936</v>
      </c>
      <c r="C161" s="3223"/>
      <c r="D161" s="3223">
        <v>202</v>
      </c>
      <c r="E161" s="3223" t="s">
        <v>3851</v>
      </c>
      <c r="F161" s="3223">
        <v>16.36</v>
      </c>
      <c r="G161" s="3224">
        <f t="shared" si="4"/>
        <v>7.27</v>
      </c>
      <c r="H161" s="3224">
        <f t="shared" si="5"/>
        <v>0.44408023116547801</v>
      </c>
      <c r="I161" s="3227"/>
      <c r="J161" s="3316"/>
      <c r="K161" s="3317"/>
      <c r="L161" s="3208"/>
    </row>
    <row r="162" spans="1:12">
      <c r="A162" s="3222">
        <v>123</v>
      </c>
      <c r="B162" s="3223" t="s">
        <v>5936</v>
      </c>
      <c r="C162" s="3223"/>
      <c r="D162" s="3223">
        <v>203</v>
      </c>
      <c r="E162" s="3223" t="s">
        <v>3851</v>
      </c>
      <c r="F162" s="3223">
        <v>12.41</v>
      </c>
      <c r="G162" s="3224">
        <f t="shared" si="4"/>
        <v>5.51</v>
      </c>
      <c r="H162" s="3224">
        <f t="shared" si="5"/>
        <v>0.44408023116547801</v>
      </c>
      <c r="I162" s="3227"/>
      <c r="J162" s="3316"/>
      <c r="K162" s="3317"/>
      <c r="L162" s="3208"/>
    </row>
    <row r="163" spans="1:12">
      <c r="A163" s="3222">
        <v>124</v>
      </c>
      <c r="B163" s="3223" t="s">
        <v>3799</v>
      </c>
      <c r="C163" s="3223"/>
      <c r="D163" s="3223">
        <v>302</v>
      </c>
      <c r="E163" s="3223" t="s">
        <v>3395</v>
      </c>
      <c r="F163" s="3223">
        <v>184.96</v>
      </c>
      <c r="G163" s="3224">
        <f t="shared" si="4"/>
        <v>82.14</v>
      </c>
      <c r="H163" s="3224">
        <f t="shared" si="5"/>
        <v>0.44408023116547801</v>
      </c>
      <c r="I163" s="3227"/>
      <c r="J163" s="3316"/>
      <c r="K163" s="3317"/>
      <c r="L163" s="3208"/>
    </row>
    <row r="164" spans="1:12">
      <c r="A164" s="3222">
        <v>125</v>
      </c>
      <c r="B164" s="3223" t="s">
        <v>3799</v>
      </c>
      <c r="C164" s="3223"/>
      <c r="D164" s="3223">
        <v>101</v>
      </c>
      <c r="E164" s="3223" t="s">
        <v>3395</v>
      </c>
      <c r="F164" s="3223">
        <v>184.92</v>
      </c>
      <c r="G164" s="3224">
        <f t="shared" si="4"/>
        <v>82.12</v>
      </c>
      <c r="H164" s="3224">
        <f t="shared" si="5"/>
        <v>0.44408023116547801</v>
      </c>
      <c r="I164" s="3227"/>
      <c r="J164" s="3316"/>
      <c r="K164" s="3317"/>
      <c r="L164" s="3208"/>
    </row>
    <row r="165" spans="1:12">
      <c r="A165" s="3222">
        <v>126</v>
      </c>
      <c r="B165" s="3223" t="s">
        <v>3799</v>
      </c>
      <c r="C165" s="3223"/>
      <c r="D165" s="3223">
        <v>102</v>
      </c>
      <c r="E165" s="3223" t="s">
        <v>3395</v>
      </c>
      <c r="F165" s="3223">
        <v>168.05</v>
      </c>
      <c r="G165" s="3224">
        <f t="shared" si="4"/>
        <v>74.63</v>
      </c>
      <c r="H165" s="3224">
        <f t="shared" si="5"/>
        <v>0.44408023116547801</v>
      </c>
      <c r="I165" s="3227"/>
      <c r="J165" s="3316"/>
      <c r="K165" s="3317"/>
      <c r="L165" s="3208"/>
    </row>
    <row r="166" spans="1:12">
      <c r="A166" s="3222">
        <v>127</v>
      </c>
      <c r="B166" s="3223" t="s">
        <v>3799</v>
      </c>
      <c r="C166" s="3223"/>
      <c r="D166" s="3223">
        <v>201</v>
      </c>
      <c r="E166" s="3223" t="s">
        <v>3395</v>
      </c>
      <c r="F166" s="3223">
        <v>184.96</v>
      </c>
      <c r="G166" s="3224">
        <f t="shared" si="4"/>
        <v>82.14</v>
      </c>
      <c r="H166" s="3224">
        <f t="shared" si="5"/>
        <v>0.44408023116547801</v>
      </c>
      <c r="I166" s="3227"/>
      <c r="J166" s="3316"/>
      <c r="K166" s="3317"/>
      <c r="L166" s="3208"/>
    </row>
    <row r="167" spans="1:12">
      <c r="A167" s="3222">
        <v>128</v>
      </c>
      <c r="B167" s="3223" t="s">
        <v>3799</v>
      </c>
      <c r="C167" s="3223"/>
      <c r="D167" s="3223">
        <v>401</v>
      </c>
      <c r="E167" s="3223" t="s">
        <v>3395</v>
      </c>
      <c r="F167" s="3223">
        <v>184.96</v>
      </c>
      <c r="G167" s="3224">
        <f t="shared" si="4"/>
        <v>82.14</v>
      </c>
      <c r="H167" s="3224">
        <f t="shared" si="5"/>
        <v>0.44408023116547801</v>
      </c>
      <c r="I167" s="3227"/>
      <c r="J167" s="3316"/>
      <c r="K167" s="3317"/>
      <c r="L167" s="3208"/>
    </row>
    <row r="168" spans="1:12">
      <c r="A168" s="3222">
        <v>129</v>
      </c>
      <c r="B168" s="3223" t="s">
        <v>5937</v>
      </c>
      <c r="C168" s="3223"/>
      <c r="D168" s="3223">
        <v>101</v>
      </c>
      <c r="E168" s="3223" t="s">
        <v>3851</v>
      </c>
      <c r="F168" s="3223">
        <v>27.29</v>
      </c>
      <c r="G168" s="3224">
        <f t="shared" si="4"/>
        <v>12.12</v>
      </c>
      <c r="H168" s="3224">
        <f t="shared" si="5"/>
        <v>0.44408023116547801</v>
      </c>
      <c r="I168" s="3227"/>
      <c r="J168" s="3316"/>
      <c r="K168" s="3317"/>
      <c r="L168" s="3208"/>
    </row>
    <row r="169" spans="1:12">
      <c r="A169" s="3222">
        <v>130</v>
      </c>
      <c r="B169" s="3223" t="s">
        <v>5937</v>
      </c>
      <c r="C169" s="3223"/>
      <c r="D169" s="3223">
        <v>102</v>
      </c>
      <c r="E169" s="3223" t="s">
        <v>3851</v>
      </c>
      <c r="F169" s="3223">
        <v>22.38</v>
      </c>
      <c r="G169" s="3224">
        <f t="shared" ref="G169:G232" si="6">ROUND(F169*H169,2)</f>
        <v>9.94</v>
      </c>
      <c r="H169" s="3224">
        <f t="shared" si="5"/>
        <v>0.44408023116547801</v>
      </c>
      <c r="I169" s="3227"/>
      <c r="J169" s="3316"/>
      <c r="K169" s="3317"/>
      <c r="L169" s="3208"/>
    </row>
    <row r="170" spans="1:12">
      <c r="A170" s="3222">
        <v>131</v>
      </c>
      <c r="B170" s="3223" t="s">
        <v>5937</v>
      </c>
      <c r="C170" s="3223"/>
      <c r="D170" s="3223">
        <v>103</v>
      </c>
      <c r="E170" s="3223" t="s">
        <v>3851</v>
      </c>
      <c r="F170" s="3223">
        <v>47.06</v>
      </c>
      <c r="G170" s="3224">
        <f t="shared" si="6"/>
        <v>20.9</v>
      </c>
      <c r="H170" s="3224">
        <f t="shared" si="5"/>
        <v>0.44408023116547801</v>
      </c>
      <c r="I170" s="3227"/>
      <c r="J170" s="3320"/>
      <c r="K170" s="3321"/>
      <c r="L170" s="3208"/>
    </row>
    <row r="171" spans="1:12">
      <c r="A171" s="3222">
        <v>132</v>
      </c>
      <c r="B171" s="3223" t="s">
        <v>5937</v>
      </c>
      <c r="C171" s="3223"/>
      <c r="D171" s="3223">
        <v>104</v>
      </c>
      <c r="E171" s="3223" t="s">
        <v>3851</v>
      </c>
      <c r="F171" s="3223">
        <v>48.7</v>
      </c>
      <c r="G171" s="3224">
        <f t="shared" si="6"/>
        <v>21.63</v>
      </c>
      <c r="H171" s="3224">
        <f t="shared" ref="H171:H234" si="7">H170</f>
        <v>0.44408023116547801</v>
      </c>
      <c r="I171" s="3227"/>
      <c r="J171" s="3320"/>
      <c r="K171" s="3321"/>
      <c r="L171" s="3208"/>
    </row>
    <row r="172" spans="1:12">
      <c r="A172" s="3222">
        <v>133</v>
      </c>
      <c r="B172" s="3223" t="s">
        <v>5937</v>
      </c>
      <c r="C172" s="3223"/>
      <c r="D172" s="3223">
        <v>105</v>
      </c>
      <c r="E172" s="3223" t="s">
        <v>3851</v>
      </c>
      <c r="F172" s="3223">
        <v>23.2</v>
      </c>
      <c r="G172" s="3224">
        <f t="shared" si="6"/>
        <v>10.3</v>
      </c>
      <c r="H172" s="3224">
        <f t="shared" si="7"/>
        <v>0.44408023116547801</v>
      </c>
      <c r="I172" s="3227"/>
      <c r="J172" s="3320"/>
      <c r="K172" s="3321"/>
      <c r="L172" s="3208"/>
    </row>
    <row r="173" spans="1:12">
      <c r="A173" s="3222">
        <v>134</v>
      </c>
      <c r="B173" s="3223" t="s">
        <v>5937</v>
      </c>
      <c r="C173" s="3223"/>
      <c r="D173" s="3223">
        <v>106</v>
      </c>
      <c r="E173" s="3223" t="s">
        <v>3851</v>
      </c>
      <c r="F173" s="3223">
        <v>23.2</v>
      </c>
      <c r="G173" s="3224">
        <f t="shared" si="6"/>
        <v>10.3</v>
      </c>
      <c r="H173" s="3224">
        <f t="shared" si="7"/>
        <v>0.44408023116547801</v>
      </c>
      <c r="I173" s="3227"/>
      <c r="J173" s="3320"/>
      <c r="K173" s="3321"/>
      <c r="L173" s="3208"/>
    </row>
    <row r="174" spans="1:12">
      <c r="A174" s="3222">
        <v>135</v>
      </c>
      <c r="B174" s="3223" t="s">
        <v>5937</v>
      </c>
      <c r="C174" s="3223"/>
      <c r="D174" s="3223">
        <v>107</v>
      </c>
      <c r="E174" s="3223" t="s">
        <v>3851</v>
      </c>
      <c r="F174" s="3223">
        <v>48.7</v>
      </c>
      <c r="G174" s="3224">
        <f t="shared" si="6"/>
        <v>21.63</v>
      </c>
      <c r="H174" s="3224">
        <f t="shared" si="7"/>
        <v>0.44408023116547801</v>
      </c>
      <c r="I174" s="3227"/>
      <c r="J174" s="3320"/>
      <c r="K174" s="3321"/>
      <c r="L174" s="3208"/>
    </row>
    <row r="175" spans="1:12">
      <c r="A175" s="3222">
        <v>136</v>
      </c>
      <c r="B175" s="3223" t="s">
        <v>5937</v>
      </c>
      <c r="C175" s="3223"/>
      <c r="D175" s="3223">
        <v>108</v>
      </c>
      <c r="E175" s="3223" t="s">
        <v>3851</v>
      </c>
      <c r="F175" s="3223">
        <v>47.1</v>
      </c>
      <c r="G175" s="3224">
        <f t="shared" si="6"/>
        <v>20.92</v>
      </c>
      <c r="H175" s="3224">
        <f t="shared" si="7"/>
        <v>0.44408023116547801</v>
      </c>
      <c r="I175" s="3227"/>
      <c r="J175" s="3316"/>
      <c r="K175" s="3317"/>
      <c r="L175" s="3208"/>
    </row>
    <row r="176" spans="1:12">
      <c r="A176" s="3222">
        <v>137</v>
      </c>
      <c r="B176" s="3223" t="s">
        <v>5937</v>
      </c>
      <c r="C176" s="3223"/>
      <c r="D176" s="3223">
        <v>109</v>
      </c>
      <c r="E176" s="3223" t="s">
        <v>3851</v>
      </c>
      <c r="F176" s="3223">
        <v>27.52</v>
      </c>
      <c r="G176" s="3224">
        <f t="shared" si="6"/>
        <v>12.22</v>
      </c>
      <c r="H176" s="3224">
        <f t="shared" si="7"/>
        <v>0.44408023116547801</v>
      </c>
      <c r="I176" s="3227"/>
      <c r="J176" s="3316"/>
      <c r="K176" s="3317"/>
      <c r="L176" s="3208"/>
    </row>
    <row r="177" spans="1:12">
      <c r="A177" s="3222">
        <v>138</v>
      </c>
      <c r="B177" s="3223" t="s">
        <v>5937</v>
      </c>
      <c r="C177" s="3223"/>
      <c r="D177" s="3223">
        <v>201</v>
      </c>
      <c r="E177" s="3223" t="s">
        <v>3851</v>
      </c>
      <c r="F177" s="3223">
        <v>16.940000000000001</v>
      </c>
      <c r="G177" s="3224">
        <f t="shared" si="6"/>
        <v>7.52</v>
      </c>
      <c r="H177" s="3224">
        <f t="shared" si="7"/>
        <v>0.44408023116547801</v>
      </c>
      <c r="I177" s="3227"/>
      <c r="J177" s="3316"/>
      <c r="K177" s="3317"/>
      <c r="L177" s="3208"/>
    </row>
    <row r="178" spans="1:12">
      <c r="A178" s="3222">
        <v>139</v>
      </c>
      <c r="B178" s="3223" t="s">
        <v>5937</v>
      </c>
      <c r="C178" s="3223"/>
      <c r="D178" s="3223">
        <v>202</v>
      </c>
      <c r="E178" s="3223" t="s">
        <v>3851</v>
      </c>
      <c r="F178" s="3223">
        <v>26.37</v>
      </c>
      <c r="G178" s="3224">
        <f t="shared" si="6"/>
        <v>11.71</v>
      </c>
      <c r="H178" s="3224">
        <f t="shared" si="7"/>
        <v>0.44408023116547801</v>
      </c>
      <c r="I178" s="3227"/>
      <c r="J178" s="3316"/>
      <c r="K178" s="3317"/>
      <c r="L178" s="3208"/>
    </row>
    <row r="179" spans="1:12">
      <c r="A179" s="3222">
        <v>140</v>
      </c>
      <c r="B179" s="3223" t="s">
        <v>5937</v>
      </c>
      <c r="C179" s="3223"/>
      <c r="D179" s="3223">
        <v>203</v>
      </c>
      <c r="E179" s="3223" t="s">
        <v>3851</v>
      </c>
      <c r="F179" s="3223">
        <v>19.690000000000001</v>
      </c>
      <c r="G179" s="3224">
        <f t="shared" si="6"/>
        <v>8.74</v>
      </c>
      <c r="H179" s="3224">
        <f t="shared" si="7"/>
        <v>0.44408023116547801</v>
      </c>
      <c r="I179" s="3227"/>
      <c r="J179" s="3316"/>
      <c r="K179" s="3317"/>
      <c r="L179" s="3208"/>
    </row>
    <row r="180" spans="1:12">
      <c r="A180" s="3222">
        <v>141</v>
      </c>
      <c r="B180" s="3223" t="s">
        <v>5937</v>
      </c>
      <c r="C180" s="3223"/>
      <c r="D180" s="3223">
        <v>204</v>
      </c>
      <c r="E180" s="3223" t="s">
        <v>3851</v>
      </c>
      <c r="F180" s="3223">
        <v>19.690000000000001</v>
      </c>
      <c r="G180" s="3224">
        <f t="shared" si="6"/>
        <v>8.74</v>
      </c>
      <c r="H180" s="3224">
        <f t="shared" si="7"/>
        <v>0.44408023116547801</v>
      </c>
      <c r="I180" s="3227"/>
      <c r="J180" s="3316"/>
      <c r="K180" s="3317"/>
      <c r="L180" s="3208"/>
    </row>
    <row r="181" spans="1:12">
      <c r="A181" s="3222">
        <v>142</v>
      </c>
      <c r="B181" s="3223" t="s">
        <v>5937</v>
      </c>
      <c r="C181" s="3223"/>
      <c r="D181" s="3223">
        <v>205</v>
      </c>
      <c r="E181" s="3223" t="s">
        <v>3851</v>
      </c>
      <c r="F181" s="3223">
        <v>16.440000000000001</v>
      </c>
      <c r="G181" s="3224">
        <f t="shared" si="6"/>
        <v>7.3</v>
      </c>
      <c r="H181" s="3224">
        <f t="shared" si="7"/>
        <v>0.44408023116547801</v>
      </c>
      <c r="I181" s="3227"/>
      <c r="J181" s="3316"/>
      <c r="K181" s="3317"/>
      <c r="L181" s="3208"/>
    </row>
    <row r="182" spans="1:12">
      <c r="A182" s="3222">
        <v>143</v>
      </c>
      <c r="B182" s="3223" t="s">
        <v>3810</v>
      </c>
      <c r="C182" s="3223"/>
      <c r="D182" s="3223">
        <v>301</v>
      </c>
      <c r="E182" s="3223" t="s">
        <v>3395</v>
      </c>
      <c r="F182" s="3223">
        <v>192.54</v>
      </c>
      <c r="G182" s="3224">
        <f t="shared" si="6"/>
        <v>85.5</v>
      </c>
      <c r="H182" s="3224">
        <f t="shared" si="7"/>
        <v>0.44408023116547801</v>
      </c>
      <c r="I182" s="3227"/>
      <c r="J182" s="3316"/>
      <c r="K182" s="3317"/>
      <c r="L182" s="3208"/>
    </row>
    <row r="183" spans="1:12">
      <c r="A183" s="3222">
        <v>144</v>
      </c>
      <c r="B183" s="3223" t="s">
        <v>5938</v>
      </c>
      <c r="C183" s="3223"/>
      <c r="D183" s="3223">
        <v>201</v>
      </c>
      <c r="E183" s="3223" t="s">
        <v>3851</v>
      </c>
      <c r="F183" s="3223">
        <v>15.67</v>
      </c>
      <c r="G183" s="3224">
        <f t="shared" si="6"/>
        <v>6.96</v>
      </c>
      <c r="H183" s="3224">
        <f t="shared" si="7"/>
        <v>0.44408023116547801</v>
      </c>
      <c r="I183" s="3227"/>
      <c r="J183" s="3316"/>
      <c r="K183" s="3317"/>
      <c r="L183" s="3208"/>
    </row>
    <row r="184" spans="1:12">
      <c r="A184" s="3222">
        <v>145</v>
      </c>
      <c r="B184" s="3223" t="s">
        <v>3815</v>
      </c>
      <c r="C184" s="3223" t="s">
        <v>5930</v>
      </c>
      <c r="D184" s="3223">
        <v>102</v>
      </c>
      <c r="E184" s="3223" t="s">
        <v>3395</v>
      </c>
      <c r="F184" s="3223">
        <v>168.04</v>
      </c>
      <c r="G184" s="3224">
        <f t="shared" si="6"/>
        <v>74.62</v>
      </c>
      <c r="H184" s="3224">
        <f t="shared" si="7"/>
        <v>0.44408023116547801</v>
      </c>
      <c r="I184" s="3227"/>
      <c r="J184" s="3316"/>
      <c r="K184" s="3317"/>
      <c r="L184" s="3208"/>
    </row>
    <row r="185" spans="1:12">
      <c r="A185" s="3222">
        <v>147</v>
      </c>
      <c r="B185" s="3223" t="s">
        <v>3815</v>
      </c>
      <c r="C185" s="3223" t="s">
        <v>5931</v>
      </c>
      <c r="D185" s="3223">
        <v>101</v>
      </c>
      <c r="E185" s="3223" t="s">
        <v>3395</v>
      </c>
      <c r="F185" s="3223">
        <v>168.04</v>
      </c>
      <c r="G185" s="3224">
        <f t="shared" si="6"/>
        <v>74.62</v>
      </c>
      <c r="H185" s="3224">
        <f>H187</f>
        <v>0.44408023116547801</v>
      </c>
      <c r="I185" s="3227"/>
      <c r="J185" s="3316"/>
      <c r="K185" s="3317"/>
      <c r="L185" s="3208"/>
    </row>
    <row r="186" spans="1:12">
      <c r="A186" s="3222">
        <v>148</v>
      </c>
      <c r="B186" s="3223" t="s">
        <v>3815</v>
      </c>
      <c r="C186" s="3223" t="s">
        <v>5931</v>
      </c>
      <c r="D186" s="3223">
        <v>402</v>
      </c>
      <c r="E186" s="3223" t="s">
        <v>3395</v>
      </c>
      <c r="F186" s="3223">
        <v>184.45</v>
      </c>
      <c r="G186" s="3224">
        <f t="shared" si="6"/>
        <v>81.91</v>
      </c>
      <c r="H186" s="3224">
        <f>H185</f>
        <v>0.44408023116547801</v>
      </c>
      <c r="I186" s="3227"/>
      <c r="J186" s="3316"/>
      <c r="K186" s="3317"/>
      <c r="L186" s="3208"/>
    </row>
    <row r="187" spans="1:12">
      <c r="A187" s="3222">
        <v>146</v>
      </c>
      <c r="B187" s="3223" t="s">
        <v>3815</v>
      </c>
      <c r="C187" s="3223" t="s">
        <v>5933</v>
      </c>
      <c r="D187" s="3223">
        <v>101</v>
      </c>
      <c r="E187" s="3223" t="s">
        <v>3395</v>
      </c>
      <c r="F187" s="3223">
        <v>168.04</v>
      </c>
      <c r="G187" s="3224">
        <f t="shared" si="6"/>
        <v>74.62</v>
      </c>
      <c r="H187" s="3224">
        <f>H184</f>
        <v>0.44408023116547801</v>
      </c>
      <c r="I187" s="3227"/>
      <c r="J187" s="3316"/>
      <c r="K187" s="3317"/>
      <c r="L187" s="3208"/>
    </row>
    <row r="188" spans="1:12">
      <c r="A188" s="3222">
        <v>149</v>
      </c>
      <c r="B188" s="3223" t="s">
        <v>5939</v>
      </c>
      <c r="C188" s="3223"/>
      <c r="D188" s="3223">
        <v>106</v>
      </c>
      <c r="E188" s="3223" t="s">
        <v>3851</v>
      </c>
      <c r="F188" s="3223">
        <v>23.61</v>
      </c>
      <c r="G188" s="3224">
        <f t="shared" si="6"/>
        <v>10.48</v>
      </c>
      <c r="H188" s="3224">
        <f>H186</f>
        <v>0.44408023116547801</v>
      </c>
      <c r="I188" s="3227"/>
      <c r="J188" s="3316"/>
      <c r="K188" s="3317"/>
      <c r="L188" s="3208"/>
    </row>
    <row r="189" spans="1:12">
      <c r="A189" s="3222">
        <v>150</v>
      </c>
      <c r="B189" s="3223" t="s">
        <v>5939</v>
      </c>
      <c r="C189" s="3223"/>
      <c r="D189" s="3223">
        <v>107</v>
      </c>
      <c r="E189" s="3223" t="s">
        <v>3851</v>
      </c>
      <c r="F189" s="3223">
        <v>56.57</v>
      </c>
      <c r="G189" s="3224">
        <f t="shared" si="6"/>
        <v>25.12</v>
      </c>
      <c r="H189" s="3224">
        <f t="shared" si="7"/>
        <v>0.44408023116547801</v>
      </c>
      <c r="I189" s="3227"/>
      <c r="J189" s="3316"/>
      <c r="K189" s="3317"/>
      <c r="L189" s="3208"/>
    </row>
    <row r="190" spans="1:12">
      <c r="A190" s="3222">
        <v>151</v>
      </c>
      <c r="B190" s="3223" t="s">
        <v>5939</v>
      </c>
      <c r="C190" s="3223"/>
      <c r="D190" s="3223">
        <v>108</v>
      </c>
      <c r="E190" s="3223" t="s">
        <v>3851</v>
      </c>
      <c r="F190" s="3223">
        <v>41.37</v>
      </c>
      <c r="G190" s="3224">
        <f t="shared" si="6"/>
        <v>18.37</v>
      </c>
      <c r="H190" s="3224">
        <f t="shared" si="7"/>
        <v>0.44408023116547801</v>
      </c>
      <c r="I190" s="3227"/>
      <c r="J190" s="3316"/>
      <c r="K190" s="3317"/>
      <c r="L190" s="3208"/>
    </row>
    <row r="191" spans="1:12">
      <c r="A191" s="3222">
        <v>152</v>
      </c>
      <c r="B191" s="3223" t="s">
        <v>5939</v>
      </c>
      <c r="C191" s="3223"/>
      <c r="D191" s="3223">
        <v>109</v>
      </c>
      <c r="E191" s="3223" t="s">
        <v>3851</v>
      </c>
      <c r="F191" s="3223">
        <v>41.37</v>
      </c>
      <c r="G191" s="3224">
        <f t="shared" si="6"/>
        <v>18.37</v>
      </c>
      <c r="H191" s="3224">
        <f t="shared" si="7"/>
        <v>0.44408023116547801</v>
      </c>
      <c r="I191" s="3227"/>
      <c r="J191" s="3316"/>
      <c r="K191" s="3317"/>
      <c r="L191" s="3208"/>
    </row>
    <row r="192" spans="1:12">
      <c r="A192" s="3222">
        <v>153</v>
      </c>
      <c r="B192" s="3223" t="s">
        <v>5939</v>
      </c>
      <c r="C192" s="3223"/>
      <c r="D192" s="3223">
        <v>110</v>
      </c>
      <c r="E192" s="3223" t="s">
        <v>3851</v>
      </c>
      <c r="F192" s="3223">
        <v>56.57</v>
      </c>
      <c r="G192" s="3224">
        <f t="shared" si="6"/>
        <v>25.12</v>
      </c>
      <c r="H192" s="3224">
        <f t="shared" si="7"/>
        <v>0.44408023116547801</v>
      </c>
      <c r="I192" s="3227"/>
      <c r="J192" s="3316"/>
      <c r="K192" s="3317"/>
      <c r="L192" s="3208"/>
    </row>
    <row r="193" spans="1:12">
      <c r="A193" s="3222">
        <v>154</v>
      </c>
      <c r="B193" s="3223" t="s">
        <v>5939</v>
      </c>
      <c r="C193" s="3223"/>
      <c r="D193" s="3223">
        <v>111</v>
      </c>
      <c r="E193" s="3223" t="s">
        <v>3851</v>
      </c>
      <c r="F193" s="3223">
        <v>23.61</v>
      </c>
      <c r="G193" s="3224">
        <f t="shared" si="6"/>
        <v>10.48</v>
      </c>
      <c r="H193" s="3224">
        <f t="shared" si="7"/>
        <v>0.44408023116547801</v>
      </c>
      <c r="I193" s="3227"/>
      <c r="J193" s="3316"/>
      <c r="K193" s="3317"/>
      <c r="L193" s="3208"/>
    </row>
    <row r="194" spans="1:12">
      <c r="A194" s="3222">
        <v>155</v>
      </c>
      <c r="B194" s="3223" t="s">
        <v>5939</v>
      </c>
      <c r="C194" s="3223"/>
      <c r="D194" s="3223">
        <v>115</v>
      </c>
      <c r="E194" s="3223" t="s">
        <v>3851</v>
      </c>
      <c r="F194" s="3223">
        <v>41.06</v>
      </c>
      <c r="G194" s="3224">
        <f t="shared" si="6"/>
        <v>18.23</v>
      </c>
      <c r="H194" s="3224">
        <f t="shared" si="7"/>
        <v>0.44408023116547801</v>
      </c>
      <c r="I194" s="3227"/>
      <c r="J194" s="3316"/>
      <c r="K194" s="3317"/>
      <c r="L194" s="3208"/>
    </row>
    <row r="195" spans="1:12">
      <c r="A195" s="3222">
        <v>156</v>
      </c>
      <c r="B195" s="3223" t="s">
        <v>5939</v>
      </c>
      <c r="C195" s="3223"/>
      <c r="D195" s="3223">
        <v>116</v>
      </c>
      <c r="E195" s="3223" t="s">
        <v>3851</v>
      </c>
      <c r="F195" s="3223">
        <v>56.57</v>
      </c>
      <c r="G195" s="3224">
        <f t="shared" si="6"/>
        <v>25.12</v>
      </c>
      <c r="H195" s="3224">
        <f t="shared" si="7"/>
        <v>0.44408023116547801</v>
      </c>
      <c r="I195" s="3227"/>
      <c r="J195" s="3316"/>
      <c r="K195" s="3317"/>
      <c r="L195" s="3208"/>
    </row>
    <row r="196" spans="1:12">
      <c r="A196" s="3222">
        <v>157</v>
      </c>
      <c r="B196" s="3223" t="s">
        <v>5939</v>
      </c>
      <c r="C196" s="3223"/>
      <c r="D196" s="3223">
        <v>117</v>
      </c>
      <c r="E196" s="3223" t="s">
        <v>3851</v>
      </c>
      <c r="F196" s="3223">
        <v>23.61</v>
      </c>
      <c r="G196" s="3224">
        <f t="shared" si="6"/>
        <v>10.48</v>
      </c>
      <c r="H196" s="3224">
        <f t="shared" si="7"/>
        <v>0.44408023116547801</v>
      </c>
      <c r="I196" s="3227"/>
      <c r="J196" s="3316"/>
      <c r="K196" s="3317"/>
      <c r="L196" s="3208"/>
    </row>
    <row r="197" spans="1:12">
      <c r="A197" s="3222">
        <v>158</v>
      </c>
      <c r="B197" s="3223" t="s">
        <v>5939</v>
      </c>
      <c r="C197" s="3223"/>
      <c r="D197" s="3223">
        <v>118</v>
      </c>
      <c r="E197" s="3223" t="s">
        <v>3851</v>
      </c>
      <c r="F197" s="3223">
        <v>23.61</v>
      </c>
      <c r="G197" s="3224">
        <f t="shared" si="6"/>
        <v>10.48</v>
      </c>
      <c r="H197" s="3224">
        <f t="shared" si="7"/>
        <v>0.44408023116547801</v>
      </c>
      <c r="I197" s="3227"/>
      <c r="J197" s="3316"/>
      <c r="K197" s="3317"/>
      <c r="L197" s="3208"/>
    </row>
    <row r="198" spans="1:12">
      <c r="A198" s="3222">
        <v>159</v>
      </c>
      <c r="B198" s="3223" t="s">
        <v>5939</v>
      </c>
      <c r="C198" s="3223"/>
      <c r="D198" s="3223">
        <v>119</v>
      </c>
      <c r="E198" s="3223" t="s">
        <v>3851</v>
      </c>
      <c r="F198" s="3223">
        <v>49.55</v>
      </c>
      <c r="G198" s="3224">
        <f t="shared" si="6"/>
        <v>22</v>
      </c>
      <c r="H198" s="3224">
        <f t="shared" si="7"/>
        <v>0.44408023116547801</v>
      </c>
      <c r="I198" s="3227"/>
      <c r="J198" s="3316"/>
      <c r="K198" s="3317"/>
      <c r="L198" s="3208"/>
    </row>
    <row r="199" spans="1:12">
      <c r="A199" s="3222">
        <v>160</v>
      </c>
      <c r="B199" s="3223" t="s">
        <v>5939</v>
      </c>
      <c r="C199" s="3223"/>
      <c r="D199" s="3223">
        <v>120</v>
      </c>
      <c r="E199" s="3223" t="s">
        <v>3851</v>
      </c>
      <c r="F199" s="3223">
        <v>47.92</v>
      </c>
      <c r="G199" s="3224">
        <f t="shared" si="6"/>
        <v>21.28</v>
      </c>
      <c r="H199" s="3224">
        <f t="shared" si="7"/>
        <v>0.44408023116547801</v>
      </c>
      <c r="I199" s="3227"/>
      <c r="J199" s="3316"/>
      <c r="K199" s="3317"/>
      <c r="L199" s="3208"/>
    </row>
    <row r="200" spans="1:12">
      <c r="A200" s="3222">
        <v>161</v>
      </c>
      <c r="B200" s="3223" t="s">
        <v>5939</v>
      </c>
      <c r="C200" s="3223"/>
      <c r="D200" s="3223">
        <v>121</v>
      </c>
      <c r="E200" s="3223" t="s">
        <v>3851</v>
      </c>
      <c r="F200" s="3223">
        <v>22.78</v>
      </c>
      <c r="G200" s="3224">
        <f t="shared" si="6"/>
        <v>10.119999999999999</v>
      </c>
      <c r="H200" s="3224">
        <f t="shared" si="7"/>
        <v>0.44408023116547801</v>
      </c>
      <c r="I200" s="3227"/>
      <c r="J200" s="3316"/>
      <c r="K200" s="3317"/>
      <c r="L200" s="3208"/>
    </row>
    <row r="201" spans="1:12">
      <c r="A201" s="3222">
        <v>162</v>
      </c>
      <c r="B201" s="3223" t="s">
        <v>5939</v>
      </c>
      <c r="C201" s="3223"/>
      <c r="D201" s="3223">
        <v>122</v>
      </c>
      <c r="E201" s="3223" t="s">
        <v>3851</v>
      </c>
      <c r="F201" s="3223">
        <v>27.95</v>
      </c>
      <c r="G201" s="3224">
        <f t="shared" si="6"/>
        <v>12.41</v>
      </c>
      <c r="H201" s="3224">
        <f t="shared" si="7"/>
        <v>0.44408023116547801</v>
      </c>
      <c r="I201" s="3227"/>
      <c r="J201" s="3316"/>
      <c r="K201" s="3317"/>
      <c r="L201" s="3208"/>
    </row>
    <row r="202" spans="1:12">
      <c r="A202" s="3222">
        <v>163</v>
      </c>
      <c r="B202" s="3223" t="s">
        <v>5939</v>
      </c>
      <c r="C202" s="3223"/>
      <c r="D202" s="3223">
        <v>123</v>
      </c>
      <c r="E202" s="3223" t="s">
        <v>3851</v>
      </c>
      <c r="F202" s="3223">
        <v>27.59</v>
      </c>
      <c r="G202" s="3224">
        <f t="shared" si="6"/>
        <v>12.25</v>
      </c>
      <c r="H202" s="3224">
        <f t="shared" si="7"/>
        <v>0.44408023116547801</v>
      </c>
      <c r="I202" s="3227"/>
      <c r="J202" s="3316"/>
      <c r="K202" s="3317"/>
      <c r="L202" s="3208"/>
    </row>
    <row r="203" spans="1:12">
      <c r="A203" s="3222">
        <v>164</v>
      </c>
      <c r="B203" s="3223" t="s">
        <v>5939</v>
      </c>
      <c r="C203" s="3223"/>
      <c r="D203" s="3223">
        <v>124</v>
      </c>
      <c r="E203" s="3223" t="s">
        <v>3851</v>
      </c>
      <c r="F203" s="3223">
        <v>19.13</v>
      </c>
      <c r="G203" s="3224">
        <f t="shared" si="6"/>
        <v>8.5</v>
      </c>
      <c r="H203" s="3224">
        <f t="shared" si="7"/>
        <v>0.44408023116547801</v>
      </c>
      <c r="I203" s="3227"/>
      <c r="J203" s="3316"/>
      <c r="K203" s="3317"/>
      <c r="L203" s="3208"/>
    </row>
    <row r="204" spans="1:12">
      <c r="A204" s="3222">
        <v>165</v>
      </c>
      <c r="B204" s="3223" t="s">
        <v>5939</v>
      </c>
      <c r="C204" s="3223"/>
      <c r="D204" s="3223">
        <v>126</v>
      </c>
      <c r="E204" s="3223" t="s">
        <v>3851</v>
      </c>
      <c r="F204" s="3223">
        <v>27.77</v>
      </c>
      <c r="G204" s="3224">
        <f t="shared" si="6"/>
        <v>12.33</v>
      </c>
      <c r="H204" s="3224">
        <f t="shared" si="7"/>
        <v>0.44408023116547801</v>
      </c>
      <c r="I204" s="3227"/>
      <c r="J204" s="3316"/>
      <c r="K204" s="3317"/>
      <c r="L204" s="3208"/>
    </row>
    <row r="205" spans="1:12">
      <c r="A205" s="3222">
        <v>166</v>
      </c>
      <c r="B205" s="3223" t="s">
        <v>5939</v>
      </c>
      <c r="C205" s="3223"/>
      <c r="D205" s="3223">
        <v>127</v>
      </c>
      <c r="E205" s="3223" t="s">
        <v>3851</v>
      </c>
      <c r="F205" s="3223">
        <v>27.59</v>
      </c>
      <c r="G205" s="3224">
        <f t="shared" si="6"/>
        <v>12.25</v>
      </c>
      <c r="H205" s="3224">
        <f t="shared" si="7"/>
        <v>0.44408023116547801</v>
      </c>
      <c r="I205" s="3227"/>
      <c r="J205" s="3316"/>
      <c r="K205" s="3317"/>
      <c r="L205" s="3208"/>
    </row>
    <row r="206" spans="1:12">
      <c r="A206" s="3222">
        <v>167</v>
      </c>
      <c r="B206" s="3223" t="s">
        <v>5939</v>
      </c>
      <c r="C206" s="3223"/>
      <c r="D206" s="3223">
        <v>128</v>
      </c>
      <c r="E206" s="3223" t="s">
        <v>3851</v>
      </c>
      <c r="F206" s="3223">
        <v>19.77</v>
      </c>
      <c r="G206" s="3224">
        <f t="shared" si="6"/>
        <v>8.7799999999999994</v>
      </c>
      <c r="H206" s="3224">
        <f t="shared" si="7"/>
        <v>0.44408023116547801</v>
      </c>
      <c r="I206" s="3227"/>
      <c r="J206" s="3316"/>
      <c r="K206" s="3317"/>
      <c r="L206" s="3208"/>
    </row>
    <row r="207" spans="1:12">
      <c r="A207" s="3222">
        <v>168</v>
      </c>
      <c r="B207" s="3223" t="s">
        <v>5939</v>
      </c>
      <c r="C207" s="3223"/>
      <c r="D207" s="3223">
        <v>202</v>
      </c>
      <c r="E207" s="3223" t="s">
        <v>3851</v>
      </c>
      <c r="F207" s="3223">
        <v>16.329999999999998</v>
      </c>
      <c r="G207" s="3224">
        <f t="shared" si="6"/>
        <v>7.25</v>
      </c>
      <c r="H207" s="3224">
        <f t="shared" si="7"/>
        <v>0.44408023116547801</v>
      </c>
      <c r="I207" s="3227"/>
      <c r="J207" s="3316"/>
      <c r="K207" s="3317"/>
      <c r="L207" s="3208"/>
    </row>
    <row r="208" spans="1:12">
      <c r="A208" s="3222">
        <v>169</v>
      </c>
      <c r="B208" s="3223" t="s">
        <v>5939</v>
      </c>
      <c r="C208" s="3223"/>
      <c r="D208" s="3223">
        <v>203</v>
      </c>
      <c r="E208" s="3223" t="s">
        <v>3851</v>
      </c>
      <c r="F208" s="3223">
        <v>12.38</v>
      </c>
      <c r="G208" s="3224">
        <f t="shared" si="6"/>
        <v>5.5</v>
      </c>
      <c r="H208" s="3224">
        <f t="shared" si="7"/>
        <v>0.44408023116547801</v>
      </c>
      <c r="I208" s="3227"/>
      <c r="J208" s="3316"/>
      <c r="K208" s="3317"/>
      <c r="L208" s="3208"/>
    </row>
    <row r="209" spans="1:12">
      <c r="A209" s="3222">
        <v>170</v>
      </c>
      <c r="B209" s="3223" t="s">
        <v>5939</v>
      </c>
      <c r="C209" s="3223"/>
      <c r="D209" s="3223">
        <v>205</v>
      </c>
      <c r="E209" s="3223" t="s">
        <v>3851</v>
      </c>
      <c r="F209" s="3223">
        <v>12.38</v>
      </c>
      <c r="G209" s="3224">
        <f t="shared" si="6"/>
        <v>5.5</v>
      </c>
      <c r="H209" s="3224">
        <f t="shared" si="7"/>
        <v>0.44408023116547801</v>
      </c>
      <c r="I209" s="3227"/>
      <c r="J209" s="3318"/>
      <c r="K209" s="3319"/>
      <c r="L209" s="3208"/>
    </row>
    <row r="210" spans="1:12">
      <c r="A210" s="3222">
        <v>171</v>
      </c>
      <c r="B210" s="3223" t="s">
        <v>5939</v>
      </c>
      <c r="C210" s="3223"/>
      <c r="D210" s="3223">
        <v>206</v>
      </c>
      <c r="E210" s="3223" t="s">
        <v>3851</v>
      </c>
      <c r="F210" s="3223">
        <v>17</v>
      </c>
      <c r="G210" s="3224">
        <f t="shared" si="6"/>
        <v>7.55</v>
      </c>
      <c r="H210" s="3224">
        <f t="shared" si="7"/>
        <v>0.44408023116547801</v>
      </c>
      <c r="I210" s="3227"/>
      <c r="J210" s="3320"/>
      <c r="K210" s="3321"/>
      <c r="L210" s="3208"/>
    </row>
    <row r="211" spans="1:12">
      <c r="A211" s="3222">
        <v>172</v>
      </c>
      <c r="B211" s="3223" t="s">
        <v>3828</v>
      </c>
      <c r="C211" s="3223" t="s">
        <v>5930</v>
      </c>
      <c r="D211" s="3223">
        <v>101</v>
      </c>
      <c r="E211" s="3223" t="s">
        <v>3395</v>
      </c>
      <c r="F211" s="3223">
        <v>192.5</v>
      </c>
      <c r="G211" s="3224">
        <f t="shared" si="6"/>
        <v>85.49</v>
      </c>
      <c r="H211" s="3224">
        <f t="shared" si="7"/>
        <v>0.44408023116547801</v>
      </c>
      <c r="I211" s="3227"/>
      <c r="J211" s="3316"/>
      <c r="K211" s="3317"/>
      <c r="L211" s="3208"/>
    </row>
    <row r="212" spans="1:12">
      <c r="A212" s="3222">
        <v>173</v>
      </c>
      <c r="B212" s="3223" t="s">
        <v>3828</v>
      </c>
      <c r="C212" s="3223" t="s">
        <v>5930</v>
      </c>
      <c r="D212" s="3223">
        <v>102</v>
      </c>
      <c r="E212" s="3223" t="s">
        <v>3395</v>
      </c>
      <c r="F212" s="3223">
        <v>161.81</v>
      </c>
      <c r="G212" s="3224">
        <f t="shared" si="6"/>
        <v>71.86</v>
      </c>
      <c r="H212" s="3224">
        <f t="shared" si="7"/>
        <v>0.44408023116547801</v>
      </c>
      <c r="I212" s="3227"/>
      <c r="J212" s="3316"/>
      <c r="K212" s="3317"/>
      <c r="L212" s="3208"/>
    </row>
    <row r="213" spans="1:12">
      <c r="A213" s="3222">
        <v>174</v>
      </c>
      <c r="B213" s="3223" t="s">
        <v>3828</v>
      </c>
      <c r="C213" s="3223" t="s">
        <v>5930</v>
      </c>
      <c r="D213" s="3223">
        <v>201</v>
      </c>
      <c r="E213" s="3223" t="s">
        <v>3395</v>
      </c>
      <c r="F213" s="3223">
        <v>192.52</v>
      </c>
      <c r="G213" s="3224">
        <f t="shared" si="6"/>
        <v>85.49</v>
      </c>
      <c r="H213" s="3224">
        <f t="shared" si="7"/>
        <v>0.44408023116547801</v>
      </c>
      <c r="I213" s="3227"/>
      <c r="J213" s="3316"/>
      <c r="K213" s="3317"/>
      <c r="L213" s="3208"/>
    </row>
    <row r="214" spans="1:12">
      <c r="A214" s="3222">
        <v>175</v>
      </c>
      <c r="B214" s="3223" t="s">
        <v>3828</v>
      </c>
      <c r="C214" s="3223" t="s">
        <v>5930</v>
      </c>
      <c r="D214" s="3223">
        <v>202</v>
      </c>
      <c r="E214" s="3223" t="s">
        <v>3395</v>
      </c>
      <c r="F214" s="3223">
        <v>184.46</v>
      </c>
      <c r="G214" s="3224">
        <f t="shared" si="6"/>
        <v>81.92</v>
      </c>
      <c r="H214" s="3224">
        <f t="shared" si="7"/>
        <v>0.44408023116547801</v>
      </c>
      <c r="I214" s="3227"/>
      <c r="J214" s="3316"/>
      <c r="K214" s="3317"/>
      <c r="L214" s="3208"/>
    </row>
    <row r="215" spans="1:12">
      <c r="A215" s="3222">
        <v>176</v>
      </c>
      <c r="B215" s="3223" t="s">
        <v>3828</v>
      </c>
      <c r="C215" s="3223" t="s">
        <v>5930</v>
      </c>
      <c r="D215" s="3223">
        <v>301</v>
      </c>
      <c r="E215" s="3223" t="s">
        <v>3395</v>
      </c>
      <c r="F215" s="3223">
        <v>192.52</v>
      </c>
      <c r="G215" s="3224">
        <f t="shared" si="6"/>
        <v>85.49</v>
      </c>
      <c r="H215" s="3224">
        <f t="shared" si="7"/>
        <v>0.44408023116547801</v>
      </c>
      <c r="I215" s="3227"/>
      <c r="J215" s="3316"/>
      <c r="K215" s="3317"/>
      <c r="L215" s="3208"/>
    </row>
    <row r="216" spans="1:12">
      <c r="A216" s="3222">
        <v>177</v>
      </c>
      <c r="B216" s="3223" t="s">
        <v>3828</v>
      </c>
      <c r="C216" s="3223" t="s">
        <v>5930</v>
      </c>
      <c r="D216" s="3223">
        <v>401</v>
      </c>
      <c r="E216" s="3223" t="s">
        <v>3395</v>
      </c>
      <c r="F216" s="3223">
        <v>192.52</v>
      </c>
      <c r="G216" s="3224">
        <f t="shared" si="6"/>
        <v>85.49</v>
      </c>
      <c r="H216" s="3224">
        <f t="shared" si="7"/>
        <v>0.44408023116547801</v>
      </c>
      <c r="I216" s="3227"/>
      <c r="J216" s="3316"/>
      <c r="K216" s="3317"/>
      <c r="L216" s="3208"/>
    </row>
    <row r="217" spans="1:12">
      <c r="A217" s="3222">
        <v>178</v>
      </c>
      <c r="B217" s="3223" t="s">
        <v>3828</v>
      </c>
      <c r="C217" s="3223" t="s">
        <v>5930</v>
      </c>
      <c r="D217" s="3223">
        <v>402</v>
      </c>
      <c r="E217" s="3223" t="s">
        <v>3395</v>
      </c>
      <c r="F217" s="3223">
        <v>184.46</v>
      </c>
      <c r="G217" s="3224">
        <f t="shared" si="6"/>
        <v>81.92</v>
      </c>
      <c r="H217" s="3224">
        <f t="shared" si="7"/>
        <v>0.44408023116547801</v>
      </c>
      <c r="I217" s="3227"/>
      <c r="J217" s="3316"/>
      <c r="K217" s="3317"/>
      <c r="L217" s="3208"/>
    </row>
    <row r="218" spans="1:12">
      <c r="A218" s="3222">
        <v>179</v>
      </c>
      <c r="B218" s="3223" t="s">
        <v>3828</v>
      </c>
      <c r="C218" s="3223" t="s">
        <v>5931</v>
      </c>
      <c r="D218" s="3223">
        <v>101</v>
      </c>
      <c r="E218" s="3223" t="s">
        <v>3395</v>
      </c>
      <c r="F218" s="3223">
        <v>161.81</v>
      </c>
      <c r="G218" s="3224">
        <f t="shared" si="6"/>
        <v>71.86</v>
      </c>
      <c r="H218" s="3224">
        <f t="shared" si="7"/>
        <v>0.44408023116547801</v>
      </c>
      <c r="I218" s="3227"/>
      <c r="J218" s="3316"/>
      <c r="K218" s="3317"/>
      <c r="L218" s="3208"/>
    </row>
    <row r="219" spans="1:12">
      <c r="A219" s="3222">
        <v>180</v>
      </c>
      <c r="B219" s="3223" t="s">
        <v>3828</v>
      </c>
      <c r="C219" s="3223" t="s">
        <v>5931</v>
      </c>
      <c r="D219" s="3223">
        <v>102</v>
      </c>
      <c r="E219" s="3223" t="s">
        <v>3395</v>
      </c>
      <c r="F219" s="3223">
        <v>184.92</v>
      </c>
      <c r="G219" s="3224">
        <f t="shared" si="6"/>
        <v>82.12</v>
      </c>
      <c r="H219" s="3224">
        <f t="shared" si="7"/>
        <v>0.44408023116547801</v>
      </c>
      <c r="I219" s="3227"/>
      <c r="J219" s="3316"/>
      <c r="K219" s="3317"/>
      <c r="L219" s="3208"/>
    </row>
    <row r="220" spans="1:12">
      <c r="A220" s="3222">
        <v>181</v>
      </c>
      <c r="B220" s="3223" t="s">
        <v>3828</v>
      </c>
      <c r="C220" s="3223" t="s">
        <v>5931</v>
      </c>
      <c r="D220" s="3223">
        <v>301</v>
      </c>
      <c r="E220" s="3223" t="s">
        <v>3395</v>
      </c>
      <c r="F220" s="3223">
        <v>184.46</v>
      </c>
      <c r="G220" s="3224">
        <f t="shared" si="6"/>
        <v>81.92</v>
      </c>
      <c r="H220" s="3224">
        <f t="shared" si="7"/>
        <v>0.44408023116547801</v>
      </c>
      <c r="I220" s="3227"/>
      <c r="J220" s="3316"/>
      <c r="K220" s="3317"/>
      <c r="L220" s="3208"/>
    </row>
    <row r="221" spans="1:12">
      <c r="A221" s="3222">
        <v>182</v>
      </c>
      <c r="B221" s="3223" t="s">
        <v>3828</v>
      </c>
      <c r="C221" s="3223" t="s">
        <v>5931</v>
      </c>
      <c r="D221" s="3223">
        <v>401</v>
      </c>
      <c r="E221" s="3223" t="s">
        <v>3395</v>
      </c>
      <c r="F221" s="3223">
        <v>184.46</v>
      </c>
      <c r="G221" s="3224">
        <f t="shared" si="6"/>
        <v>81.92</v>
      </c>
      <c r="H221" s="3224">
        <f t="shared" si="7"/>
        <v>0.44408023116547801</v>
      </c>
      <c r="I221" s="3227"/>
      <c r="J221" s="3316"/>
      <c r="K221" s="3317"/>
      <c r="L221" s="3208"/>
    </row>
    <row r="222" spans="1:12">
      <c r="A222" s="3222">
        <v>183</v>
      </c>
      <c r="B222" s="3223" t="s">
        <v>5940</v>
      </c>
      <c r="C222" s="3223"/>
      <c r="D222" s="3223">
        <v>101</v>
      </c>
      <c r="E222" s="3223" t="s">
        <v>3851</v>
      </c>
      <c r="F222" s="3223">
        <v>30.98</v>
      </c>
      <c r="G222" s="3224">
        <f t="shared" si="6"/>
        <v>13.76</v>
      </c>
      <c r="H222" s="3224">
        <f t="shared" si="7"/>
        <v>0.44408023116547801</v>
      </c>
      <c r="I222" s="3227"/>
      <c r="J222" s="3316"/>
      <c r="K222" s="3317"/>
      <c r="L222" s="3208"/>
    </row>
    <row r="223" spans="1:12">
      <c r="A223" s="3222">
        <v>184</v>
      </c>
      <c r="B223" s="3223" t="s">
        <v>5940</v>
      </c>
      <c r="C223" s="3223"/>
      <c r="D223" s="3223">
        <v>102</v>
      </c>
      <c r="E223" s="3223" t="s">
        <v>3851</v>
      </c>
      <c r="F223" s="3223">
        <v>16.059999999999999</v>
      </c>
      <c r="G223" s="3224">
        <f t="shared" si="6"/>
        <v>7.13</v>
      </c>
      <c r="H223" s="3224">
        <f t="shared" si="7"/>
        <v>0.44408023116547801</v>
      </c>
      <c r="I223" s="3227"/>
      <c r="J223" s="3316"/>
      <c r="K223" s="3317"/>
      <c r="L223" s="3208"/>
    </row>
    <row r="224" spans="1:12">
      <c r="A224" s="3222">
        <v>185</v>
      </c>
      <c r="B224" s="3223" t="s">
        <v>5940</v>
      </c>
      <c r="C224" s="3223"/>
      <c r="D224" s="3223">
        <v>103</v>
      </c>
      <c r="E224" s="3223" t="s">
        <v>3851</v>
      </c>
      <c r="F224" s="3223">
        <v>46.48</v>
      </c>
      <c r="G224" s="3224">
        <f t="shared" si="6"/>
        <v>20.64</v>
      </c>
      <c r="H224" s="3224">
        <f t="shared" si="7"/>
        <v>0.44408023116547801</v>
      </c>
      <c r="I224" s="3227"/>
      <c r="J224" s="3316"/>
      <c r="K224" s="3317"/>
      <c r="L224" s="3208"/>
    </row>
    <row r="225" spans="1:12">
      <c r="A225" s="3222">
        <v>186</v>
      </c>
      <c r="B225" s="3223" t="s">
        <v>5940</v>
      </c>
      <c r="C225" s="3223"/>
      <c r="D225" s="3223">
        <v>104</v>
      </c>
      <c r="E225" s="3223" t="s">
        <v>3851</v>
      </c>
      <c r="F225" s="3223">
        <v>53.69</v>
      </c>
      <c r="G225" s="3224">
        <f t="shared" si="6"/>
        <v>23.84</v>
      </c>
      <c r="H225" s="3224">
        <f t="shared" si="7"/>
        <v>0.44408023116547801</v>
      </c>
      <c r="I225" s="3227"/>
      <c r="J225" s="3316"/>
      <c r="K225" s="3317"/>
      <c r="L225" s="3208"/>
    </row>
    <row r="226" spans="1:12">
      <c r="A226" s="3222">
        <v>187</v>
      </c>
      <c r="B226" s="3223" t="s">
        <v>5940</v>
      </c>
      <c r="C226" s="3223"/>
      <c r="D226" s="3223">
        <v>105</v>
      </c>
      <c r="E226" s="3223" t="s">
        <v>3851</v>
      </c>
      <c r="F226" s="3223">
        <v>23.63</v>
      </c>
      <c r="G226" s="3224">
        <f t="shared" si="6"/>
        <v>10.49</v>
      </c>
      <c r="H226" s="3224">
        <f t="shared" si="7"/>
        <v>0.44408023116547801</v>
      </c>
      <c r="I226" s="3227"/>
      <c r="J226" s="3316"/>
      <c r="K226" s="3317"/>
      <c r="L226" s="3208"/>
    </row>
    <row r="227" spans="1:12">
      <c r="A227" s="3222">
        <v>188</v>
      </c>
      <c r="B227" s="3223" t="s">
        <v>5940</v>
      </c>
      <c r="C227" s="3223"/>
      <c r="D227" s="3223">
        <v>106</v>
      </c>
      <c r="E227" s="3223" t="s">
        <v>3851</v>
      </c>
      <c r="F227" s="3223">
        <v>23.66</v>
      </c>
      <c r="G227" s="3224">
        <f t="shared" si="6"/>
        <v>10.51</v>
      </c>
      <c r="H227" s="3224">
        <f t="shared" si="7"/>
        <v>0.44408023116547801</v>
      </c>
      <c r="I227" s="3227"/>
      <c r="J227" s="3316"/>
      <c r="K227" s="3317"/>
      <c r="L227" s="3208"/>
    </row>
    <row r="228" spans="1:12">
      <c r="A228" s="3222">
        <v>189</v>
      </c>
      <c r="B228" s="3223" t="s">
        <v>5940</v>
      </c>
      <c r="C228" s="3223"/>
      <c r="D228" s="3223">
        <v>107</v>
      </c>
      <c r="E228" s="3223" t="s">
        <v>3851</v>
      </c>
      <c r="F228" s="3223">
        <v>56.65</v>
      </c>
      <c r="G228" s="3224">
        <f t="shared" si="6"/>
        <v>25.16</v>
      </c>
      <c r="H228" s="3224">
        <f t="shared" si="7"/>
        <v>0.44408023116547801</v>
      </c>
      <c r="I228" s="3227"/>
      <c r="J228" s="3316"/>
      <c r="K228" s="3317"/>
      <c r="L228" s="3208"/>
    </row>
    <row r="229" spans="1:12">
      <c r="A229" s="3222">
        <v>190</v>
      </c>
      <c r="B229" s="3223" t="s">
        <v>5940</v>
      </c>
      <c r="C229" s="3223"/>
      <c r="D229" s="3223">
        <v>108</v>
      </c>
      <c r="E229" s="3223" t="s">
        <v>3851</v>
      </c>
      <c r="F229" s="3223">
        <v>41.09</v>
      </c>
      <c r="G229" s="3224">
        <f t="shared" si="6"/>
        <v>18.25</v>
      </c>
      <c r="H229" s="3224">
        <f t="shared" si="7"/>
        <v>0.44408023116547801</v>
      </c>
      <c r="I229" s="3227"/>
      <c r="J229" s="3316"/>
      <c r="K229" s="3317"/>
      <c r="L229" s="3208"/>
    </row>
    <row r="230" spans="1:12">
      <c r="A230" s="3222">
        <v>191</v>
      </c>
      <c r="B230" s="3223" t="s">
        <v>5940</v>
      </c>
      <c r="C230" s="3223"/>
      <c r="D230" s="3223">
        <v>109</v>
      </c>
      <c r="E230" s="3223" t="s">
        <v>3851</v>
      </c>
      <c r="F230" s="3223">
        <v>41.09</v>
      </c>
      <c r="G230" s="3224">
        <f t="shared" si="6"/>
        <v>18.25</v>
      </c>
      <c r="H230" s="3224">
        <f t="shared" si="7"/>
        <v>0.44408023116547801</v>
      </c>
      <c r="I230" s="3227"/>
      <c r="J230" s="3316"/>
      <c r="K230" s="3317"/>
      <c r="L230" s="3208"/>
    </row>
    <row r="231" spans="1:12">
      <c r="A231" s="3222">
        <v>192</v>
      </c>
      <c r="B231" s="3223" t="s">
        <v>5940</v>
      </c>
      <c r="C231" s="3223"/>
      <c r="D231" s="3223">
        <v>110</v>
      </c>
      <c r="E231" s="3223" t="s">
        <v>3851</v>
      </c>
      <c r="F231" s="3223">
        <v>56.65</v>
      </c>
      <c r="G231" s="3224">
        <f t="shared" si="6"/>
        <v>25.16</v>
      </c>
      <c r="H231" s="3224">
        <f t="shared" si="7"/>
        <v>0.44408023116547801</v>
      </c>
      <c r="I231" s="3227"/>
      <c r="J231" s="3316"/>
      <c r="K231" s="3317"/>
      <c r="L231" s="3208"/>
    </row>
    <row r="232" spans="1:12">
      <c r="A232" s="3222">
        <v>193</v>
      </c>
      <c r="B232" s="3223" t="s">
        <v>5940</v>
      </c>
      <c r="C232" s="3223"/>
      <c r="D232" s="3223">
        <v>112</v>
      </c>
      <c r="E232" s="3223" t="s">
        <v>3851</v>
      </c>
      <c r="F232" s="3223">
        <v>23.63</v>
      </c>
      <c r="G232" s="3224">
        <f t="shared" si="6"/>
        <v>10.49</v>
      </c>
      <c r="H232" s="3224">
        <f t="shared" si="7"/>
        <v>0.44408023116547801</v>
      </c>
      <c r="I232" s="3227"/>
      <c r="J232" s="3316"/>
      <c r="K232" s="3317"/>
      <c r="L232" s="3208"/>
    </row>
    <row r="233" spans="1:12">
      <c r="A233" s="3222">
        <v>194</v>
      </c>
      <c r="B233" s="3223" t="s">
        <v>5940</v>
      </c>
      <c r="C233" s="3223"/>
      <c r="D233" s="3223">
        <v>113</v>
      </c>
      <c r="E233" s="3223" t="s">
        <v>3851</v>
      </c>
      <c r="F233" s="3223">
        <v>49.59</v>
      </c>
      <c r="G233" s="3224">
        <f t="shared" ref="G233:G296" si="8">ROUND(F233*H233,2)</f>
        <v>22.02</v>
      </c>
      <c r="H233" s="3224">
        <f t="shared" si="7"/>
        <v>0.44408023116547801</v>
      </c>
      <c r="I233" s="3227"/>
      <c r="J233" s="3316"/>
      <c r="K233" s="3317"/>
      <c r="L233" s="3208"/>
    </row>
    <row r="234" spans="1:12">
      <c r="A234" s="3222">
        <v>195</v>
      </c>
      <c r="B234" s="3223" t="s">
        <v>5940</v>
      </c>
      <c r="C234" s="3223"/>
      <c r="D234" s="3223">
        <v>114</v>
      </c>
      <c r="E234" s="3223" t="s">
        <v>3851</v>
      </c>
      <c r="F234" s="3223">
        <v>47.96</v>
      </c>
      <c r="G234" s="3224">
        <f t="shared" si="8"/>
        <v>21.3</v>
      </c>
      <c r="H234" s="3224">
        <f t="shared" si="7"/>
        <v>0.44408023116547801</v>
      </c>
      <c r="I234" s="3227"/>
      <c r="J234" s="3316"/>
      <c r="K234" s="3317"/>
      <c r="L234" s="3208"/>
    </row>
    <row r="235" spans="1:12">
      <c r="A235" s="3222">
        <v>196</v>
      </c>
      <c r="B235" s="3223" t="s">
        <v>5940</v>
      </c>
      <c r="C235" s="3223"/>
      <c r="D235" s="3223">
        <v>115</v>
      </c>
      <c r="E235" s="3223" t="s">
        <v>3851</v>
      </c>
      <c r="F235" s="3223">
        <v>22.62</v>
      </c>
      <c r="G235" s="3224">
        <f t="shared" si="8"/>
        <v>10.050000000000001</v>
      </c>
      <c r="H235" s="3224">
        <f t="shared" ref="H235:H291" si="9">H234</f>
        <v>0.44408023116547801</v>
      </c>
      <c r="I235" s="3227"/>
      <c r="J235" s="3316"/>
      <c r="K235" s="3317"/>
      <c r="L235" s="3208"/>
    </row>
    <row r="236" spans="1:12">
      <c r="A236" s="3222">
        <v>197</v>
      </c>
      <c r="B236" s="3223" t="s">
        <v>5940</v>
      </c>
      <c r="C236" s="3223"/>
      <c r="D236" s="3223">
        <v>116</v>
      </c>
      <c r="E236" s="3223" t="s">
        <v>3851</v>
      </c>
      <c r="F236" s="3223">
        <v>27.97</v>
      </c>
      <c r="G236" s="3224">
        <f t="shared" si="8"/>
        <v>12.42</v>
      </c>
      <c r="H236" s="3224">
        <f t="shared" si="9"/>
        <v>0.44408023116547801</v>
      </c>
      <c r="I236" s="3227"/>
      <c r="J236" s="3316"/>
      <c r="K236" s="3317"/>
      <c r="L236" s="3208"/>
    </row>
    <row r="237" spans="1:12">
      <c r="A237" s="3222">
        <v>198</v>
      </c>
      <c r="B237" s="3223" t="s">
        <v>5940</v>
      </c>
      <c r="C237" s="3223"/>
      <c r="D237" s="3223">
        <v>117</v>
      </c>
      <c r="E237" s="3223" t="s">
        <v>3851</v>
      </c>
      <c r="F237" s="3223">
        <v>27.62</v>
      </c>
      <c r="G237" s="3224">
        <f t="shared" si="8"/>
        <v>12.27</v>
      </c>
      <c r="H237" s="3224">
        <f t="shared" si="9"/>
        <v>0.44408023116547801</v>
      </c>
      <c r="I237" s="3227"/>
      <c r="J237" s="3316"/>
      <c r="K237" s="3317"/>
      <c r="L237" s="3208"/>
    </row>
    <row r="238" spans="1:12">
      <c r="A238" s="3222">
        <v>199</v>
      </c>
      <c r="B238" s="3223" t="s">
        <v>5940</v>
      </c>
      <c r="C238" s="3223"/>
      <c r="D238" s="3223">
        <v>118</v>
      </c>
      <c r="E238" s="3223" t="s">
        <v>3851</v>
      </c>
      <c r="F238" s="3223">
        <v>19.149999999999999</v>
      </c>
      <c r="G238" s="3224">
        <f t="shared" si="8"/>
        <v>8.5</v>
      </c>
      <c r="H238" s="3224">
        <f t="shared" si="9"/>
        <v>0.44408023116547801</v>
      </c>
      <c r="I238" s="3227"/>
      <c r="J238" s="3316"/>
      <c r="K238" s="3317"/>
      <c r="L238" s="3208"/>
    </row>
    <row r="239" spans="1:12">
      <c r="A239" s="3222">
        <v>200</v>
      </c>
      <c r="B239" s="3223" t="s">
        <v>5940</v>
      </c>
      <c r="C239" s="3223"/>
      <c r="D239" s="3223">
        <v>119</v>
      </c>
      <c r="E239" s="3223" t="s">
        <v>3851</v>
      </c>
      <c r="F239" s="3223">
        <v>19.149999999999999</v>
      </c>
      <c r="G239" s="3224">
        <f t="shared" si="8"/>
        <v>8.5</v>
      </c>
      <c r="H239" s="3224">
        <f t="shared" si="9"/>
        <v>0.44408023116547801</v>
      </c>
      <c r="I239" s="3227"/>
      <c r="J239" s="3316"/>
      <c r="K239" s="3317"/>
      <c r="L239" s="3208"/>
    </row>
    <row r="240" spans="1:12">
      <c r="A240" s="3222">
        <v>201</v>
      </c>
      <c r="B240" s="3223" t="s">
        <v>5940</v>
      </c>
      <c r="C240" s="3223"/>
      <c r="D240" s="3223">
        <v>120</v>
      </c>
      <c r="E240" s="3223" t="s">
        <v>3851</v>
      </c>
      <c r="F240" s="3223">
        <v>27.62</v>
      </c>
      <c r="G240" s="3224">
        <f t="shared" si="8"/>
        <v>12.27</v>
      </c>
      <c r="H240" s="3224">
        <f t="shared" si="9"/>
        <v>0.44408023116547801</v>
      </c>
      <c r="I240" s="3227"/>
      <c r="J240" s="3316"/>
      <c r="K240" s="3317"/>
      <c r="L240" s="3208"/>
    </row>
    <row r="241" spans="1:12">
      <c r="A241" s="3222">
        <v>202</v>
      </c>
      <c r="B241" s="3223" t="s">
        <v>5940</v>
      </c>
      <c r="C241" s="3223"/>
      <c r="D241" s="3223">
        <v>201</v>
      </c>
      <c r="E241" s="3223" t="s">
        <v>3851</v>
      </c>
      <c r="F241" s="3223">
        <v>18.329999999999998</v>
      </c>
      <c r="G241" s="3224">
        <f t="shared" si="8"/>
        <v>8.14</v>
      </c>
      <c r="H241" s="3224">
        <f t="shared" si="9"/>
        <v>0.44408023116547801</v>
      </c>
      <c r="I241" s="3227"/>
      <c r="J241" s="3316"/>
      <c r="K241" s="3317"/>
      <c r="L241" s="3208"/>
    </row>
    <row r="242" spans="1:12">
      <c r="A242" s="3222">
        <v>203</v>
      </c>
      <c r="B242" s="3223" t="s">
        <v>5940</v>
      </c>
      <c r="C242" s="3223"/>
      <c r="D242" s="3223">
        <v>203</v>
      </c>
      <c r="E242" s="3223" t="s">
        <v>3851</v>
      </c>
      <c r="F242" s="3223">
        <v>16.34</v>
      </c>
      <c r="G242" s="3224">
        <f t="shared" si="8"/>
        <v>7.26</v>
      </c>
      <c r="H242" s="3224">
        <f t="shared" si="9"/>
        <v>0.44408023116547801</v>
      </c>
      <c r="I242" s="3227"/>
      <c r="J242" s="3316"/>
      <c r="K242" s="3317"/>
      <c r="L242" s="3208"/>
    </row>
    <row r="243" spans="1:12">
      <c r="A243" s="3222">
        <v>204</v>
      </c>
      <c r="B243" s="3223" t="s">
        <v>5940</v>
      </c>
      <c r="C243" s="3223"/>
      <c r="D243" s="3223">
        <v>204</v>
      </c>
      <c r="E243" s="3223" t="s">
        <v>3851</v>
      </c>
      <c r="F243" s="3223">
        <v>17.02</v>
      </c>
      <c r="G243" s="3224">
        <f t="shared" si="8"/>
        <v>7.56</v>
      </c>
      <c r="H243" s="3224">
        <f t="shared" si="9"/>
        <v>0.44408023116547801</v>
      </c>
      <c r="I243" s="3227"/>
      <c r="J243" s="3320"/>
      <c r="K243" s="3321"/>
      <c r="L243" s="3208"/>
    </row>
    <row r="244" spans="1:12">
      <c r="A244" s="3222">
        <v>205</v>
      </c>
      <c r="B244" s="3223" t="s">
        <v>3472</v>
      </c>
      <c r="C244" s="3223" t="s">
        <v>5930</v>
      </c>
      <c r="D244" s="3223">
        <v>101</v>
      </c>
      <c r="E244" s="3223" t="s">
        <v>3395</v>
      </c>
      <c r="F244" s="3223">
        <v>184.9</v>
      </c>
      <c r="G244" s="3224">
        <f t="shared" si="8"/>
        <v>82.11</v>
      </c>
      <c r="H244" s="3224">
        <f t="shared" si="9"/>
        <v>0.44408023116547801</v>
      </c>
      <c r="I244" s="3227"/>
      <c r="J244" s="3316"/>
      <c r="K244" s="3317"/>
      <c r="L244" s="3208"/>
    </row>
    <row r="245" spans="1:12">
      <c r="A245" s="3222">
        <v>206</v>
      </c>
      <c r="B245" s="3223" t="s">
        <v>3472</v>
      </c>
      <c r="C245" s="3223" t="s">
        <v>5930</v>
      </c>
      <c r="D245" s="3223">
        <v>301</v>
      </c>
      <c r="E245" s="3223" t="s">
        <v>3395</v>
      </c>
      <c r="F245" s="3223">
        <v>184.94</v>
      </c>
      <c r="G245" s="3224">
        <f t="shared" si="8"/>
        <v>82.13</v>
      </c>
      <c r="H245" s="3224">
        <f t="shared" si="9"/>
        <v>0.44408023116547801</v>
      </c>
      <c r="I245" s="3227"/>
      <c r="J245" s="3316"/>
      <c r="K245" s="3317"/>
      <c r="L245" s="3208"/>
    </row>
    <row r="246" spans="1:12">
      <c r="A246" s="3222">
        <v>207</v>
      </c>
      <c r="B246" s="3223" t="s">
        <v>3472</v>
      </c>
      <c r="C246" s="3223" t="s">
        <v>5931</v>
      </c>
      <c r="D246" s="3223">
        <v>101</v>
      </c>
      <c r="E246" s="3223" t="s">
        <v>3395</v>
      </c>
      <c r="F246" s="3223">
        <v>161.79</v>
      </c>
      <c r="G246" s="3224">
        <f t="shared" si="8"/>
        <v>71.849999999999994</v>
      </c>
      <c r="H246" s="3224">
        <f t="shared" si="9"/>
        <v>0.44408023116547801</v>
      </c>
      <c r="I246" s="3227"/>
      <c r="J246" s="3316"/>
      <c r="K246" s="3317"/>
      <c r="L246" s="3208"/>
    </row>
    <row r="247" spans="1:12">
      <c r="A247" s="3222">
        <v>208</v>
      </c>
      <c r="B247" s="3223" t="s">
        <v>3472</v>
      </c>
      <c r="C247" s="3223" t="s">
        <v>5931</v>
      </c>
      <c r="D247" s="3223">
        <v>102</v>
      </c>
      <c r="E247" s="3223" t="s">
        <v>3395</v>
      </c>
      <c r="F247" s="3223">
        <v>192.47</v>
      </c>
      <c r="G247" s="3224">
        <f t="shared" si="8"/>
        <v>85.47</v>
      </c>
      <c r="H247" s="3224">
        <f t="shared" si="9"/>
        <v>0.44408023116547801</v>
      </c>
      <c r="I247" s="3227"/>
      <c r="J247" s="3316"/>
      <c r="K247" s="3317"/>
      <c r="L247" s="3208"/>
    </row>
    <row r="248" spans="1:12">
      <c r="A248" s="3222">
        <v>209</v>
      </c>
      <c r="B248" s="3223" t="s">
        <v>5941</v>
      </c>
      <c r="C248" s="3223"/>
      <c r="D248" s="3223">
        <v>101</v>
      </c>
      <c r="E248" s="3223" t="s">
        <v>3851</v>
      </c>
      <c r="F248" s="3223">
        <v>27.99</v>
      </c>
      <c r="G248" s="3224">
        <f t="shared" si="8"/>
        <v>12.43</v>
      </c>
      <c r="H248" s="3224">
        <f t="shared" si="9"/>
        <v>0.44408023116547801</v>
      </c>
      <c r="I248" s="3227"/>
      <c r="J248" s="3320"/>
      <c r="K248" s="3321"/>
      <c r="L248" s="3208"/>
    </row>
    <row r="249" spans="1:12">
      <c r="A249" s="3222">
        <v>210</v>
      </c>
      <c r="B249" s="3223" t="s">
        <v>5941</v>
      </c>
      <c r="C249" s="3223"/>
      <c r="D249" s="3223">
        <v>102</v>
      </c>
      <c r="E249" s="3223" t="s">
        <v>3851</v>
      </c>
      <c r="F249" s="3223">
        <v>22.8</v>
      </c>
      <c r="G249" s="3224">
        <f t="shared" si="8"/>
        <v>10.130000000000001</v>
      </c>
      <c r="H249" s="3224">
        <f t="shared" si="9"/>
        <v>0.44408023116547801</v>
      </c>
      <c r="I249" s="3227"/>
      <c r="J249" s="3316"/>
      <c r="K249" s="3317"/>
      <c r="L249" s="3208"/>
    </row>
    <row r="250" spans="1:12">
      <c r="A250" s="3222">
        <v>211</v>
      </c>
      <c r="B250" s="3223" t="s">
        <v>5941</v>
      </c>
      <c r="C250" s="3223"/>
      <c r="D250" s="3223">
        <v>103</v>
      </c>
      <c r="E250" s="3223" t="s">
        <v>3851</v>
      </c>
      <c r="F250" s="3223">
        <v>47.99</v>
      </c>
      <c r="G250" s="3224">
        <f t="shared" si="8"/>
        <v>21.31</v>
      </c>
      <c r="H250" s="3224">
        <f t="shared" si="9"/>
        <v>0.44408023116547801</v>
      </c>
      <c r="I250" s="3227"/>
      <c r="J250" s="3316"/>
      <c r="K250" s="3317"/>
      <c r="L250" s="3208"/>
    </row>
    <row r="251" spans="1:12">
      <c r="A251" s="3222">
        <v>212</v>
      </c>
      <c r="B251" s="3223" t="s">
        <v>5941</v>
      </c>
      <c r="C251" s="3223"/>
      <c r="D251" s="3223">
        <v>104</v>
      </c>
      <c r="E251" s="3223" t="s">
        <v>3851</v>
      </c>
      <c r="F251" s="3223">
        <v>49.61</v>
      </c>
      <c r="G251" s="3224">
        <f t="shared" si="8"/>
        <v>22.03</v>
      </c>
      <c r="H251" s="3224">
        <f t="shared" si="9"/>
        <v>0.44408023116547801</v>
      </c>
      <c r="I251" s="3227"/>
      <c r="J251" s="3316"/>
      <c r="K251" s="3317"/>
      <c r="L251" s="3208"/>
    </row>
    <row r="252" spans="1:12">
      <c r="A252" s="3222">
        <v>213</v>
      </c>
      <c r="B252" s="3223" t="s">
        <v>5941</v>
      </c>
      <c r="C252" s="3223"/>
      <c r="D252" s="3223">
        <v>105</v>
      </c>
      <c r="E252" s="3223" t="s">
        <v>3851</v>
      </c>
      <c r="F252" s="3223">
        <v>23.64</v>
      </c>
      <c r="G252" s="3224">
        <f t="shared" si="8"/>
        <v>10.5</v>
      </c>
      <c r="H252" s="3224">
        <f t="shared" si="9"/>
        <v>0.44408023116547801</v>
      </c>
      <c r="I252" s="3227"/>
      <c r="J252" s="3316"/>
      <c r="K252" s="3317"/>
      <c r="L252" s="3208"/>
    </row>
    <row r="253" spans="1:12">
      <c r="A253" s="3222">
        <v>214</v>
      </c>
      <c r="B253" s="3223" t="s">
        <v>5941</v>
      </c>
      <c r="C253" s="3223"/>
      <c r="D253" s="3223">
        <v>107</v>
      </c>
      <c r="E253" s="3223" t="s">
        <v>3851</v>
      </c>
      <c r="F253" s="3223">
        <v>56.68</v>
      </c>
      <c r="G253" s="3224">
        <f t="shared" si="8"/>
        <v>25.17</v>
      </c>
      <c r="H253" s="3224">
        <f t="shared" si="9"/>
        <v>0.44408023116547801</v>
      </c>
      <c r="I253" s="3227"/>
      <c r="J253" s="3316"/>
      <c r="K253" s="3317"/>
      <c r="L253" s="3208"/>
    </row>
    <row r="254" spans="1:12">
      <c r="A254" s="3222">
        <v>215</v>
      </c>
      <c r="B254" s="3223" t="s">
        <v>5941</v>
      </c>
      <c r="C254" s="3223"/>
      <c r="D254" s="3223">
        <v>108</v>
      </c>
      <c r="E254" s="3223" t="s">
        <v>3851</v>
      </c>
      <c r="F254" s="3223">
        <v>41.11</v>
      </c>
      <c r="G254" s="3224">
        <f t="shared" si="8"/>
        <v>18.260000000000002</v>
      </c>
      <c r="H254" s="3224">
        <f t="shared" si="9"/>
        <v>0.44408023116547801</v>
      </c>
      <c r="I254" s="3227"/>
      <c r="J254" s="3316"/>
      <c r="K254" s="3317"/>
      <c r="L254" s="3208"/>
    </row>
    <row r="255" spans="1:12">
      <c r="A255" s="3222">
        <v>216</v>
      </c>
      <c r="B255" s="3223" t="s">
        <v>5941</v>
      </c>
      <c r="C255" s="3223"/>
      <c r="D255" s="3223">
        <v>109</v>
      </c>
      <c r="E255" s="3223" t="s">
        <v>3851</v>
      </c>
      <c r="F255" s="3223">
        <v>41.11</v>
      </c>
      <c r="G255" s="3224">
        <f t="shared" si="8"/>
        <v>18.260000000000002</v>
      </c>
      <c r="H255" s="3224">
        <f t="shared" si="9"/>
        <v>0.44408023116547801</v>
      </c>
      <c r="I255" s="3227"/>
      <c r="J255" s="3316"/>
      <c r="K255" s="3317"/>
      <c r="L255" s="3208"/>
    </row>
    <row r="256" spans="1:12">
      <c r="A256" s="3222">
        <v>217</v>
      </c>
      <c r="B256" s="3223" t="s">
        <v>5941</v>
      </c>
      <c r="C256" s="3223"/>
      <c r="D256" s="3223">
        <v>110</v>
      </c>
      <c r="E256" s="3223" t="s">
        <v>3851</v>
      </c>
      <c r="F256" s="3223">
        <v>56.68</v>
      </c>
      <c r="G256" s="3224">
        <f t="shared" si="8"/>
        <v>25.17</v>
      </c>
      <c r="H256" s="3224">
        <f t="shared" si="9"/>
        <v>0.44408023116547801</v>
      </c>
      <c r="I256" s="3227"/>
      <c r="J256" s="3316"/>
      <c r="K256" s="3317"/>
      <c r="L256" s="3208"/>
    </row>
    <row r="257" spans="1:12">
      <c r="A257" s="3222">
        <v>218</v>
      </c>
      <c r="B257" s="3223" t="s">
        <v>5941</v>
      </c>
      <c r="C257" s="3223"/>
      <c r="D257" s="3223">
        <v>112</v>
      </c>
      <c r="E257" s="3223" t="s">
        <v>3851</v>
      </c>
      <c r="F257" s="3223">
        <v>23.64</v>
      </c>
      <c r="G257" s="3224">
        <f t="shared" si="8"/>
        <v>10.5</v>
      </c>
      <c r="H257" s="3224">
        <f t="shared" si="9"/>
        <v>0.44408023116547801</v>
      </c>
      <c r="I257" s="3227"/>
      <c r="J257" s="3316"/>
      <c r="K257" s="3317"/>
      <c r="L257" s="3208"/>
    </row>
    <row r="258" spans="1:12">
      <c r="A258" s="3222">
        <v>219</v>
      </c>
      <c r="B258" s="3223" t="s">
        <v>5941</v>
      </c>
      <c r="C258" s="3223"/>
      <c r="D258" s="3223">
        <v>113</v>
      </c>
      <c r="E258" s="3223" t="s">
        <v>3851</v>
      </c>
      <c r="F258" s="3223">
        <v>53.72</v>
      </c>
      <c r="G258" s="3224">
        <f t="shared" si="8"/>
        <v>23.86</v>
      </c>
      <c r="H258" s="3224">
        <f t="shared" si="9"/>
        <v>0.44408023116547801</v>
      </c>
      <c r="I258" s="3227"/>
      <c r="J258" s="3320"/>
      <c r="K258" s="3321"/>
      <c r="L258" s="3208"/>
    </row>
    <row r="259" spans="1:12">
      <c r="A259" s="3222">
        <v>220</v>
      </c>
      <c r="B259" s="3223" t="s">
        <v>5941</v>
      </c>
      <c r="C259" s="3223"/>
      <c r="D259" s="3223">
        <v>114</v>
      </c>
      <c r="E259" s="3223" t="s">
        <v>3851</v>
      </c>
      <c r="F259" s="3223">
        <v>46.5</v>
      </c>
      <c r="G259" s="3224">
        <f t="shared" si="8"/>
        <v>20.65</v>
      </c>
      <c r="H259" s="3224">
        <f t="shared" si="9"/>
        <v>0.44408023116547801</v>
      </c>
      <c r="I259" s="3227"/>
      <c r="J259" s="3316"/>
      <c r="K259" s="3317"/>
      <c r="L259" s="3208"/>
    </row>
    <row r="260" spans="1:12">
      <c r="A260" s="3222">
        <v>221</v>
      </c>
      <c r="B260" s="3223" t="s">
        <v>5941</v>
      </c>
      <c r="C260" s="3223"/>
      <c r="D260" s="3223">
        <v>115</v>
      </c>
      <c r="E260" s="3223" t="s">
        <v>3851</v>
      </c>
      <c r="F260" s="3223">
        <v>16.07</v>
      </c>
      <c r="G260" s="3224">
        <f t="shared" si="8"/>
        <v>7.14</v>
      </c>
      <c r="H260" s="3224">
        <f t="shared" si="9"/>
        <v>0.44408023116547801</v>
      </c>
      <c r="I260" s="3227"/>
      <c r="J260" s="3318"/>
      <c r="K260" s="3319"/>
      <c r="L260" s="3208"/>
    </row>
    <row r="261" spans="1:12">
      <c r="A261" s="3222">
        <v>222</v>
      </c>
      <c r="B261" s="3223" t="s">
        <v>5941</v>
      </c>
      <c r="C261" s="3223"/>
      <c r="D261" s="3223">
        <v>116</v>
      </c>
      <c r="E261" s="3223" t="s">
        <v>3851</v>
      </c>
      <c r="F261" s="3223">
        <v>31</v>
      </c>
      <c r="G261" s="3224">
        <f t="shared" si="8"/>
        <v>13.77</v>
      </c>
      <c r="H261" s="3224">
        <f t="shared" si="9"/>
        <v>0.44408023116547801</v>
      </c>
      <c r="I261" s="3227"/>
      <c r="J261" s="3316"/>
      <c r="K261" s="3317"/>
      <c r="L261" s="3208"/>
    </row>
    <row r="262" spans="1:12">
      <c r="A262" s="3222">
        <v>223</v>
      </c>
      <c r="B262" s="3223" t="s">
        <v>5941</v>
      </c>
      <c r="C262" s="3223"/>
      <c r="D262" s="3223">
        <v>119</v>
      </c>
      <c r="E262" s="3223" t="s">
        <v>3851</v>
      </c>
      <c r="F262" s="3223">
        <v>19.16</v>
      </c>
      <c r="G262" s="3224">
        <f t="shared" si="8"/>
        <v>8.51</v>
      </c>
      <c r="H262" s="3224">
        <f t="shared" si="9"/>
        <v>0.44408023116547801</v>
      </c>
      <c r="I262" s="3227"/>
      <c r="J262" s="3316"/>
      <c r="K262" s="3317"/>
      <c r="L262" s="3208"/>
    </row>
    <row r="263" spans="1:12">
      <c r="A263" s="3222">
        <v>224</v>
      </c>
      <c r="B263" s="3223" t="s">
        <v>5941</v>
      </c>
      <c r="C263" s="3223"/>
      <c r="D263" s="3223">
        <v>120</v>
      </c>
      <c r="E263" s="3223" t="s">
        <v>3851</v>
      </c>
      <c r="F263" s="3223">
        <v>27.63</v>
      </c>
      <c r="G263" s="3224">
        <f t="shared" si="8"/>
        <v>12.27</v>
      </c>
      <c r="H263" s="3224">
        <f t="shared" si="9"/>
        <v>0.44408023116547801</v>
      </c>
      <c r="I263" s="3227"/>
      <c r="J263" s="3316"/>
      <c r="K263" s="3317"/>
      <c r="L263" s="3208"/>
    </row>
    <row r="264" spans="1:12">
      <c r="A264" s="3222">
        <v>225</v>
      </c>
      <c r="B264" s="3223" t="s">
        <v>5941</v>
      </c>
      <c r="C264" s="3223"/>
      <c r="D264" s="3223">
        <v>201</v>
      </c>
      <c r="E264" s="3223" t="s">
        <v>3851</v>
      </c>
      <c r="F264" s="3223">
        <v>16.350000000000001</v>
      </c>
      <c r="G264" s="3224">
        <f t="shared" si="8"/>
        <v>7.26</v>
      </c>
      <c r="H264" s="3224">
        <f t="shared" si="9"/>
        <v>0.44408023116547801</v>
      </c>
      <c r="I264" s="3227"/>
      <c r="J264" s="3316"/>
      <c r="K264" s="3317"/>
      <c r="L264" s="3208"/>
    </row>
    <row r="265" spans="1:12">
      <c r="A265" s="3222">
        <v>226</v>
      </c>
      <c r="B265" s="3223" t="s">
        <v>5941</v>
      </c>
      <c r="C265" s="3223"/>
      <c r="D265" s="3223">
        <v>203</v>
      </c>
      <c r="E265" s="3223" t="s">
        <v>3851</v>
      </c>
      <c r="F265" s="3223">
        <v>17.78</v>
      </c>
      <c r="G265" s="3224">
        <f t="shared" si="8"/>
        <v>7.9</v>
      </c>
      <c r="H265" s="3224">
        <f t="shared" si="9"/>
        <v>0.44408023116547801</v>
      </c>
      <c r="I265" s="3227"/>
      <c r="J265" s="3316"/>
      <c r="K265" s="3317"/>
      <c r="L265" s="3208"/>
    </row>
    <row r="266" spans="1:12">
      <c r="A266" s="3222">
        <v>227</v>
      </c>
      <c r="B266" s="3223" t="s">
        <v>5941</v>
      </c>
      <c r="C266" s="3223"/>
      <c r="D266" s="3223">
        <v>204</v>
      </c>
      <c r="E266" s="3223" t="s">
        <v>3851</v>
      </c>
      <c r="F266" s="3223">
        <v>20.59</v>
      </c>
      <c r="G266" s="3224">
        <f t="shared" si="8"/>
        <v>9.14</v>
      </c>
      <c r="H266" s="3224">
        <f t="shared" si="9"/>
        <v>0.44408023116547801</v>
      </c>
      <c r="I266" s="3227"/>
      <c r="J266" s="3316"/>
      <c r="K266" s="3317"/>
      <c r="L266" s="3208"/>
    </row>
    <row r="267" spans="1:12">
      <c r="A267" s="3222">
        <v>228</v>
      </c>
      <c r="B267" s="3223" t="s">
        <v>3481</v>
      </c>
      <c r="C267" s="3223" t="s">
        <v>5930</v>
      </c>
      <c r="D267" s="3223">
        <v>102</v>
      </c>
      <c r="E267" s="3223" t="s">
        <v>3395</v>
      </c>
      <c r="F267" s="3223">
        <v>168.09</v>
      </c>
      <c r="G267" s="3224">
        <f t="shared" si="8"/>
        <v>74.650000000000006</v>
      </c>
      <c r="H267" s="3224">
        <f t="shared" si="9"/>
        <v>0.44408023116547801</v>
      </c>
      <c r="I267" s="3227"/>
      <c r="J267" s="3316"/>
      <c r="K267" s="3317"/>
      <c r="L267" s="3208"/>
    </row>
    <row r="268" spans="1:12">
      <c r="A268" s="3222">
        <v>231</v>
      </c>
      <c r="B268" s="3223" t="s">
        <v>3481</v>
      </c>
      <c r="C268" s="3223" t="s">
        <v>5931</v>
      </c>
      <c r="D268" s="3223">
        <v>101</v>
      </c>
      <c r="E268" s="3223" t="s">
        <v>3395</v>
      </c>
      <c r="F268" s="3223">
        <v>168.09</v>
      </c>
      <c r="G268" s="3224">
        <f t="shared" si="8"/>
        <v>74.650000000000006</v>
      </c>
      <c r="H268" s="3224">
        <f>H272</f>
        <v>0.44408023116547801</v>
      </c>
      <c r="I268" s="3227"/>
      <c r="J268" s="3320"/>
      <c r="K268" s="3321"/>
      <c r="L268" s="3208"/>
    </row>
    <row r="269" spans="1:12">
      <c r="A269" s="3222">
        <v>232</v>
      </c>
      <c r="B269" s="3223" t="s">
        <v>3481</v>
      </c>
      <c r="C269" s="3223" t="s">
        <v>5931</v>
      </c>
      <c r="D269" s="3223">
        <v>302</v>
      </c>
      <c r="E269" s="3223" t="s">
        <v>3395</v>
      </c>
      <c r="F269" s="3223">
        <v>184.5</v>
      </c>
      <c r="G269" s="3224">
        <f t="shared" si="8"/>
        <v>81.93</v>
      </c>
      <c r="H269" s="3224">
        <f>H268</f>
        <v>0.44408023116547801</v>
      </c>
      <c r="I269" s="3227"/>
      <c r="J269" s="3320"/>
      <c r="K269" s="3321"/>
      <c r="L269" s="3208"/>
    </row>
    <row r="270" spans="1:12">
      <c r="A270" s="3222">
        <v>233</v>
      </c>
      <c r="B270" s="3223" t="s">
        <v>3481</v>
      </c>
      <c r="C270" s="3223" t="s">
        <v>5931</v>
      </c>
      <c r="D270" s="3223">
        <v>402</v>
      </c>
      <c r="E270" s="3223" t="s">
        <v>3395</v>
      </c>
      <c r="F270" s="3223">
        <v>184.5</v>
      </c>
      <c r="G270" s="3224">
        <f t="shared" si="8"/>
        <v>81.93</v>
      </c>
      <c r="H270" s="3224">
        <f>H269</f>
        <v>0.44408023116547801</v>
      </c>
      <c r="I270" s="3227"/>
      <c r="J270" s="3316"/>
      <c r="K270" s="3317"/>
      <c r="L270" s="3208"/>
    </row>
    <row r="271" spans="1:12">
      <c r="A271" s="3222">
        <v>229</v>
      </c>
      <c r="B271" s="3223" t="s">
        <v>3481</v>
      </c>
      <c r="C271" s="3223" t="s">
        <v>5933</v>
      </c>
      <c r="D271" s="3223">
        <v>101</v>
      </c>
      <c r="E271" s="3223" t="s">
        <v>3395</v>
      </c>
      <c r="F271" s="3223">
        <v>168.09</v>
      </c>
      <c r="G271" s="3224">
        <f t="shared" si="8"/>
        <v>74.650000000000006</v>
      </c>
      <c r="H271" s="3224">
        <f>H267</f>
        <v>0.44408023116547801</v>
      </c>
      <c r="I271" s="3227"/>
      <c r="J271" s="3318"/>
      <c r="K271" s="3319"/>
      <c r="L271" s="3208"/>
    </row>
    <row r="272" spans="1:12">
      <c r="A272" s="3222">
        <v>230</v>
      </c>
      <c r="B272" s="3223" t="s">
        <v>3481</v>
      </c>
      <c r="C272" s="3223" t="s">
        <v>5933</v>
      </c>
      <c r="D272" s="3223">
        <v>302</v>
      </c>
      <c r="E272" s="3223" t="s">
        <v>3395</v>
      </c>
      <c r="F272" s="3223">
        <v>185</v>
      </c>
      <c r="G272" s="3224">
        <f t="shared" si="8"/>
        <v>82.15</v>
      </c>
      <c r="H272" s="3224">
        <f>H271</f>
        <v>0.44408023116547801</v>
      </c>
      <c r="I272" s="3227"/>
      <c r="J272" s="3316"/>
      <c r="K272" s="3317"/>
      <c r="L272" s="3208"/>
    </row>
    <row r="273" spans="1:12">
      <c r="A273" s="3222">
        <v>234</v>
      </c>
      <c r="B273" s="3223" t="s">
        <v>5942</v>
      </c>
      <c r="C273" s="3223"/>
      <c r="D273" s="3223">
        <v>106</v>
      </c>
      <c r="E273" s="3223" t="s">
        <v>3851</v>
      </c>
      <c r="F273" s="3223">
        <v>23.69</v>
      </c>
      <c r="G273" s="3224">
        <f t="shared" si="8"/>
        <v>10.52</v>
      </c>
      <c r="H273" s="3224">
        <f>H270</f>
        <v>0.44408023116547801</v>
      </c>
      <c r="I273" s="3227"/>
      <c r="J273" s="3316"/>
      <c r="K273" s="3317"/>
      <c r="L273" s="3208"/>
    </row>
    <row r="274" spans="1:12">
      <c r="A274" s="3222">
        <v>235</v>
      </c>
      <c r="B274" s="3223" t="s">
        <v>5942</v>
      </c>
      <c r="C274" s="3223"/>
      <c r="D274" s="3223">
        <v>107</v>
      </c>
      <c r="E274" s="3223" t="s">
        <v>3851</v>
      </c>
      <c r="F274" s="3223">
        <v>56.77</v>
      </c>
      <c r="G274" s="3224">
        <f t="shared" si="8"/>
        <v>25.21</v>
      </c>
      <c r="H274" s="3224">
        <f t="shared" si="9"/>
        <v>0.44408023116547801</v>
      </c>
      <c r="I274" s="3227"/>
      <c r="J274" s="3316"/>
      <c r="K274" s="3317"/>
      <c r="L274" s="3208"/>
    </row>
    <row r="275" spans="1:12">
      <c r="A275" s="3222">
        <v>236</v>
      </c>
      <c r="B275" s="3223" t="s">
        <v>5942</v>
      </c>
      <c r="C275" s="3223"/>
      <c r="D275" s="3223">
        <v>108</v>
      </c>
      <c r="E275" s="3223" t="s">
        <v>3851</v>
      </c>
      <c r="F275" s="3223">
        <v>41.51</v>
      </c>
      <c r="G275" s="3224">
        <f t="shared" si="8"/>
        <v>18.43</v>
      </c>
      <c r="H275" s="3224">
        <f t="shared" si="9"/>
        <v>0.44408023116547801</v>
      </c>
      <c r="I275" s="3227"/>
      <c r="J275" s="3316"/>
      <c r="K275" s="3317"/>
      <c r="L275" s="3208"/>
    </row>
    <row r="276" spans="1:12">
      <c r="A276" s="3222">
        <v>237</v>
      </c>
      <c r="B276" s="3223" t="s">
        <v>5942</v>
      </c>
      <c r="C276" s="3223"/>
      <c r="D276" s="3223">
        <v>109</v>
      </c>
      <c r="E276" s="3223" t="s">
        <v>3851</v>
      </c>
      <c r="F276" s="3223">
        <v>41.51</v>
      </c>
      <c r="G276" s="3224">
        <f t="shared" si="8"/>
        <v>18.43</v>
      </c>
      <c r="H276" s="3224">
        <f t="shared" si="9"/>
        <v>0.44408023116547801</v>
      </c>
      <c r="I276" s="3227"/>
      <c r="J276" s="3316"/>
      <c r="K276" s="3317"/>
      <c r="L276" s="3208"/>
    </row>
    <row r="277" spans="1:12">
      <c r="A277" s="3222">
        <v>238</v>
      </c>
      <c r="B277" s="3223" t="s">
        <v>5942</v>
      </c>
      <c r="C277" s="3223"/>
      <c r="D277" s="3223">
        <v>110</v>
      </c>
      <c r="E277" s="3223" t="s">
        <v>3851</v>
      </c>
      <c r="F277" s="3223">
        <v>56.77</v>
      </c>
      <c r="G277" s="3224">
        <f t="shared" si="8"/>
        <v>25.21</v>
      </c>
      <c r="H277" s="3224">
        <f t="shared" si="9"/>
        <v>0.44408023116547801</v>
      </c>
      <c r="I277" s="3227"/>
      <c r="J277" s="3316"/>
      <c r="K277" s="3317"/>
      <c r="L277" s="3208"/>
    </row>
    <row r="278" spans="1:12">
      <c r="A278" s="3222">
        <v>239</v>
      </c>
      <c r="B278" s="3223" t="s">
        <v>5942</v>
      </c>
      <c r="C278" s="3223"/>
      <c r="D278" s="3223">
        <v>111</v>
      </c>
      <c r="E278" s="3223" t="s">
        <v>3851</v>
      </c>
      <c r="F278" s="3223">
        <v>23.69</v>
      </c>
      <c r="G278" s="3224">
        <f t="shared" si="8"/>
        <v>10.52</v>
      </c>
      <c r="H278" s="3224">
        <f t="shared" si="9"/>
        <v>0.44408023116547801</v>
      </c>
      <c r="I278" s="3227"/>
      <c r="J278" s="3316"/>
      <c r="K278" s="3317"/>
      <c r="L278" s="3208"/>
    </row>
    <row r="279" spans="1:12">
      <c r="A279" s="3222">
        <v>240</v>
      </c>
      <c r="B279" s="3223" t="s">
        <v>5942</v>
      </c>
      <c r="C279" s="3223"/>
      <c r="D279" s="3223">
        <v>123</v>
      </c>
      <c r="E279" s="3223" t="s">
        <v>3851</v>
      </c>
      <c r="F279" s="3223">
        <v>27.69</v>
      </c>
      <c r="G279" s="3224">
        <f t="shared" si="8"/>
        <v>12.3</v>
      </c>
      <c r="H279" s="3224">
        <f t="shared" si="9"/>
        <v>0.44408023116547801</v>
      </c>
      <c r="I279" s="3227"/>
      <c r="J279" s="3320"/>
      <c r="K279" s="3321"/>
      <c r="L279" s="3208"/>
    </row>
    <row r="280" spans="1:12">
      <c r="A280" s="3222">
        <v>241</v>
      </c>
      <c r="B280" s="3223" t="s">
        <v>5942</v>
      </c>
      <c r="C280" s="3223"/>
      <c r="D280" s="3223">
        <v>124</v>
      </c>
      <c r="E280" s="3223" t="s">
        <v>3851</v>
      </c>
      <c r="F280" s="3223">
        <v>19.2</v>
      </c>
      <c r="G280" s="3224">
        <f t="shared" si="8"/>
        <v>8.5299999999999994</v>
      </c>
      <c r="H280" s="3224">
        <f t="shared" si="9"/>
        <v>0.44408023116547801</v>
      </c>
      <c r="I280" s="3227"/>
      <c r="J280" s="3320"/>
      <c r="K280" s="3321"/>
      <c r="L280" s="3208"/>
    </row>
    <row r="281" spans="1:12">
      <c r="A281" s="3222">
        <v>242</v>
      </c>
      <c r="B281" s="3223" t="s">
        <v>5942</v>
      </c>
      <c r="C281" s="3223"/>
      <c r="D281" s="3223">
        <v>125</v>
      </c>
      <c r="E281" s="3223" t="s">
        <v>3851</v>
      </c>
      <c r="F281" s="3223">
        <v>19.2</v>
      </c>
      <c r="G281" s="3224">
        <f t="shared" si="8"/>
        <v>8.5299999999999994</v>
      </c>
      <c r="H281" s="3224">
        <f t="shared" si="9"/>
        <v>0.44408023116547801</v>
      </c>
      <c r="I281" s="3227"/>
      <c r="J281" s="3316"/>
      <c r="K281" s="3317"/>
      <c r="L281" s="3208"/>
    </row>
    <row r="282" spans="1:12">
      <c r="A282" s="3222">
        <v>243</v>
      </c>
      <c r="B282" s="3223" t="s">
        <v>5942</v>
      </c>
      <c r="C282" s="3223"/>
      <c r="D282" s="3223">
        <v>127</v>
      </c>
      <c r="E282" s="3223" t="s">
        <v>3851</v>
      </c>
      <c r="F282" s="3223">
        <v>27.69</v>
      </c>
      <c r="G282" s="3224">
        <f t="shared" si="8"/>
        <v>12.3</v>
      </c>
      <c r="H282" s="3224">
        <f t="shared" si="9"/>
        <v>0.44408023116547801</v>
      </c>
      <c r="I282" s="3227"/>
      <c r="J282" s="3316"/>
      <c r="K282" s="3317"/>
      <c r="L282" s="3208"/>
    </row>
    <row r="283" spans="1:12">
      <c r="A283" s="3222">
        <v>244</v>
      </c>
      <c r="B283" s="3223" t="s">
        <v>5942</v>
      </c>
      <c r="C283" s="3223"/>
      <c r="D283" s="3223">
        <v>128</v>
      </c>
      <c r="E283" s="3223" t="s">
        <v>3851</v>
      </c>
      <c r="F283" s="3223">
        <v>19.84</v>
      </c>
      <c r="G283" s="3224">
        <f t="shared" si="8"/>
        <v>8.81</v>
      </c>
      <c r="H283" s="3224">
        <f t="shared" si="9"/>
        <v>0.44408023116547801</v>
      </c>
      <c r="I283" s="3227"/>
      <c r="J283" s="3316"/>
      <c r="K283" s="3317"/>
      <c r="L283" s="3208"/>
    </row>
    <row r="284" spans="1:12">
      <c r="A284" s="3222">
        <v>245</v>
      </c>
      <c r="B284" s="3223" t="s">
        <v>5942</v>
      </c>
      <c r="C284" s="3223"/>
      <c r="D284" s="3223">
        <v>129</v>
      </c>
      <c r="E284" s="3223" t="s">
        <v>3851</v>
      </c>
      <c r="F284" s="3223">
        <v>19.84</v>
      </c>
      <c r="G284" s="3224">
        <f t="shared" si="8"/>
        <v>8.81</v>
      </c>
      <c r="H284" s="3224">
        <f t="shared" si="9"/>
        <v>0.44408023116547801</v>
      </c>
      <c r="I284" s="3227"/>
      <c r="J284" s="3316"/>
      <c r="K284" s="3317"/>
      <c r="L284" s="3208"/>
    </row>
    <row r="285" spans="1:12">
      <c r="A285" s="3222">
        <v>246</v>
      </c>
      <c r="B285" s="3223" t="s">
        <v>5942</v>
      </c>
      <c r="C285" s="3223"/>
      <c r="D285" s="3223">
        <v>130</v>
      </c>
      <c r="E285" s="3223" t="s">
        <v>3851</v>
      </c>
      <c r="F285" s="3223">
        <v>27.69</v>
      </c>
      <c r="G285" s="3224">
        <f t="shared" si="8"/>
        <v>12.3</v>
      </c>
      <c r="H285" s="3224">
        <f t="shared" si="9"/>
        <v>0.44408023116547801</v>
      </c>
      <c r="I285" s="3227"/>
      <c r="J285" s="3316"/>
      <c r="K285" s="3317"/>
      <c r="L285" s="3208"/>
    </row>
    <row r="286" spans="1:12">
      <c r="A286" s="3222">
        <v>247</v>
      </c>
      <c r="B286" s="3223" t="s">
        <v>5942</v>
      </c>
      <c r="C286" s="3223"/>
      <c r="D286" s="3223">
        <v>202</v>
      </c>
      <c r="E286" s="3223" t="s">
        <v>3851</v>
      </c>
      <c r="F286" s="3223">
        <v>16.39</v>
      </c>
      <c r="G286" s="3224">
        <f t="shared" si="8"/>
        <v>7.28</v>
      </c>
      <c r="H286" s="3224">
        <f t="shared" si="9"/>
        <v>0.44408023116547801</v>
      </c>
      <c r="I286" s="3227"/>
      <c r="J286" s="3316"/>
      <c r="K286" s="3317"/>
      <c r="L286" s="3208"/>
    </row>
    <row r="287" spans="1:12">
      <c r="A287" s="3222">
        <v>248</v>
      </c>
      <c r="B287" s="3223" t="s">
        <v>5942</v>
      </c>
      <c r="C287" s="3223"/>
      <c r="D287" s="3223">
        <v>203</v>
      </c>
      <c r="E287" s="3223" t="s">
        <v>3851</v>
      </c>
      <c r="F287" s="3223">
        <v>12.42</v>
      </c>
      <c r="G287" s="3224">
        <f t="shared" si="8"/>
        <v>5.52</v>
      </c>
      <c r="H287" s="3224">
        <f t="shared" si="9"/>
        <v>0.44408023116547801</v>
      </c>
      <c r="I287" s="3227"/>
      <c r="J287" s="3316"/>
      <c r="K287" s="3317"/>
      <c r="L287" s="3208"/>
    </row>
    <row r="288" spans="1:12">
      <c r="A288" s="3222">
        <v>249</v>
      </c>
      <c r="B288" s="3223" t="s">
        <v>3494</v>
      </c>
      <c r="C288" s="3223" t="s">
        <v>5930</v>
      </c>
      <c r="D288" s="3223">
        <v>102</v>
      </c>
      <c r="E288" s="3223" t="s">
        <v>3395</v>
      </c>
      <c r="F288" s="3223">
        <v>210.98</v>
      </c>
      <c r="G288" s="3224">
        <f t="shared" si="8"/>
        <v>93.69</v>
      </c>
      <c r="H288" s="3224">
        <f t="shared" si="9"/>
        <v>0.44408023116547801</v>
      </c>
      <c r="I288" s="3227"/>
      <c r="J288" s="3316"/>
      <c r="K288" s="3317"/>
      <c r="L288" s="3208"/>
    </row>
    <row r="289" spans="1:12">
      <c r="A289" s="3222">
        <v>250</v>
      </c>
      <c r="B289" s="3223" t="s">
        <v>3494</v>
      </c>
      <c r="C289" s="3223" t="s">
        <v>5930</v>
      </c>
      <c r="D289" s="3223">
        <v>202</v>
      </c>
      <c r="E289" s="3223" t="s">
        <v>3395</v>
      </c>
      <c r="F289" s="3223">
        <v>221.84</v>
      </c>
      <c r="G289" s="3224">
        <f t="shared" si="8"/>
        <v>98.51</v>
      </c>
      <c r="H289" s="3224">
        <f t="shared" si="9"/>
        <v>0.44408023116547801</v>
      </c>
      <c r="I289" s="3227"/>
      <c r="J289" s="3316"/>
      <c r="K289" s="3317"/>
      <c r="L289" s="3208"/>
    </row>
    <row r="290" spans="1:12">
      <c r="A290" s="3222">
        <v>251</v>
      </c>
      <c r="B290" s="3223" t="s">
        <v>3494</v>
      </c>
      <c r="C290" s="3223" t="s">
        <v>5930</v>
      </c>
      <c r="D290" s="3223">
        <v>302</v>
      </c>
      <c r="E290" s="3223" t="s">
        <v>3395</v>
      </c>
      <c r="F290" s="3223">
        <v>221.84</v>
      </c>
      <c r="G290" s="3224">
        <f t="shared" si="8"/>
        <v>98.51</v>
      </c>
      <c r="H290" s="3224">
        <f t="shared" si="9"/>
        <v>0.44408023116547801</v>
      </c>
      <c r="I290" s="3227"/>
      <c r="J290" s="3316"/>
      <c r="K290" s="3317"/>
      <c r="L290" s="3209"/>
    </row>
    <row r="291" spans="1:12">
      <c r="A291" s="3222">
        <v>252</v>
      </c>
      <c r="B291" s="3223" t="s">
        <v>3494</v>
      </c>
      <c r="C291" s="3223" t="s">
        <v>5930</v>
      </c>
      <c r="D291" s="3223">
        <v>301</v>
      </c>
      <c r="E291" s="3223" t="s">
        <v>3395</v>
      </c>
      <c r="F291" s="3223">
        <v>230.89</v>
      </c>
      <c r="G291" s="3224">
        <f t="shared" si="8"/>
        <v>102.53</v>
      </c>
      <c r="H291" s="3224">
        <f t="shared" si="9"/>
        <v>0.44408023116547801</v>
      </c>
      <c r="I291" s="3227"/>
      <c r="J291" s="3316"/>
      <c r="K291" s="3317"/>
      <c r="L291" s="3210"/>
    </row>
    <row r="292" spans="1:12">
      <c r="A292" s="3222">
        <v>261</v>
      </c>
      <c r="B292" s="3223" t="s">
        <v>3494</v>
      </c>
      <c r="C292" s="3223" t="s">
        <v>5931</v>
      </c>
      <c r="D292" s="3223">
        <v>101</v>
      </c>
      <c r="E292" s="3223" t="s">
        <v>3395</v>
      </c>
      <c r="F292" s="3223">
        <v>210.98</v>
      </c>
      <c r="G292" s="3224">
        <f t="shared" si="8"/>
        <v>93.69</v>
      </c>
      <c r="H292" s="3224">
        <f>H307</f>
        <v>0.44408023116547801</v>
      </c>
      <c r="I292" s="3227"/>
      <c r="J292" s="3316"/>
      <c r="K292" s="3317"/>
      <c r="L292" s="3210"/>
    </row>
    <row r="293" spans="1:12">
      <c r="A293" s="3222">
        <v>262</v>
      </c>
      <c r="B293" s="3223" t="s">
        <v>3494</v>
      </c>
      <c r="C293" s="3223" t="s">
        <v>5931</v>
      </c>
      <c r="D293" s="3223">
        <v>102</v>
      </c>
      <c r="E293" s="3223" t="s">
        <v>3395</v>
      </c>
      <c r="F293" s="3223">
        <v>210.98</v>
      </c>
      <c r="G293" s="3224">
        <f t="shared" si="8"/>
        <v>93.69</v>
      </c>
      <c r="H293" s="3224">
        <f t="shared" ref="H293:H299" si="10">H292</f>
        <v>0.44408023116547801</v>
      </c>
      <c r="I293" s="3227"/>
      <c r="J293" s="3316"/>
      <c r="K293" s="3317"/>
      <c r="L293" s="3210"/>
    </row>
    <row r="294" spans="1:12">
      <c r="A294" s="3222">
        <v>263</v>
      </c>
      <c r="B294" s="3223" t="s">
        <v>3494</v>
      </c>
      <c r="C294" s="3223" t="s">
        <v>5931</v>
      </c>
      <c r="D294" s="3223">
        <v>201</v>
      </c>
      <c r="E294" s="3223" t="s">
        <v>3395</v>
      </c>
      <c r="F294" s="3223">
        <v>221.84</v>
      </c>
      <c r="G294" s="3224">
        <f t="shared" si="8"/>
        <v>98.51</v>
      </c>
      <c r="H294" s="3224">
        <f t="shared" si="10"/>
        <v>0.44408023116547801</v>
      </c>
      <c r="I294" s="3227"/>
      <c r="J294" s="3316"/>
      <c r="K294" s="3317"/>
      <c r="L294" s="3210"/>
    </row>
    <row r="295" spans="1:12">
      <c r="A295" s="3222">
        <v>264</v>
      </c>
      <c r="B295" s="3223" t="s">
        <v>3494</v>
      </c>
      <c r="C295" s="3223" t="s">
        <v>5931</v>
      </c>
      <c r="D295" s="3223">
        <v>202</v>
      </c>
      <c r="E295" s="3223" t="s">
        <v>3395</v>
      </c>
      <c r="F295" s="3223">
        <v>221.84</v>
      </c>
      <c r="G295" s="3224">
        <f t="shared" si="8"/>
        <v>98.51</v>
      </c>
      <c r="H295" s="3224">
        <f t="shared" si="10"/>
        <v>0.44408023116547801</v>
      </c>
      <c r="I295" s="3227"/>
      <c r="J295" s="3316"/>
      <c r="K295" s="3317"/>
      <c r="L295" s="3210"/>
    </row>
    <row r="296" spans="1:12">
      <c r="A296" s="3222">
        <v>265</v>
      </c>
      <c r="B296" s="3223" t="s">
        <v>3494</v>
      </c>
      <c r="C296" s="3223" t="s">
        <v>5931</v>
      </c>
      <c r="D296" s="3223">
        <v>301</v>
      </c>
      <c r="E296" s="3223" t="s">
        <v>3395</v>
      </c>
      <c r="F296" s="3223">
        <v>221.84</v>
      </c>
      <c r="G296" s="3224">
        <f t="shared" si="8"/>
        <v>98.51</v>
      </c>
      <c r="H296" s="3224">
        <f t="shared" si="10"/>
        <v>0.44408023116547801</v>
      </c>
      <c r="I296" s="3227"/>
      <c r="J296" s="3316"/>
      <c r="K296" s="3317"/>
      <c r="L296" s="3210"/>
    </row>
    <row r="297" spans="1:12">
      <c r="A297" s="3222">
        <v>266</v>
      </c>
      <c r="B297" s="3223" t="s">
        <v>3494</v>
      </c>
      <c r="C297" s="3223" t="s">
        <v>5931</v>
      </c>
      <c r="D297" s="3223">
        <v>302</v>
      </c>
      <c r="E297" s="3223" t="s">
        <v>3395</v>
      </c>
      <c r="F297" s="3223">
        <v>221.84</v>
      </c>
      <c r="G297" s="3224">
        <f t="shared" ref="G297:G360" si="11">ROUND(F297*H297,2)</f>
        <v>98.51</v>
      </c>
      <c r="H297" s="3224">
        <f t="shared" si="10"/>
        <v>0.44408023116547801</v>
      </c>
      <c r="I297" s="3227"/>
      <c r="J297" s="3316"/>
      <c r="K297" s="3317"/>
      <c r="L297" s="3210"/>
    </row>
    <row r="298" spans="1:12">
      <c r="A298" s="3222">
        <v>267</v>
      </c>
      <c r="B298" s="3223" t="s">
        <v>3494</v>
      </c>
      <c r="C298" s="3223" t="s">
        <v>5931</v>
      </c>
      <c r="D298" s="3223">
        <v>401</v>
      </c>
      <c r="E298" s="3223" t="s">
        <v>3395</v>
      </c>
      <c r="F298" s="3223">
        <v>221.84</v>
      </c>
      <c r="G298" s="3224">
        <f t="shared" si="11"/>
        <v>98.51</v>
      </c>
      <c r="H298" s="3224">
        <f t="shared" si="10"/>
        <v>0.44408023116547801</v>
      </c>
      <c r="I298" s="3227"/>
      <c r="J298" s="3316"/>
      <c r="K298" s="3317"/>
      <c r="L298" s="3210"/>
    </row>
    <row r="299" spans="1:12">
      <c r="A299" s="3222">
        <v>268</v>
      </c>
      <c r="B299" s="3223" t="s">
        <v>3494</v>
      </c>
      <c r="C299" s="3223" t="s">
        <v>5931</v>
      </c>
      <c r="D299" s="3223">
        <v>402</v>
      </c>
      <c r="E299" s="3223" t="s">
        <v>3395</v>
      </c>
      <c r="F299" s="3223">
        <v>221.84</v>
      </c>
      <c r="G299" s="3224">
        <f t="shared" si="11"/>
        <v>98.51</v>
      </c>
      <c r="H299" s="3224">
        <f t="shared" si="10"/>
        <v>0.44408023116547801</v>
      </c>
      <c r="I299" s="3227"/>
      <c r="J299" s="3316"/>
      <c r="K299" s="3317"/>
      <c r="L299" s="3210"/>
    </row>
    <row r="300" spans="1:12">
      <c r="A300" s="3222">
        <v>253</v>
      </c>
      <c r="B300" s="3223" t="s">
        <v>3494</v>
      </c>
      <c r="C300" s="3223" t="s">
        <v>5933</v>
      </c>
      <c r="D300" s="3223">
        <v>101</v>
      </c>
      <c r="E300" s="3223" t="s">
        <v>3395</v>
      </c>
      <c r="F300" s="3223">
        <v>210.98</v>
      </c>
      <c r="G300" s="3224">
        <f t="shared" si="11"/>
        <v>93.69</v>
      </c>
      <c r="H300" s="3224">
        <f>H291</f>
        <v>0.44408023116547801</v>
      </c>
      <c r="I300" s="3227"/>
      <c r="J300" s="3316"/>
      <c r="K300" s="3317"/>
      <c r="L300" s="3210"/>
    </row>
    <row r="301" spans="1:12">
      <c r="A301" s="3222">
        <v>254</v>
      </c>
      <c r="B301" s="3223" t="s">
        <v>3494</v>
      </c>
      <c r="C301" s="3223" t="s">
        <v>5933</v>
      </c>
      <c r="D301" s="3223">
        <v>102</v>
      </c>
      <c r="E301" s="3223" t="s">
        <v>3395</v>
      </c>
      <c r="F301" s="3223">
        <v>212.29</v>
      </c>
      <c r="G301" s="3224">
        <f t="shared" si="11"/>
        <v>94.27</v>
      </c>
      <c r="H301" s="3224">
        <f t="shared" ref="H301:H307" si="12">H300</f>
        <v>0.44408023116547801</v>
      </c>
      <c r="I301" s="3227"/>
      <c r="J301" s="3316"/>
      <c r="K301" s="3317"/>
      <c r="L301" s="3210"/>
    </row>
    <row r="302" spans="1:12">
      <c r="A302" s="3222">
        <v>255</v>
      </c>
      <c r="B302" s="3223" t="s">
        <v>3494</v>
      </c>
      <c r="C302" s="3223" t="s">
        <v>5933</v>
      </c>
      <c r="D302" s="3223">
        <v>201</v>
      </c>
      <c r="E302" s="3223" t="s">
        <v>3395</v>
      </c>
      <c r="F302" s="3223">
        <v>221.84</v>
      </c>
      <c r="G302" s="3224">
        <f t="shared" si="11"/>
        <v>98.51</v>
      </c>
      <c r="H302" s="3224">
        <f t="shared" si="12"/>
        <v>0.44408023116547801</v>
      </c>
      <c r="I302" s="3227"/>
      <c r="J302" s="3316"/>
      <c r="K302" s="3317"/>
      <c r="L302" s="3210"/>
    </row>
    <row r="303" spans="1:12">
      <c r="A303" s="3222">
        <v>256</v>
      </c>
      <c r="B303" s="3223" t="s">
        <v>3494</v>
      </c>
      <c r="C303" s="3223" t="s">
        <v>5933</v>
      </c>
      <c r="D303" s="3223">
        <v>202</v>
      </c>
      <c r="E303" s="3223" t="s">
        <v>3395</v>
      </c>
      <c r="F303" s="3223">
        <v>223.15</v>
      </c>
      <c r="G303" s="3224">
        <f t="shared" si="11"/>
        <v>99.1</v>
      </c>
      <c r="H303" s="3224">
        <f t="shared" si="12"/>
        <v>0.44408023116547801</v>
      </c>
      <c r="I303" s="3227"/>
      <c r="J303" s="3316"/>
      <c r="K303" s="3317"/>
      <c r="L303" s="3210"/>
    </row>
    <row r="304" spans="1:12">
      <c r="A304" s="3222">
        <v>257</v>
      </c>
      <c r="B304" s="3223" t="s">
        <v>3494</v>
      </c>
      <c r="C304" s="3223" t="s">
        <v>5933</v>
      </c>
      <c r="D304" s="3223">
        <v>301</v>
      </c>
      <c r="E304" s="3223" t="s">
        <v>3395</v>
      </c>
      <c r="F304" s="3223">
        <v>221.84</v>
      </c>
      <c r="G304" s="3224">
        <f t="shared" si="11"/>
        <v>98.51</v>
      </c>
      <c r="H304" s="3224">
        <f t="shared" si="12"/>
        <v>0.44408023116547801</v>
      </c>
      <c r="I304" s="3227"/>
      <c r="J304" s="3316"/>
      <c r="K304" s="3317"/>
      <c r="L304" s="3210"/>
    </row>
    <row r="305" spans="1:12">
      <c r="A305" s="3222">
        <v>258</v>
      </c>
      <c r="B305" s="3223" t="s">
        <v>3494</v>
      </c>
      <c r="C305" s="3223" t="s">
        <v>5933</v>
      </c>
      <c r="D305" s="3223">
        <v>302</v>
      </c>
      <c r="E305" s="3223" t="s">
        <v>3395</v>
      </c>
      <c r="F305" s="3223">
        <v>223.15</v>
      </c>
      <c r="G305" s="3224">
        <f t="shared" si="11"/>
        <v>99.1</v>
      </c>
      <c r="H305" s="3224">
        <f t="shared" si="12"/>
        <v>0.44408023116547801</v>
      </c>
      <c r="I305" s="3227"/>
      <c r="J305" s="3316"/>
      <c r="K305" s="3317"/>
      <c r="L305" s="3210"/>
    </row>
    <row r="306" spans="1:12">
      <c r="A306" s="3222">
        <v>259</v>
      </c>
      <c r="B306" s="3223" t="s">
        <v>3494</v>
      </c>
      <c r="C306" s="3223" t="s">
        <v>5933</v>
      </c>
      <c r="D306" s="3223">
        <v>402</v>
      </c>
      <c r="E306" s="3223" t="s">
        <v>3395</v>
      </c>
      <c r="F306" s="3223">
        <v>223.15</v>
      </c>
      <c r="G306" s="3224">
        <f t="shared" si="11"/>
        <v>99.1</v>
      </c>
      <c r="H306" s="3224">
        <f t="shared" si="12"/>
        <v>0.44408023116547801</v>
      </c>
      <c r="I306" s="3227"/>
      <c r="J306" s="3316"/>
      <c r="K306" s="3317"/>
      <c r="L306" s="3210"/>
    </row>
    <row r="307" spans="1:12">
      <c r="A307" s="3222">
        <v>260</v>
      </c>
      <c r="B307" s="3223" t="s">
        <v>3494</v>
      </c>
      <c r="C307" s="3223" t="s">
        <v>5933</v>
      </c>
      <c r="D307" s="3223">
        <v>401</v>
      </c>
      <c r="E307" s="3223" t="s">
        <v>3395</v>
      </c>
      <c r="F307" s="3223">
        <v>221.84</v>
      </c>
      <c r="G307" s="3224">
        <f t="shared" si="11"/>
        <v>98.51</v>
      </c>
      <c r="H307" s="3224">
        <f t="shared" si="12"/>
        <v>0.44408023116547801</v>
      </c>
      <c r="I307" s="3227"/>
      <c r="J307" s="3320"/>
      <c r="K307" s="3321"/>
      <c r="L307" s="3210"/>
    </row>
    <row r="308" spans="1:12">
      <c r="A308" s="3222">
        <v>269</v>
      </c>
      <c r="B308" s="3223" t="s">
        <v>5943</v>
      </c>
      <c r="C308" s="3223"/>
      <c r="D308" s="3223">
        <v>106</v>
      </c>
      <c r="E308" s="3223" t="s">
        <v>3851</v>
      </c>
      <c r="F308" s="3223">
        <v>34.1</v>
      </c>
      <c r="G308" s="3224">
        <f t="shared" si="11"/>
        <v>15.14</v>
      </c>
      <c r="H308" s="3224">
        <f>H299</f>
        <v>0.44408023116547801</v>
      </c>
      <c r="I308" s="3227"/>
      <c r="J308" s="3316"/>
      <c r="K308" s="3317"/>
      <c r="L308" s="3210"/>
    </row>
    <row r="309" spans="1:12">
      <c r="A309" s="3222">
        <v>270</v>
      </c>
      <c r="B309" s="3223" t="s">
        <v>5943</v>
      </c>
      <c r="C309" s="3223"/>
      <c r="D309" s="3223">
        <v>107</v>
      </c>
      <c r="E309" s="3223" t="s">
        <v>3851</v>
      </c>
      <c r="F309" s="3223">
        <v>62.51</v>
      </c>
      <c r="G309" s="3224">
        <f t="shared" si="11"/>
        <v>27.76</v>
      </c>
      <c r="H309" s="3224">
        <f t="shared" ref="H309:H372" si="13">H308</f>
        <v>0.44408023116547801</v>
      </c>
      <c r="I309" s="3227"/>
      <c r="J309" s="3320"/>
      <c r="K309" s="3321"/>
      <c r="L309" s="3210"/>
    </row>
    <row r="310" spans="1:12">
      <c r="A310" s="3222">
        <v>271</v>
      </c>
      <c r="B310" s="3223" t="s">
        <v>5943</v>
      </c>
      <c r="C310" s="3223"/>
      <c r="D310" s="3223">
        <v>108</v>
      </c>
      <c r="E310" s="3223" t="s">
        <v>3851</v>
      </c>
      <c r="F310" s="3223">
        <v>47.4</v>
      </c>
      <c r="G310" s="3224">
        <f t="shared" si="11"/>
        <v>21.05</v>
      </c>
      <c r="H310" s="3224">
        <f t="shared" si="13"/>
        <v>0.44408023116547801</v>
      </c>
      <c r="I310" s="3227"/>
      <c r="J310" s="3320"/>
      <c r="K310" s="3321"/>
      <c r="L310" s="3210"/>
    </row>
    <row r="311" spans="1:12">
      <c r="A311" s="3222">
        <v>272</v>
      </c>
      <c r="B311" s="3223" t="s">
        <v>5943</v>
      </c>
      <c r="C311" s="3223"/>
      <c r="D311" s="3223">
        <v>109</v>
      </c>
      <c r="E311" s="3223" t="s">
        <v>3851</v>
      </c>
      <c r="F311" s="3223">
        <v>47.4</v>
      </c>
      <c r="G311" s="3224">
        <f t="shared" si="11"/>
        <v>21.05</v>
      </c>
      <c r="H311" s="3224">
        <f t="shared" si="13"/>
        <v>0.44408023116547801</v>
      </c>
      <c r="I311" s="3227"/>
      <c r="J311" s="3316"/>
      <c r="K311" s="3317"/>
      <c r="L311" s="3210"/>
    </row>
    <row r="312" spans="1:12">
      <c r="A312" s="3222">
        <v>273</v>
      </c>
      <c r="B312" s="3223" t="s">
        <v>5943</v>
      </c>
      <c r="C312" s="3223"/>
      <c r="D312" s="3223">
        <v>110</v>
      </c>
      <c r="E312" s="3223" t="s">
        <v>3851</v>
      </c>
      <c r="F312" s="3223">
        <v>62.51</v>
      </c>
      <c r="G312" s="3224">
        <f t="shared" si="11"/>
        <v>27.76</v>
      </c>
      <c r="H312" s="3224">
        <f t="shared" si="13"/>
        <v>0.44408023116547801</v>
      </c>
      <c r="I312" s="3227"/>
      <c r="J312" s="3320"/>
      <c r="K312" s="3321"/>
      <c r="L312" s="3210"/>
    </row>
    <row r="313" spans="1:12">
      <c r="A313" s="3222">
        <v>274</v>
      </c>
      <c r="B313" s="3223" t="s">
        <v>5943</v>
      </c>
      <c r="C313" s="3223"/>
      <c r="D313" s="3223">
        <v>111</v>
      </c>
      <c r="E313" s="3223" t="s">
        <v>3851</v>
      </c>
      <c r="F313" s="3223">
        <v>34.1</v>
      </c>
      <c r="G313" s="3224">
        <f t="shared" si="11"/>
        <v>15.14</v>
      </c>
      <c r="H313" s="3224">
        <f t="shared" si="13"/>
        <v>0.44408023116547801</v>
      </c>
      <c r="I313" s="3227"/>
      <c r="J313" s="3320"/>
      <c r="K313" s="3321"/>
      <c r="L313" s="3210"/>
    </row>
    <row r="314" spans="1:12">
      <c r="A314" s="3222">
        <v>275</v>
      </c>
      <c r="B314" s="3223" t="s">
        <v>5943</v>
      </c>
      <c r="C314" s="3223"/>
      <c r="D314" s="3223">
        <v>112</v>
      </c>
      <c r="E314" s="3223" t="s">
        <v>3851</v>
      </c>
      <c r="F314" s="3223">
        <v>34.1</v>
      </c>
      <c r="G314" s="3224">
        <f t="shared" si="11"/>
        <v>15.14</v>
      </c>
      <c r="H314" s="3224">
        <f t="shared" si="13"/>
        <v>0.44408023116547801</v>
      </c>
      <c r="I314" s="3227"/>
      <c r="J314" s="3316"/>
      <c r="K314" s="3317"/>
      <c r="L314" s="3210"/>
    </row>
    <row r="315" spans="1:12">
      <c r="A315" s="3222">
        <v>276</v>
      </c>
      <c r="B315" s="3223" t="s">
        <v>5943</v>
      </c>
      <c r="C315" s="3223"/>
      <c r="D315" s="3223">
        <v>113</v>
      </c>
      <c r="E315" s="3223" t="s">
        <v>3851</v>
      </c>
      <c r="F315" s="3223">
        <v>62.51</v>
      </c>
      <c r="G315" s="3224">
        <f t="shared" si="11"/>
        <v>27.76</v>
      </c>
      <c r="H315" s="3224">
        <f t="shared" si="13"/>
        <v>0.44408023116547801</v>
      </c>
      <c r="I315" s="3227"/>
      <c r="J315" s="3316"/>
      <c r="K315" s="3317"/>
      <c r="L315" s="3210"/>
    </row>
    <row r="316" spans="1:12">
      <c r="A316" s="3222">
        <v>277</v>
      </c>
      <c r="B316" s="3223" t="s">
        <v>5943</v>
      </c>
      <c r="C316" s="3223"/>
      <c r="D316" s="3223">
        <v>114</v>
      </c>
      <c r="E316" s="3223" t="s">
        <v>3851</v>
      </c>
      <c r="F316" s="3223">
        <v>47.06</v>
      </c>
      <c r="G316" s="3224">
        <f t="shared" si="11"/>
        <v>20.9</v>
      </c>
      <c r="H316" s="3224">
        <f t="shared" si="13"/>
        <v>0.44408023116547801</v>
      </c>
      <c r="I316" s="3227"/>
      <c r="J316" s="3316"/>
      <c r="K316" s="3317"/>
      <c r="L316" s="3210"/>
    </row>
    <row r="317" spans="1:12">
      <c r="A317" s="3222">
        <v>278</v>
      </c>
      <c r="B317" s="3223" t="s">
        <v>5943</v>
      </c>
      <c r="C317" s="3223"/>
      <c r="D317" s="3223">
        <v>115</v>
      </c>
      <c r="E317" s="3223" t="s">
        <v>3851</v>
      </c>
      <c r="F317" s="3223">
        <v>47.06</v>
      </c>
      <c r="G317" s="3224">
        <f t="shared" si="11"/>
        <v>20.9</v>
      </c>
      <c r="H317" s="3224">
        <f t="shared" si="13"/>
        <v>0.44408023116547801</v>
      </c>
      <c r="I317" s="3227"/>
      <c r="J317" s="3316"/>
      <c r="K317" s="3317"/>
      <c r="L317" s="3210"/>
    </row>
    <row r="318" spans="1:12">
      <c r="A318" s="3222">
        <v>279</v>
      </c>
      <c r="B318" s="3223" t="s">
        <v>5943</v>
      </c>
      <c r="C318" s="3223"/>
      <c r="D318" s="3223">
        <v>116</v>
      </c>
      <c r="E318" s="3223" t="s">
        <v>3851</v>
      </c>
      <c r="F318" s="3223">
        <v>62.51</v>
      </c>
      <c r="G318" s="3224">
        <f t="shared" si="11"/>
        <v>27.76</v>
      </c>
      <c r="H318" s="3224">
        <f t="shared" si="13"/>
        <v>0.44408023116547801</v>
      </c>
      <c r="I318" s="3227"/>
      <c r="J318" s="3320"/>
      <c r="K318" s="3321"/>
      <c r="L318" s="3210"/>
    </row>
    <row r="319" spans="1:12">
      <c r="A319" s="3222">
        <v>280</v>
      </c>
      <c r="B319" s="3223" t="s">
        <v>5943</v>
      </c>
      <c r="C319" s="3223"/>
      <c r="D319" s="3223">
        <v>117</v>
      </c>
      <c r="E319" s="3223" t="s">
        <v>3851</v>
      </c>
      <c r="F319" s="3223">
        <v>34.1</v>
      </c>
      <c r="G319" s="3224">
        <f t="shared" si="11"/>
        <v>15.14</v>
      </c>
      <c r="H319" s="3224">
        <f t="shared" si="13"/>
        <v>0.44408023116547801</v>
      </c>
      <c r="I319" s="3227"/>
      <c r="J319" s="3320"/>
      <c r="K319" s="3321"/>
      <c r="L319" s="3210"/>
    </row>
    <row r="320" spans="1:12">
      <c r="A320" s="3222">
        <v>281</v>
      </c>
      <c r="B320" s="3223" t="s">
        <v>5943</v>
      </c>
      <c r="C320" s="3223"/>
      <c r="D320" s="3223">
        <v>118</v>
      </c>
      <c r="E320" s="3223" t="s">
        <v>3851</v>
      </c>
      <c r="F320" s="3223">
        <v>34.1</v>
      </c>
      <c r="G320" s="3224">
        <f t="shared" si="11"/>
        <v>15.14</v>
      </c>
      <c r="H320" s="3224">
        <f t="shared" si="13"/>
        <v>0.44408023116547801</v>
      </c>
      <c r="I320" s="3227"/>
      <c r="J320" s="3316"/>
      <c r="K320" s="3317"/>
      <c r="L320" s="3210"/>
    </row>
    <row r="321" spans="1:12">
      <c r="A321" s="3222">
        <v>282</v>
      </c>
      <c r="B321" s="3223" t="s">
        <v>5943</v>
      </c>
      <c r="C321" s="3223"/>
      <c r="D321" s="3223">
        <v>119</v>
      </c>
      <c r="E321" s="3223" t="s">
        <v>3851</v>
      </c>
      <c r="F321" s="3223">
        <v>62.51</v>
      </c>
      <c r="G321" s="3224">
        <f t="shared" si="11"/>
        <v>27.76</v>
      </c>
      <c r="H321" s="3224">
        <f t="shared" si="13"/>
        <v>0.44408023116547801</v>
      </c>
      <c r="I321" s="3227"/>
      <c r="J321" s="3316"/>
      <c r="K321" s="3317"/>
      <c r="L321" s="3210"/>
    </row>
    <row r="322" spans="1:12">
      <c r="A322" s="3222">
        <v>283</v>
      </c>
      <c r="B322" s="3223" t="s">
        <v>5943</v>
      </c>
      <c r="C322" s="3223"/>
      <c r="D322" s="3223">
        <v>120</v>
      </c>
      <c r="E322" s="3223" t="s">
        <v>3851</v>
      </c>
      <c r="F322" s="3223">
        <v>55.87</v>
      </c>
      <c r="G322" s="3224">
        <f t="shared" si="11"/>
        <v>24.81</v>
      </c>
      <c r="H322" s="3224">
        <f t="shared" si="13"/>
        <v>0.44408023116547801</v>
      </c>
      <c r="I322" s="3227"/>
      <c r="J322" s="3316"/>
      <c r="K322" s="3317"/>
      <c r="L322" s="3210"/>
    </row>
    <row r="323" spans="1:12">
      <c r="A323" s="3222">
        <v>284</v>
      </c>
      <c r="B323" s="3223" t="s">
        <v>5943</v>
      </c>
      <c r="C323" s="3223"/>
      <c r="D323" s="3223">
        <v>121</v>
      </c>
      <c r="E323" s="3223" t="s">
        <v>3851</v>
      </c>
      <c r="F323" s="3223">
        <v>28.64</v>
      </c>
      <c r="G323" s="3224">
        <f t="shared" si="11"/>
        <v>12.72</v>
      </c>
      <c r="H323" s="3224">
        <f t="shared" si="13"/>
        <v>0.44408023116547801</v>
      </c>
      <c r="I323" s="3227"/>
      <c r="J323" s="3316"/>
      <c r="K323" s="3317"/>
      <c r="L323" s="3210"/>
    </row>
    <row r="324" spans="1:12">
      <c r="A324" s="3222">
        <v>285</v>
      </c>
      <c r="B324" s="3223" t="s">
        <v>5943</v>
      </c>
      <c r="C324" s="3223"/>
      <c r="D324" s="3223">
        <v>122</v>
      </c>
      <c r="E324" s="3223" t="s">
        <v>3851</v>
      </c>
      <c r="F324" s="3223">
        <v>22.65</v>
      </c>
      <c r="G324" s="3224">
        <f t="shared" si="11"/>
        <v>10.06</v>
      </c>
      <c r="H324" s="3224">
        <f t="shared" si="13"/>
        <v>0.44408023116547801</v>
      </c>
      <c r="I324" s="3227"/>
      <c r="J324" s="3316"/>
      <c r="K324" s="3317"/>
      <c r="L324" s="3210"/>
    </row>
    <row r="325" spans="1:12">
      <c r="A325" s="3222">
        <v>286</v>
      </c>
      <c r="B325" s="3223" t="s">
        <v>5943</v>
      </c>
      <c r="C325" s="3223"/>
      <c r="D325" s="3223">
        <v>123</v>
      </c>
      <c r="E325" s="3223" t="s">
        <v>3851</v>
      </c>
      <c r="F325" s="3223">
        <v>28.58</v>
      </c>
      <c r="G325" s="3224">
        <f t="shared" si="11"/>
        <v>12.69</v>
      </c>
      <c r="H325" s="3224">
        <f t="shared" si="13"/>
        <v>0.44408023116547801</v>
      </c>
      <c r="I325" s="3227"/>
      <c r="J325" s="3316"/>
      <c r="K325" s="3317"/>
      <c r="L325" s="3210"/>
    </row>
    <row r="326" spans="1:12">
      <c r="A326" s="3222">
        <v>287</v>
      </c>
      <c r="B326" s="3223" t="s">
        <v>5943</v>
      </c>
      <c r="C326" s="3223"/>
      <c r="D326" s="3223">
        <v>124</v>
      </c>
      <c r="E326" s="3223" t="s">
        <v>3851</v>
      </c>
      <c r="F326" s="3223">
        <v>28.58</v>
      </c>
      <c r="G326" s="3224">
        <f t="shared" si="11"/>
        <v>12.69</v>
      </c>
      <c r="H326" s="3224">
        <f t="shared" si="13"/>
        <v>0.44408023116547801</v>
      </c>
      <c r="I326" s="3227"/>
      <c r="J326" s="3316"/>
      <c r="K326" s="3317"/>
      <c r="L326" s="3210"/>
    </row>
    <row r="327" spans="1:12">
      <c r="A327" s="3222">
        <v>288</v>
      </c>
      <c r="B327" s="3223" t="s">
        <v>5943</v>
      </c>
      <c r="C327" s="3223"/>
      <c r="D327" s="3223">
        <v>126</v>
      </c>
      <c r="E327" s="3223" t="s">
        <v>3851</v>
      </c>
      <c r="F327" s="3223">
        <v>43.21</v>
      </c>
      <c r="G327" s="3224">
        <f t="shared" si="11"/>
        <v>19.190000000000001</v>
      </c>
      <c r="H327" s="3224">
        <f t="shared" si="13"/>
        <v>0.44408023116547801</v>
      </c>
      <c r="I327" s="3227"/>
      <c r="J327" s="3316"/>
      <c r="K327" s="3317"/>
      <c r="L327" s="3210"/>
    </row>
    <row r="328" spans="1:12">
      <c r="A328" s="3222">
        <v>289</v>
      </c>
      <c r="B328" s="3223" t="s">
        <v>5943</v>
      </c>
      <c r="C328" s="3223"/>
      <c r="D328" s="3223">
        <v>127</v>
      </c>
      <c r="E328" s="3223" t="s">
        <v>3851</v>
      </c>
      <c r="F328" s="3223">
        <v>43.12</v>
      </c>
      <c r="G328" s="3224">
        <f t="shared" si="11"/>
        <v>19.149999999999999</v>
      </c>
      <c r="H328" s="3224">
        <f t="shared" si="13"/>
        <v>0.44408023116547801</v>
      </c>
      <c r="I328" s="3227"/>
      <c r="J328" s="3316"/>
      <c r="K328" s="3317"/>
      <c r="L328" s="3210"/>
    </row>
    <row r="329" spans="1:12">
      <c r="A329" s="3222">
        <v>290</v>
      </c>
      <c r="B329" s="3223" t="s">
        <v>5943</v>
      </c>
      <c r="C329" s="3223"/>
      <c r="D329" s="3223">
        <v>202</v>
      </c>
      <c r="E329" s="3223" t="s">
        <v>3851</v>
      </c>
      <c r="F329" s="3223">
        <v>19.97</v>
      </c>
      <c r="G329" s="3224">
        <f t="shared" si="11"/>
        <v>8.8699999999999992</v>
      </c>
      <c r="H329" s="3224">
        <f t="shared" si="13"/>
        <v>0.44408023116547801</v>
      </c>
      <c r="I329" s="3227"/>
      <c r="J329" s="3316"/>
      <c r="K329" s="3317"/>
      <c r="L329" s="3210"/>
    </row>
    <row r="330" spans="1:12">
      <c r="A330" s="3222">
        <v>291</v>
      </c>
      <c r="B330" s="3223" t="s">
        <v>5943</v>
      </c>
      <c r="C330" s="3223"/>
      <c r="D330" s="3223">
        <v>203</v>
      </c>
      <c r="E330" s="3223" t="s">
        <v>3851</v>
      </c>
      <c r="F330" s="3223">
        <v>19.97</v>
      </c>
      <c r="G330" s="3224">
        <f t="shared" si="11"/>
        <v>8.8699999999999992</v>
      </c>
      <c r="H330" s="3224">
        <f t="shared" si="13"/>
        <v>0.44408023116547801</v>
      </c>
      <c r="I330" s="3227"/>
      <c r="J330" s="3316"/>
      <c r="K330" s="3317"/>
      <c r="L330" s="3210"/>
    </row>
    <row r="331" spans="1:12">
      <c r="A331" s="3222">
        <v>292</v>
      </c>
      <c r="B331" s="3223" t="s">
        <v>5943</v>
      </c>
      <c r="C331" s="3223"/>
      <c r="D331" s="3223">
        <v>204</v>
      </c>
      <c r="E331" s="3223" t="s">
        <v>3851</v>
      </c>
      <c r="F331" s="3223">
        <v>19.97</v>
      </c>
      <c r="G331" s="3224">
        <f t="shared" si="11"/>
        <v>8.8699999999999992</v>
      </c>
      <c r="H331" s="3224">
        <f t="shared" si="13"/>
        <v>0.44408023116547801</v>
      </c>
      <c r="I331" s="3227"/>
      <c r="J331" s="3316"/>
      <c r="K331" s="3317"/>
      <c r="L331" s="3210"/>
    </row>
    <row r="332" spans="1:12">
      <c r="A332" s="3222">
        <v>293</v>
      </c>
      <c r="B332" s="3223" t="s">
        <v>5943</v>
      </c>
      <c r="C332" s="3223"/>
      <c r="D332" s="3223">
        <v>205</v>
      </c>
      <c r="E332" s="3223" t="s">
        <v>3851</v>
      </c>
      <c r="F332" s="3223">
        <v>19.97</v>
      </c>
      <c r="G332" s="3224">
        <f t="shared" si="11"/>
        <v>8.8699999999999992</v>
      </c>
      <c r="H332" s="3224">
        <f t="shared" si="13"/>
        <v>0.44408023116547801</v>
      </c>
      <c r="I332" s="3227"/>
      <c r="J332" s="3316"/>
      <c r="K332" s="3317"/>
      <c r="L332" s="3210"/>
    </row>
    <row r="333" spans="1:12">
      <c r="A333" s="3222">
        <v>294</v>
      </c>
      <c r="B333" s="3223" t="s">
        <v>5943</v>
      </c>
      <c r="C333" s="3223"/>
      <c r="D333" s="3223">
        <v>206</v>
      </c>
      <c r="E333" s="3223" t="s">
        <v>3851</v>
      </c>
      <c r="F333" s="3223">
        <v>19.97</v>
      </c>
      <c r="G333" s="3224">
        <f t="shared" si="11"/>
        <v>8.8699999999999992</v>
      </c>
      <c r="H333" s="3224">
        <f t="shared" si="13"/>
        <v>0.44408023116547801</v>
      </c>
      <c r="I333" s="3227"/>
      <c r="J333" s="3316"/>
      <c r="K333" s="3317"/>
      <c r="L333" s="3209"/>
    </row>
    <row r="334" spans="1:12">
      <c r="A334" s="3222">
        <v>295</v>
      </c>
      <c r="B334" s="3223" t="s">
        <v>3535</v>
      </c>
      <c r="C334" s="3223" t="s">
        <v>5930</v>
      </c>
      <c r="D334" s="3223">
        <v>101</v>
      </c>
      <c r="E334" s="3223" t="s">
        <v>3395</v>
      </c>
      <c r="F334" s="3223">
        <v>272.99</v>
      </c>
      <c r="G334" s="3224">
        <f t="shared" si="11"/>
        <v>121.23</v>
      </c>
      <c r="H334" s="3224">
        <f t="shared" si="13"/>
        <v>0.44408023116547801</v>
      </c>
      <c r="I334" s="3227"/>
      <c r="J334" s="3316"/>
      <c r="K334" s="3317"/>
      <c r="L334" s="3209"/>
    </row>
    <row r="335" spans="1:12">
      <c r="A335" s="3222">
        <v>296</v>
      </c>
      <c r="B335" s="3223" t="s">
        <v>3535</v>
      </c>
      <c r="C335" s="3223" t="s">
        <v>5930</v>
      </c>
      <c r="D335" s="3223">
        <v>102</v>
      </c>
      <c r="E335" s="3223" t="s">
        <v>3395</v>
      </c>
      <c r="F335" s="3223">
        <v>271.81</v>
      </c>
      <c r="G335" s="3224">
        <f t="shared" si="11"/>
        <v>120.71</v>
      </c>
      <c r="H335" s="3224">
        <f t="shared" si="13"/>
        <v>0.44408023116547801</v>
      </c>
      <c r="I335" s="3227"/>
      <c r="J335" s="3316"/>
      <c r="K335" s="3317"/>
      <c r="L335" s="3209"/>
    </row>
    <row r="336" spans="1:12">
      <c r="A336" s="3222">
        <v>297</v>
      </c>
      <c r="B336" s="3223" t="s">
        <v>3535</v>
      </c>
      <c r="C336" s="3223" t="s">
        <v>5930</v>
      </c>
      <c r="D336" s="3223">
        <v>201</v>
      </c>
      <c r="E336" s="3223" t="s">
        <v>3395</v>
      </c>
      <c r="F336" s="3223">
        <v>273.05</v>
      </c>
      <c r="G336" s="3224">
        <f t="shared" si="11"/>
        <v>121.26</v>
      </c>
      <c r="H336" s="3224">
        <f t="shared" si="13"/>
        <v>0.44408023116547801</v>
      </c>
      <c r="I336" s="3227"/>
      <c r="J336" s="3316"/>
      <c r="K336" s="3317"/>
      <c r="L336" s="3209"/>
    </row>
    <row r="337" spans="1:12">
      <c r="A337" s="3222">
        <v>298</v>
      </c>
      <c r="B337" s="3223" t="s">
        <v>3535</v>
      </c>
      <c r="C337" s="3223" t="s">
        <v>5930</v>
      </c>
      <c r="D337" s="3223">
        <v>202</v>
      </c>
      <c r="E337" s="3223" t="s">
        <v>3395</v>
      </c>
      <c r="F337" s="3223">
        <v>271.88</v>
      </c>
      <c r="G337" s="3224">
        <f t="shared" si="11"/>
        <v>120.74</v>
      </c>
      <c r="H337" s="3224">
        <f t="shared" si="13"/>
        <v>0.44408023116547801</v>
      </c>
      <c r="I337" s="3227"/>
      <c r="J337" s="3316"/>
      <c r="K337" s="3317"/>
      <c r="L337" s="3209"/>
    </row>
    <row r="338" spans="1:12">
      <c r="A338" s="3222">
        <v>299</v>
      </c>
      <c r="B338" s="3223" t="s">
        <v>3535</v>
      </c>
      <c r="C338" s="3223" t="s">
        <v>5930</v>
      </c>
      <c r="D338" s="3223">
        <v>301</v>
      </c>
      <c r="E338" s="3223" t="s">
        <v>3395</v>
      </c>
      <c r="F338" s="3223">
        <v>273.05</v>
      </c>
      <c r="G338" s="3224">
        <f t="shared" si="11"/>
        <v>121.26</v>
      </c>
      <c r="H338" s="3224">
        <f t="shared" si="13"/>
        <v>0.44408023116547801</v>
      </c>
      <c r="I338" s="3227"/>
      <c r="J338" s="3316"/>
      <c r="K338" s="3317"/>
      <c r="L338" s="3209"/>
    </row>
    <row r="339" spans="1:12">
      <c r="A339" s="3222">
        <v>300</v>
      </c>
      <c r="B339" s="3223" t="s">
        <v>3535</v>
      </c>
      <c r="C339" s="3223" t="s">
        <v>5930</v>
      </c>
      <c r="D339" s="3223">
        <v>302</v>
      </c>
      <c r="E339" s="3223" t="s">
        <v>3395</v>
      </c>
      <c r="F339" s="3223">
        <v>271.88</v>
      </c>
      <c r="G339" s="3224">
        <f t="shared" si="11"/>
        <v>120.74</v>
      </c>
      <c r="H339" s="3224">
        <f t="shared" si="13"/>
        <v>0.44408023116547801</v>
      </c>
      <c r="I339" s="3227"/>
      <c r="J339" s="3316"/>
      <c r="K339" s="3317"/>
      <c r="L339" s="3209"/>
    </row>
    <row r="340" spans="1:12">
      <c r="A340" s="3222">
        <v>301</v>
      </c>
      <c r="B340" s="3223" t="s">
        <v>3535</v>
      </c>
      <c r="C340" s="3223" t="s">
        <v>5930</v>
      </c>
      <c r="D340" s="3223">
        <v>402</v>
      </c>
      <c r="E340" s="3223" t="s">
        <v>3395</v>
      </c>
      <c r="F340" s="3223">
        <v>271.88</v>
      </c>
      <c r="G340" s="3224">
        <f t="shared" si="11"/>
        <v>120.74</v>
      </c>
      <c r="H340" s="3224">
        <f t="shared" si="13"/>
        <v>0.44408023116547801</v>
      </c>
      <c r="I340" s="3227"/>
      <c r="J340" s="3316"/>
      <c r="K340" s="3317"/>
      <c r="L340" s="3209"/>
    </row>
    <row r="341" spans="1:12">
      <c r="A341" s="3222">
        <v>302</v>
      </c>
      <c r="B341" s="3223" t="s">
        <v>3535</v>
      </c>
      <c r="C341" s="3223" t="s">
        <v>5931</v>
      </c>
      <c r="D341" s="3223">
        <v>101</v>
      </c>
      <c r="E341" s="3223" t="s">
        <v>3395</v>
      </c>
      <c r="F341" s="3223">
        <v>271.81</v>
      </c>
      <c r="G341" s="3224">
        <f t="shared" si="11"/>
        <v>120.71</v>
      </c>
      <c r="H341" s="3224">
        <f t="shared" si="13"/>
        <v>0.44408023116547801</v>
      </c>
      <c r="I341" s="3227"/>
      <c r="J341" s="3316"/>
      <c r="K341" s="3317"/>
      <c r="L341" s="3209"/>
    </row>
    <row r="342" spans="1:12">
      <c r="A342" s="3222">
        <v>303</v>
      </c>
      <c r="B342" s="3223" t="s">
        <v>3535</v>
      </c>
      <c r="C342" s="3223" t="s">
        <v>5931</v>
      </c>
      <c r="D342" s="3223">
        <v>102</v>
      </c>
      <c r="E342" s="3223" t="s">
        <v>3395</v>
      </c>
      <c r="F342" s="3223">
        <v>272.99</v>
      </c>
      <c r="G342" s="3224">
        <f t="shared" si="11"/>
        <v>121.23</v>
      </c>
      <c r="H342" s="3224">
        <f t="shared" si="13"/>
        <v>0.44408023116547801</v>
      </c>
      <c r="I342" s="3227"/>
      <c r="J342" s="3316"/>
      <c r="K342" s="3317"/>
      <c r="L342" s="3209"/>
    </row>
    <row r="343" spans="1:12">
      <c r="A343" s="3222">
        <v>304</v>
      </c>
      <c r="B343" s="3223" t="s">
        <v>3535</v>
      </c>
      <c r="C343" s="3223" t="s">
        <v>5931</v>
      </c>
      <c r="D343" s="3223">
        <v>201</v>
      </c>
      <c r="E343" s="3223" t="s">
        <v>3395</v>
      </c>
      <c r="F343" s="3223">
        <v>271.88</v>
      </c>
      <c r="G343" s="3224">
        <f t="shared" si="11"/>
        <v>120.74</v>
      </c>
      <c r="H343" s="3224">
        <f t="shared" si="13"/>
        <v>0.44408023116547801</v>
      </c>
      <c r="I343" s="3227"/>
      <c r="J343" s="3316"/>
      <c r="K343" s="3317"/>
      <c r="L343" s="3209"/>
    </row>
    <row r="344" spans="1:12">
      <c r="A344" s="3222">
        <v>305</v>
      </c>
      <c r="B344" s="3223" t="s">
        <v>3535</v>
      </c>
      <c r="C344" s="3223" t="s">
        <v>5931</v>
      </c>
      <c r="D344" s="3223">
        <v>301</v>
      </c>
      <c r="E344" s="3223" t="s">
        <v>3395</v>
      </c>
      <c r="F344" s="3223">
        <v>271.88</v>
      </c>
      <c r="G344" s="3224">
        <f t="shared" si="11"/>
        <v>120.74</v>
      </c>
      <c r="H344" s="3224">
        <f t="shared" si="13"/>
        <v>0.44408023116547801</v>
      </c>
      <c r="I344" s="3227"/>
      <c r="J344" s="3316"/>
      <c r="K344" s="3317"/>
      <c r="L344" s="3209"/>
    </row>
    <row r="345" spans="1:12">
      <c r="A345" s="3222">
        <v>306</v>
      </c>
      <c r="B345" s="3223" t="s">
        <v>3535</v>
      </c>
      <c r="C345" s="3223" t="s">
        <v>5931</v>
      </c>
      <c r="D345" s="3223">
        <v>401</v>
      </c>
      <c r="E345" s="3223" t="s">
        <v>3395</v>
      </c>
      <c r="F345" s="3223">
        <v>271.88</v>
      </c>
      <c r="G345" s="3224">
        <f t="shared" si="11"/>
        <v>120.74</v>
      </c>
      <c r="H345" s="3224">
        <f t="shared" si="13"/>
        <v>0.44408023116547801</v>
      </c>
      <c r="I345" s="3227"/>
      <c r="J345" s="3320"/>
      <c r="K345" s="3321"/>
      <c r="L345" s="3210"/>
    </row>
    <row r="346" spans="1:12">
      <c r="A346" s="3222">
        <v>307</v>
      </c>
      <c r="B346" s="3223" t="s">
        <v>5944</v>
      </c>
      <c r="C346" s="3223"/>
      <c r="D346" s="3223">
        <v>102</v>
      </c>
      <c r="E346" s="3223" t="s">
        <v>3851</v>
      </c>
      <c r="F346" s="3223">
        <v>42.4</v>
      </c>
      <c r="G346" s="3224">
        <f t="shared" si="11"/>
        <v>18.829999999999998</v>
      </c>
      <c r="H346" s="3224">
        <f t="shared" si="13"/>
        <v>0.44408023116547801</v>
      </c>
      <c r="I346" s="3227"/>
      <c r="J346" s="3316"/>
      <c r="K346" s="3317"/>
      <c r="L346" s="3210"/>
    </row>
    <row r="347" spans="1:12">
      <c r="A347" s="3222">
        <v>308</v>
      </c>
      <c r="B347" s="3223" t="s">
        <v>5944</v>
      </c>
      <c r="C347" s="3223"/>
      <c r="D347" s="3223">
        <v>103</v>
      </c>
      <c r="E347" s="3223" t="s">
        <v>3851</v>
      </c>
      <c r="F347" s="3223">
        <v>47.18</v>
      </c>
      <c r="G347" s="3224">
        <f t="shared" si="11"/>
        <v>20.95</v>
      </c>
      <c r="H347" s="3224">
        <f t="shared" si="13"/>
        <v>0.44408023116547801</v>
      </c>
      <c r="I347" s="3227"/>
      <c r="J347" s="3316"/>
      <c r="K347" s="3317"/>
      <c r="L347" s="3210"/>
    </row>
    <row r="348" spans="1:12">
      <c r="A348" s="3222">
        <v>309</v>
      </c>
      <c r="B348" s="3223" t="s">
        <v>5944</v>
      </c>
      <c r="C348" s="3223"/>
      <c r="D348" s="3223">
        <v>104</v>
      </c>
      <c r="E348" s="3223" t="s">
        <v>3851</v>
      </c>
      <c r="F348" s="3223">
        <v>62.35</v>
      </c>
      <c r="G348" s="3224">
        <f t="shared" si="11"/>
        <v>27.69</v>
      </c>
      <c r="H348" s="3224">
        <f t="shared" si="13"/>
        <v>0.44408023116547801</v>
      </c>
      <c r="I348" s="3227"/>
      <c r="J348" s="3316"/>
      <c r="K348" s="3317"/>
      <c r="L348" s="3210"/>
    </row>
    <row r="349" spans="1:12">
      <c r="A349" s="3222">
        <v>310</v>
      </c>
      <c r="B349" s="3223" t="s">
        <v>5944</v>
      </c>
      <c r="C349" s="3223"/>
      <c r="D349" s="3223">
        <v>105</v>
      </c>
      <c r="E349" s="3223" t="s">
        <v>3851</v>
      </c>
      <c r="F349" s="3223">
        <v>61.39</v>
      </c>
      <c r="G349" s="3224">
        <f t="shared" si="11"/>
        <v>27.26</v>
      </c>
      <c r="H349" s="3224">
        <f t="shared" si="13"/>
        <v>0.44408023116547801</v>
      </c>
      <c r="I349" s="3227"/>
      <c r="J349" s="3316"/>
      <c r="K349" s="3317"/>
      <c r="L349" s="3210"/>
    </row>
    <row r="350" spans="1:12">
      <c r="A350" s="3222">
        <v>311</v>
      </c>
      <c r="B350" s="3223" t="s">
        <v>5944</v>
      </c>
      <c r="C350" s="3223"/>
      <c r="D350" s="3223">
        <v>106</v>
      </c>
      <c r="E350" s="3223" t="s">
        <v>3851</v>
      </c>
      <c r="F350" s="3223">
        <v>61.39</v>
      </c>
      <c r="G350" s="3224">
        <f t="shared" si="11"/>
        <v>27.26</v>
      </c>
      <c r="H350" s="3224">
        <f t="shared" si="13"/>
        <v>0.44408023116547801</v>
      </c>
      <c r="I350" s="3227"/>
      <c r="J350" s="3316"/>
      <c r="K350" s="3317"/>
      <c r="L350" s="3210"/>
    </row>
    <row r="351" spans="1:12">
      <c r="A351" s="3222">
        <v>312</v>
      </c>
      <c r="B351" s="3223" t="s">
        <v>5944</v>
      </c>
      <c r="C351" s="3223"/>
      <c r="D351" s="3223">
        <v>107</v>
      </c>
      <c r="E351" s="3223" t="s">
        <v>3851</v>
      </c>
      <c r="F351" s="3223">
        <v>62.35</v>
      </c>
      <c r="G351" s="3224">
        <f t="shared" si="11"/>
        <v>27.69</v>
      </c>
      <c r="H351" s="3224">
        <f t="shared" si="13"/>
        <v>0.44408023116547801</v>
      </c>
      <c r="I351" s="3227"/>
      <c r="J351" s="3316"/>
      <c r="K351" s="3317"/>
      <c r="L351" s="3210"/>
    </row>
    <row r="352" spans="1:12">
      <c r="A352" s="3222">
        <v>313</v>
      </c>
      <c r="B352" s="3223" t="s">
        <v>5944</v>
      </c>
      <c r="C352" s="3223"/>
      <c r="D352" s="3223">
        <v>108</v>
      </c>
      <c r="E352" s="3223" t="s">
        <v>3851</v>
      </c>
      <c r="F352" s="3223">
        <v>47.18</v>
      </c>
      <c r="G352" s="3224">
        <f t="shared" si="11"/>
        <v>20.95</v>
      </c>
      <c r="H352" s="3224">
        <f t="shared" si="13"/>
        <v>0.44408023116547801</v>
      </c>
      <c r="I352" s="3227"/>
      <c r="J352" s="3316"/>
      <c r="K352" s="3317"/>
      <c r="L352" s="3210"/>
    </row>
    <row r="353" spans="1:12">
      <c r="A353" s="3222">
        <v>314</v>
      </c>
      <c r="B353" s="3223" t="s">
        <v>5944</v>
      </c>
      <c r="C353" s="3223"/>
      <c r="D353" s="3223">
        <v>109</v>
      </c>
      <c r="E353" s="3223" t="s">
        <v>3851</v>
      </c>
      <c r="F353" s="3223">
        <v>42.77</v>
      </c>
      <c r="G353" s="3224">
        <f t="shared" si="11"/>
        <v>18.989999999999998</v>
      </c>
      <c r="H353" s="3224">
        <f t="shared" si="13"/>
        <v>0.44408023116547801</v>
      </c>
      <c r="I353" s="3227"/>
      <c r="J353" s="3316"/>
      <c r="K353" s="3317"/>
      <c r="L353" s="3210"/>
    </row>
    <row r="354" spans="1:12">
      <c r="A354" s="3222">
        <v>315</v>
      </c>
      <c r="B354" s="3223" t="s">
        <v>5944</v>
      </c>
      <c r="C354" s="3223"/>
      <c r="D354" s="3223">
        <v>110</v>
      </c>
      <c r="E354" s="3223" t="s">
        <v>3851</v>
      </c>
      <c r="F354" s="3223">
        <v>42.77</v>
      </c>
      <c r="G354" s="3224">
        <f t="shared" si="11"/>
        <v>18.989999999999998</v>
      </c>
      <c r="H354" s="3224">
        <f t="shared" si="13"/>
        <v>0.44408023116547801</v>
      </c>
      <c r="I354" s="3227"/>
      <c r="J354" s="3316"/>
      <c r="K354" s="3317"/>
      <c r="L354" s="3210"/>
    </row>
    <row r="355" spans="1:12">
      <c r="A355" s="3222">
        <v>316</v>
      </c>
      <c r="B355" s="3223" t="s">
        <v>5944</v>
      </c>
      <c r="C355" s="3223"/>
      <c r="D355" s="3223">
        <v>111</v>
      </c>
      <c r="E355" s="3223" t="s">
        <v>3851</v>
      </c>
      <c r="F355" s="3223">
        <v>47.18</v>
      </c>
      <c r="G355" s="3224">
        <f t="shared" si="11"/>
        <v>20.95</v>
      </c>
      <c r="H355" s="3224">
        <f t="shared" si="13"/>
        <v>0.44408023116547801</v>
      </c>
      <c r="I355" s="3227"/>
      <c r="J355" s="3316"/>
      <c r="K355" s="3317"/>
      <c r="L355" s="3210"/>
    </row>
    <row r="356" spans="1:12">
      <c r="A356" s="3222">
        <v>317</v>
      </c>
      <c r="B356" s="3223" t="s">
        <v>5944</v>
      </c>
      <c r="C356" s="3223"/>
      <c r="D356" s="3223">
        <v>112</v>
      </c>
      <c r="E356" s="3223" t="s">
        <v>3851</v>
      </c>
      <c r="F356" s="3223">
        <v>62.35</v>
      </c>
      <c r="G356" s="3224">
        <f t="shared" si="11"/>
        <v>27.69</v>
      </c>
      <c r="H356" s="3224">
        <f t="shared" si="13"/>
        <v>0.44408023116547801</v>
      </c>
      <c r="I356" s="3227"/>
      <c r="J356" s="3316"/>
      <c r="K356" s="3317"/>
      <c r="L356" s="3210"/>
    </row>
    <row r="357" spans="1:12">
      <c r="A357" s="3222">
        <v>318</v>
      </c>
      <c r="B357" s="3223" t="s">
        <v>5944</v>
      </c>
      <c r="C357" s="3223"/>
      <c r="D357" s="3223">
        <v>113</v>
      </c>
      <c r="E357" s="3223" t="s">
        <v>3851</v>
      </c>
      <c r="F357" s="3223">
        <v>61.39</v>
      </c>
      <c r="G357" s="3224">
        <f t="shared" si="11"/>
        <v>27.26</v>
      </c>
      <c r="H357" s="3224">
        <f t="shared" si="13"/>
        <v>0.44408023116547801</v>
      </c>
      <c r="I357" s="3227"/>
      <c r="J357" s="3316"/>
      <c r="K357" s="3317"/>
      <c r="L357" s="3210"/>
    </row>
    <row r="358" spans="1:12">
      <c r="A358" s="3222">
        <v>319</v>
      </c>
      <c r="B358" s="3223" t="s">
        <v>5944</v>
      </c>
      <c r="C358" s="3223"/>
      <c r="D358" s="3223">
        <v>114</v>
      </c>
      <c r="E358" s="3223" t="s">
        <v>3851</v>
      </c>
      <c r="F358" s="3223">
        <v>61.39</v>
      </c>
      <c r="G358" s="3224">
        <f t="shared" si="11"/>
        <v>27.26</v>
      </c>
      <c r="H358" s="3224">
        <f t="shared" si="13"/>
        <v>0.44408023116547801</v>
      </c>
      <c r="I358" s="3227"/>
      <c r="J358" s="3316"/>
      <c r="K358" s="3317"/>
      <c r="L358" s="3210"/>
    </row>
    <row r="359" spans="1:12">
      <c r="A359" s="3222">
        <v>320</v>
      </c>
      <c r="B359" s="3223" t="s">
        <v>5944</v>
      </c>
      <c r="C359" s="3223"/>
      <c r="D359" s="3223">
        <v>115</v>
      </c>
      <c r="E359" s="3223" t="s">
        <v>3851</v>
      </c>
      <c r="F359" s="3223">
        <v>62.35</v>
      </c>
      <c r="G359" s="3224">
        <f t="shared" si="11"/>
        <v>27.69</v>
      </c>
      <c r="H359" s="3224">
        <f t="shared" si="13"/>
        <v>0.44408023116547801</v>
      </c>
      <c r="I359" s="3227"/>
      <c r="J359" s="3316"/>
      <c r="K359" s="3317"/>
      <c r="L359" s="3210"/>
    </row>
    <row r="360" spans="1:12">
      <c r="A360" s="3222">
        <v>321</v>
      </c>
      <c r="B360" s="3223" t="s">
        <v>5944</v>
      </c>
      <c r="C360" s="3223"/>
      <c r="D360" s="3223">
        <v>116</v>
      </c>
      <c r="E360" s="3223" t="s">
        <v>3851</v>
      </c>
      <c r="F360" s="3223">
        <v>47.18</v>
      </c>
      <c r="G360" s="3224">
        <f t="shared" si="11"/>
        <v>20.95</v>
      </c>
      <c r="H360" s="3224">
        <f t="shared" si="13"/>
        <v>0.44408023116547801</v>
      </c>
      <c r="I360" s="3227"/>
      <c r="J360" s="3316"/>
      <c r="K360" s="3317"/>
      <c r="L360" s="3210"/>
    </row>
    <row r="361" spans="1:12">
      <c r="A361" s="3222">
        <v>322</v>
      </c>
      <c r="B361" s="3223" t="s">
        <v>5944</v>
      </c>
      <c r="C361" s="3223"/>
      <c r="D361" s="3223">
        <v>117</v>
      </c>
      <c r="E361" s="3223" t="s">
        <v>3851</v>
      </c>
      <c r="F361" s="3223">
        <v>54.43</v>
      </c>
      <c r="G361" s="3224">
        <f t="shared" ref="G361:G424" si="14">ROUND(F361*H361,2)</f>
        <v>24.17</v>
      </c>
      <c r="H361" s="3224">
        <f t="shared" si="13"/>
        <v>0.44408023116547801</v>
      </c>
      <c r="I361" s="3227"/>
      <c r="J361" s="3316"/>
      <c r="K361" s="3317"/>
      <c r="L361" s="3210"/>
    </row>
    <row r="362" spans="1:12">
      <c r="A362" s="3222">
        <v>323</v>
      </c>
      <c r="B362" s="3223" t="s">
        <v>5944</v>
      </c>
      <c r="C362" s="3223"/>
      <c r="D362" s="3223">
        <v>118</v>
      </c>
      <c r="E362" s="3223" t="s">
        <v>3851</v>
      </c>
      <c r="F362" s="3223">
        <v>15.15</v>
      </c>
      <c r="G362" s="3224">
        <f t="shared" si="14"/>
        <v>6.73</v>
      </c>
      <c r="H362" s="3224">
        <f t="shared" si="13"/>
        <v>0.44408023116547801</v>
      </c>
      <c r="I362" s="3227"/>
      <c r="J362" s="3316"/>
      <c r="K362" s="3317"/>
      <c r="L362" s="3210"/>
    </row>
    <row r="363" spans="1:12">
      <c r="A363" s="3222">
        <v>324</v>
      </c>
      <c r="B363" s="3223" t="s">
        <v>5944</v>
      </c>
      <c r="C363" s="3223"/>
      <c r="D363" s="3223">
        <v>119</v>
      </c>
      <c r="E363" s="3223" t="s">
        <v>3851</v>
      </c>
      <c r="F363" s="3223">
        <v>14.91</v>
      </c>
      <c r="G363" s="3224">
        <f t="shared" si="14"/>
        <v>6.62</v>
      </c>
      <c r="H363" s="3224">
        <f t="shared" si="13"/>
        <v>0.44408023116547801</v>
      </c>
      <c r="I363" s="3227"/>
      <c r="J363" s="3320"/>
      <c r="K363" s="3321"/>
      <c r="L363" s="3210"/>
    </row>
    <row r="364" spans="1:12">
      <c r="A364" s="3222">
        <v>325</v>
      </c>
      <c r="B364" s="3223" t="s">
        <v>5944</v>
      </c>
      <c r="C364" s="3223"/>
      <c r="D364" s="3223">
        <v>201</v>
      </c>
      <c r="E364" s="3223" t="s">
        <v>3851</v>
      </c>
      <c r="F364" s="3223">
        <v>22.9</v>
      </c>
      <c r="G364" s="3224">
        <f t="shared" si="14"/>
        <v>10.17</v>
      </c>
      <c r="H364" s="3224">
        <f t="shared" si="13"/>
        <v>0.44408023116547801</v>
      </c>
      <c r="I364" s="3227"/>
      <c r="J364" s="3320"/>
      <c r="K364" s="3321"/>
      <c r="L364" s="3210"/>
    </row>
    <row r="365" spans="1:12">
      <c r="A365" s="3222">
        <v>326</v>
      </c>
      <c r="B365" s="3223" t="s">
        <v>5944</v>
      </c>
      <c r="C365" s="3223"/>
      <c r="D365" s="3223">
        <v>202</v>
      </c>
      <c r="E365" s="3223" t="s">
        <v>3851</v>
      </c>
      <c r="F365" s="3223">
        <v>22.9</v>
      </c>
      <c r="G365" s="3224">
        <f t="shared" si="14"/>
        <v>10.17</v>
      </c>
      <c r="H365" s="3224">
        <f t="shared" si="13"/>
        <v>0.44408023116547801</v>
      </c>
      <c r="I365" s="3227"/>
      <c r="J365" s="3320"/>
      <c r="K365" s="3321"/>
      <c r="L365" s="3210"/>
    </row>
    <row r="366" spans="1:12">
      <c r="A366" s="3222">
        <v>327</v>
      </c>
      <c r="B366" s="3223" t="s">
        <v>5944</v>
      </c>
      <c r="C366" s="3223"/>
      <c r="D366" s="3223">
        <v>203</v>
      </c>
      <c r="E366" s="3223" t="s">
        <v>3851</v>
      </c>
      <c r="F366" s="3223">
        <v>22.9</v>
      </c>
      <c r="G366" s="3224">
        <f t="shared" si="14"/>
        <v>10.17</v>
      </c>
      <c r="H366" s="3224">
        <f t="shared" si="13"/>
        <v>0.44408023116547801</v>
      </c>
      <c r="I366" s="3227"/>
      <c r="J366" s="3316"/>
      <c r="K366" s="3317"/>
      <c r="L366" s="3210"/>
    </row>
    <row r="367" spans="1:12">
      <c r="A367" s="3222">
        <v>328</v>
      </c>
      <c r="B367" s="3223" t="s">
        <v>5944</v>
      </c>
      <c r="C367" s="3223"/>
      <c r="D367" s="3223">
        <v>204</v>
      </c>
      <c r="E367" s="3223" t="s">
        <v>3851</v>
      </c>
      <c r="F367" s="3223">
        <v>21.51</v>
      </c>
      <c r="G367" s="3224">
        <f t="shared" si="14"/>
        <v>9.5500000000000007</v>
      </c>
      <c r="H367" s="3224">
        <f t="shared" si="13"/>
        <v>0.44408023116547801</v>
      </c>
      <c r="I367" s="3227"/>
      <c r="J367" s="3316"/>
      <c r="K367" s="3317"/>
      <c r="L367" s="3209"/>
    </row>
    <row r="368" spans="1:12">
      <c r="A368" s="3222">
        <v>329</v>
      </c>
      <c r="B368" s="3223" t="s">
        <v>3560</v>
      </c>
      <c r="C368" s="3223"/>
      <c r="D368" s="3223">
        <v>302</v>
      </c>
      <c r="E368" s="3223" t="s">
        <v>3395</v>
      </c>
      <c r="F368" s="3223">
        <v>230.81</v>
      </c>
      <c r="G368" s="3224">
        <f t="shared" si="14"/>
        <v>102.5</v>
      </c>
      <c r="H368" s="3224">
        <f t="shared" si="13"/>
        <v>0.44408023116547801</v>
      </c>
      <c r="I368" s="3227"/>
      <c r="J368" s="3316"/>
      <c r="K368" s="3317"/>
      <c r="L368" s="3210"/>
    </row>
    <row r="369" spans="1:12">
      <c r="A369" s="3222">
        <v>330</v>
      </c>
      <c r="B369" s="3223" t="s">
        <v>5945</v>
      </c>
      <c r="C369" s="3223"/>
      <c r="D369" s="3223">
        <v>202</v>
      </c>
      <c r="E369" s="3223" t="s">
        <v>3851</v>
      </c>
      <c r="F369" s="3223">
        <v>30.16</v>
      </c>
      <c r="G369" s="3224">
        <f t="shared" si="14"/>
        <v>13.39</v>
      </c>
      <c r="H369" s="3224">
        <f t="shared" si="13"/>
        <v>0.44408023116547801</v>
      </c>
      <c r="I369" s="3227"/>
      <c r="J369" s="3316"/>
      <c r="K369" s="3317"/>
      <c r="L369" s="3209"/>
    </row>
    <row r="370" spans="1:12">
      <c r="A370" s="3222">
        <v>331</v>
      </c>
      <c r="B370" s="3223" t="s">
        <v>3567</v>
      </c>
      <c r="C370" s="3223"/>
      <c r="D370" s="3223">
        <v>102</v>
      </c>
      <c r="E370" s="3223" t="s">
        <v>3395</v>
      </c>
      <c r="F370" s="3223">
        <v>272.83</v>
      </c>
      <c r="G370" s="3224">
        <f t="shared" si="14"/>
        <v>121.16</v>
      </c>
      <c r="H370" s="3224">
        <f t="shared" si="13"/>
        <v>0.44408023116547801</v>
      </c>
      <c r="I370" s="3227"/>
      <c r="J370" s="3316"/>
      <c r="K370" s="3317"/>
      <c r="L370" s="3210"/>
    </row>
    <row r="371" spans="1:12">
      <c r="A371" s="3222">
        <v>332</v>
      </c>
      <c r="B371" s="3223" t="s">
        <v>5946</v>
      </c>
      <c r="C371" s="3223"/>
      <c r="D371" s="3223">
        <v>106</v>
      </c>
      <c r="E371" s="3223" t="s">
        <v>3851</v>
      </c>
      <c r="F371" s="3223">
        <v>61.69</v>
      </c>
      <c r="G371" s="3224">
        <f t="shared" si="14"/>
        <v>27.4</v>
      </c>
      <c r="H371" s="3224">
        <f t="shared" si="13"/>
        <v>0.44408023116547801</v>
      </c>
      <c r="I371" s="3227"/>
      <c r="J371" s="3316"/>
      <c r="K371" s="3317"/>
      <c r="L371" s="3210"/>
    </row>
    <row r="372" spans="1:12">
      <c r="A372" s="3222">
        <v>333</v>
      </c>
      <c r="B372" s="3223" t="s">
        <v>5946</v>
      </c>
      <c r="C372" s="3223"/>
      <c r="D372" s="3223">
        <v>107</v>
      </c>
      <c r="E372" s="3223" t="s">
        <v>3851</v>
      </c>
      <c r="F372" s="3223">
        <v>62.66</v>
      </c>
      <c r="G372" s="3224">
        <f t="shared" si="14"/>
        <v>27.83</v>
      </c>
      <c r="H372" s="3224">
        <f t="shared" si="13"/>
        <v>0.44408023116547801</v>
      </c>
      <c r="I372" s="3227"/>
      <c r="J372" s="3316"/>
      <c r="K372" s="3317"/>
      <c r="L372" s="3210"/>
    </row>
    <row r="373" spans="1:12">
      <c r="A373" s="3222">
        <v>334</v>
      </c>
      <c r="B373" s="3223" t="s">
        <v>5946</v>
      </c>
      <c r="C373" s="3223"/>
      <c r="D373" s="3223">
        <v>108</v>
      </c>
      <c r="E373" s="3223" t="s">
        <v>3851</v>
      </c>
      <c r="F373" s="3223">
        <v>47.41</v>
      </c>
      <c r="G373" s="3224">
        <f t="shared" si="14"/>
        <v>21.05</v>
      </c>
      <c r="H373" s="3224">
        <f t="shared" ref="H373:H436" si="15">H372</f>
        <v>0.44408023116547801</v>
      </c>
      <c r="I373" s="3227"/>
      <c r="J373" s="3320"/>
      <c r="K373" s="3321"/>
      <c r="L373" s="3210"/>
    </row>
    <row r="374" spans="1:12">
      <c r="A374" s="3222">
        <v>335</v>
      </c>
      <c r="B374" s="3223" t="s">
        <v>5946</v>
      </c>
      <c r="C374" s="3223"/>
      <c r="D374" s="3223">
        <v>109</v>
      </c>
      <c r="E374" s="3223" t="s">
        <v>3851</v>
      </c>
      <c r="F374" s="3223">
        <v>42.6</v>
      </c>
      <c r="G374" s="3224">
        <f t="shared" si="14"/>
        <v>18.920000000000002</v>
      </c>
      <c r="H374" s="3224">
        <f t="shared" si="15"/>
        <v>0.44408023116547801</v>
      </c>
      <c r="I374" s="3227"/>
      <c r="J374" s="3316"/>
      <c r="K374" s="3317"/>
      <c r="L374" s="3210"/>
    </row>
    <row r="375" spans="1:12">
      <c r="A375" s="3222">
        <v>336</v>
      </c>
      <c r="B375" s="3223" t="s">
        <v>5946</v>
      </c>
      <c r="C375" s="3223"/>
      <c r="D375" s="3223">
        <v>202</v>
      </c>
      <c r="E375" s="3223" t="s">
        <v>3851</v>
      </c>
      <c r="F375" s="3223">
        <v>23.01</v>
      </c>
      <c r="G375" s="3224">
        <f t="shared" si="14"/>
        <v>10.220000000000001</v>
      </c>
      <c r="H375" s="3224">
        <f t="shared" si="15"/>
        <v>0.44408023116547801</v>
      </c>
      <c r="I375" s="3227"/>
      <c r="J375" s="3316"/>
      <c r="K375" s="3317"/>
      <c r="L375" s="3209"/>
    </row>
    <row r="376" spans="1:12">
      <c r="A376" s="3222">
        <v>337</v>
      </c>
      <c r="B376" s="3223" t="s">
        <v>3572</v>
      </c>
      <c r="C376" s="3223" t="s">
        <v>5930</v>
      </c>
      <c r="D376" s="3223">
        <v>101</v>
      </c>
      <c r="E376" s="3223" t="s">
        <v>3395</v>
      </c>
      <c r="F376" s="3223">
        <v>272.91000000000003</v>
      </c>
      <c r="G376" s="3224">
        <f t="shared" si="14"/>
        <v>121.19</v>
      </c>
      <c r="H376" s="3224">
        <f t="shared" si="15"/>
        <v>0.44408023116547801</v>
      </c>
      <c r="I376" s="3227"/>
      <c r="J376" s="3316"/>
      <c r="K376" s="3317"/>
      <c r="L376" s="3209"/>
    </row>
    <row r="377" spans="1:12">
      <c r="A377" s="3222">
        <v>338</v>
      </c>
      <c r="B377" s="3223" t="s">
        <v>3572</v>
      </c>
      <c r="C377" s="3223" t="s">
        <v>5930</v>
      </c>
      <c r="D377" s="3223">
        <v>102</v>
      </c>
      <c r="E377" s="3223" t="s">
        <v>3395</v>
      </c>
      <c r="F377" s="3223">
        <v>271.69</v>
      </c>
      <c r="G377" s="3224">
        <f t="shared" si="14"/>
        <v>120.65</v>
      </c>
      <c r="H377" s="3224">
        <f t="shared" si="15"/>
        <v>0.44408023116547801</v>
      </c>
      <c r="I377" s="3227"/>
      <c r="J377" s="3316"/>
      <c r="K377" s="3317"/>
      <c r="L377" s="3209"/>
    </row>
    <row r="378" spans="1:12">
      <c r="A378" s="3222">
        <v>339</v>
      </c>
      <c r="B378" s="3223" t="s">
        <v>3572</v>
      </c>
      <c r="C378" s="3223" t="s">
        <v>5930</v>
      </c>
      <c r="D378" s="3223">
        <v>201</v>
      </c>
      <c r="E378" s="3223" t="s">
        <v>3395</v>
      </c>
      <c r="F378" s="3223">
        <v>272.97000000000003</v>
      </c>
      <c r="G378" s="3224">
        <f t="shared" si="14"/>
        <v>121.22</v>
      </c>
      <c r="H378" s="3224">
        <f t="shared" si="15"/>
        <v>0.44408023116547801</v>
      </c>
      <c r="I378" s="3227"/>
      <c r="J378" s="3316"/>
      <c r="K378" s="3317"/>
      <c r="L378" s="3209"/>
    </row>
    <row r="379" spans="1:12">
      <c r="A379" s="3222">
        <v>340</v>
      </c>
      <c r="B379" s="3223" t="s">
        <v>3572</v>
      </c>
      <c r="C379" s="3223" t="s">
        <v>5930</v>
      </c>
      <c r="D379" s="3223">
        <v>202</v>
      </c>
      <c r="E379" s="3223" t="s">
        <v>3395</v>
      </c>
      <c r="F379" s="3223">
        <v>271.75</v>
      </c>
      <c r="G379" s="3224">
        <f t="shared" si="14"/>
        <v>120.68</v>
      </c>
      <c r="H379" s="3224">
        <f t="shared" si="15"/>
        <v>0.44408023116547801</v>
      </c>
      <c r="I379" s="3227"/>
      <c r="J379" s="3316"/>
      <c r="K379" s="3317"/>
      <c r="L379" s="3209"/>
    </row>
    <row r="380" spans="1:12">
      <c r="A380" s="3222">
        <v>341</v>
      </c>
      <c r="B380" s="3223" t="s">
        <v>3572</v>
      </c>
      <c r="C380" s="3223" t="s">
        <v>5930</v>
      </c>
      <c r="D380" s="3223">
        <v>301</v>
      </c>
      <c r="E380" s="3223" t="s">
        <v>3395</v>
      </c>
      <c r="F380" s="3223">
        <v>272.97000000000003</v>
      </c>
      <c r="G380" s="3224">
        <f t="shared" si="14"/>
        <v>121.22</v>
      </c>
      <c r="H380" s="3224">
        <f t="shared" si="15"/>
        <v>0.44408023116547801</v>
      </c>
      <c r="I380" s="3227"/>
      <c r="J380" s="3316"/>
      <c r="K380" s="3317"/>
      <c r="L380" s="3209"/>
    </row>
    <row r="381" spans="1:12">
      <c r="A381" s="3222">
        <v>342</v>
      </c>
      <c r="B381" s="3223" t="s">
        <v>3572</v>
      </c>
      <c r="C381" s="3223" t="s">
        <v>5930</v>
      </c>
      <c r="D381" s="3223">
        <v>401</v>
      </c>
      <c r="E381" s="3223" t="s">
        <v>3395</v>
      </c>
      <c r="F381" s="3223">
        <v>272.97000000000003</v>
      </c>
      <c r="G381" s="3224">
        <f t="shared" si="14"/>
        <v>121.22</v>
      </c>
      <c r="H381" s="3224">
        <f t="shared" si="15"/>
        <v>0.44408023116547801</v>
      </c>
      <c r="I381" s="3227"/>
      <c r="J381" s="3316"/>
      <c r="K381" s="3317"/>
      <c r="L381" s="3209"/>
    </row>
    <row r="382" spans="1:12">
      <c r="A382" s="3222">
        <v>343</v>
      </c>
      <c r="B382" s="3223" t="s">
        <v>3572</v>
      </c>
      <c r="C382" s="3223" t="s">
        <v>5931</v>
      </c>
      <c r="D382" s="3223">
        <v>101</v>
      </c>
      <c r="E382" s="3223" t="s">
        <v>3395</v>
      </c>
      <c r="F382" s="3223">
        <v>271.69</v>
      </c>
      <c r="G382" s="3224">
        <f t="shared" si="14"/>
        <v>120.65</v>
      </c>
      <c r="H382" s="3224">
        <f t="shared" si="15"/>
        <v>0.44408023116547801</v>
      </c>
      <c r="I382" s="3227"/>
      <c r="J382" s="3316"/>
      <c r="K382" s="3317"/>
      <c r="L382" s="3209"/>
    </row>
    <row r="383" spans="1:12">
      <c r="A383" s="3222">
        <v>344</v>
      </c>
      <c r="B383" s="3223" t="s">
        <v>3572</v>
      </c>
      <c r="C383" s="3223" t="s">
        <v>5931</v>
      </c>
      <c r="D383" s="3223">
        <v>102</v>
      </c>
      <c r="E383" s="3223" t="s">
        <v>3395</v>
      </c>
      <c r="F383" s="3223">
        <v>272.86</v>
      </c>
      <c r="G383" s="3224">
        <f t="shared" si="14"/>
        <v>121.17</v>
      </c>
      <c r="H383" s="3224">
        <f t="shared" si="15"/>
        <v>0.44408023116547801</v>
      </c>
      <c r="I383" s="3227"/>
      <c r="J383" s="3316"/>
      <c r="K383" s="3317"/>
      <c r="L383" s="3209"/>
    </row>
    <row r="384" spans="1:12">
      <c r="A384" s="3222">
        <v>345</v>
      </c>
      <c r="B384" s="3223" t="s">
        <v>3572</v>
      </c>
      <c r="C384" s="3223" t="s">
        <v>5931</v>
      </c>
      <c r="D384" s="3223">
        <v>202</v>
      </c>
      <c r="E384" s="3223" t="s">
        <v>3395</v>
      </c>
      <c r="F384" s="3223">
        <v>272.92</v>
      </c>
      <c r="G384" s="3224">
        <f t="shared" si="14"/>
        <v>121.2</v>
      </c>
      <c r="H384" s="3224">
        <f t="shared" si="15"/>
        <v>0.44408023116547801</v>
      </c>
      <c r="I384" s="3227"/>
      <c r="J384" s="3316"/>
      <c r="K384" s="3317"/>
      <c r="L384" s="3210"/>
    </row>
    <row r="385" spans="1:12">
      <c r="A385" s="3222">
        <v>346</v>
      </c>
      <c r="B385" s="3223" t="s">
        <v>5947</v>
      </c>
      <c r="C385" s="3223"/>
      <c r="D385" s="3223">
        <v>101</v>
      </c>
      <c r="E385" s="3223" t="s">
        <v>3851</v>
      </c>
      <c r="F385" s="3223">
        <v>12.98</v>
      </c>
      <c r="G385" s="3224">
        <f t="shared" si="14"/>
        <v>5.76</v>
      </c>
      <c r="H385" s="3224">
        <f t="shared" si="15"/>
        <v>0.44408023116547801</v>
      </c>
      <c r="I385" s="3227"/>
      <c r="J385" s="3316"/>
      <c r="K385" s="3317"/>
      <c r="L385" s="3210"/>
    </row>
    <row r="386" spans="1:12">
      <c r="A386" s="3222">
        <v>347</v>
      </c>
      <c r="B386" s="3223" t="s">
        <v>5947</v>
      </c>
      <c r="C386" s="3223"/>
      <c r="D386" s="3223">
        <v>102</v>
      </c>
      <c r="E386" s="3223" t="s">
        <v>3851</v>
      </c>
      <c r="F386" s="3223">
        <v>38.93</v>
      </c>
      <c r="G386" s="3224">
        <f t="shared" si="14"/>
        <v>17.29</v>
      </c>
      <c r="H386" s="3224">
        <f t="shared" si="15"/>
        <v>0.44408023116547801</v>
      </c>
      <c r="I386" s="3227"/>
      <c r="J386" s="3316"/>
      <c r="K386" s="3317"/>
      <c r="L386" s="3210"/>
    </row>
    <row r="387" spans="1:12">
      <c r="A387" s="3222">
        <v>348</v>
      </c>
      <c r="B387" s="3223" t="s">
        <v>5947</v>
      </c>
      <c r="C387" s="3223"/>
      <c r="D387" s="3223">
        <v>103</v>
      </c>
      <c r="E387" s="3223" t="s">
        <v>3851</v>
      </c>
      <c r="F387" s="3223">
        <v>47.03</v>
      </c>
      <c r="G387" s="3224">
        <f t="shared" si="14"/>
        <v>20.89</v>
      </c>
      <c r="H387" s="3224">
        <f t="shared" si="15"/>
        <v>0.44408023116547801</v>
      </c>
      <c r="I387" s="3227"/>
      <c r="J387" s="3316"/>
      <c r="K387" s="3317"/>
      <c r="L387" s="3210"/>
    </row>
    <row r="388" spans="1:12">
      <c r="A388" s="3222">
        <v>349</v>
      </c>
      <c r="B388" s="3223" t="s">
        <v>5947</v>
      </c>
      <c r="C388" s="3223"/>
      <c r="D388" s="3223">
        <v>104</v>
      </c>
      <c r="E388" s="3223" t="s">
        <v>3851</v>
      </c>
      <c r="F388" s="3223">
        <v>62.16</v>
      </c>
      <c r="G388" s="3224">
        <f t="shared" si="14"/>
        <v>27.6</v>
      </c>
      <c r="H388" s="3224">
        <f t="shared" si="15"/>
        <v>0.44408023116547801</v>
      </c>
      <c r="I388" s="3227"/>
      <c r="J388" s="3320"/>
      <c r="K388" s="3321"/>
      <c r="L388" s="3210"/>
    </row>
    <row r="389" spans="1:12">
      <c r="A389" s="3222">
        <v>350</v>
      </c>
      <c r="B389" s="3223" t="s">
        <v>5947</v>
      </c>
      <c r="C389" s="3223"/>
      <c r="D389" s="3223">
        <v>105</v>
      </c>
      <c r="E389" s="3223" t="s">
        <v>3851</v>
      </c>
      <c r="F389" s="3223">
        <v>61.2</v>
      </c>
      <c r="G389" s="3224">
        <f t="shared" si="14"/>
        <v>27.18</v>
      </c>
      <c r="H389" s="3224">
        <f t="shared" si="15"/>
        <v>0.44408023116547801</v>
      </c>
      <c r="I389" s="3227"/>
      <c r="J389" s="3320"/>
      <c r="K389" s="3321"/>
      <c r="L389" s="3210"/>
    </row>
    <row r="390" spans="1:12">
      <c r="A390" s="3222">
        <v>351</v>
      </c>
      <c r="B390" s="3223" t="s">
        <v>5947</v>
      </c>
      <c r="C390" s="3223"/>
      <c r="D390" s="3223">
        <v>106</v>
      </c>
      <c r="E390" s="3223" t="s">
        <v>3851</v>
      </c>
      <c r="F390" s="3223">
        <v>61.2</v>
      </c>
      <c r="G390" s="3224">
        <f t="shared" si="14"/>
        <v>27.18</v>
      </c>
      <c r="H390" s="3224">
        <f t="shared" si="15"/>
        <v>0.44408023116547801</v>
      </c>
      <c r="I390" s="3227"/>
      <c r="J390" s="3316"/>
      <c r="K390" s="3317"/>
      <c r="L390" s="3210"/>
    </row>
    <row r="391" spans="1:12">
      <c r="A391" s="3222">
        <v>352</v>
      </c>
      <c r="B391" s="3223" t="s">
        <v>5947</v>
      </c>
      <c r="C391" s="3223"/>
      <c r="D391" s="3223">
        <v>107</v>
      </c>
      <c r="E391" s="3223" t="s">
        <v>3851</v>
      </c>
      <c r="F391" s="3223">
        <v>62.16</v>
      </c>
      <c r="G391" s="3224">
        <f t="shared" si="14"/>
        <v>27.6</v>
      </c>
      <c r="H391" s="3224">
        <f t="shared" si="15"/>
        <v>0.44408023116547801</v>
      </c>
      <c r="I391" s="3227"/>
      <c r="J391" s="3316"/>
      <c r="K391" s="3317"/>
      <c r="L391" s="3210"/>
    </row>
    <row r="392" spans="1:12">
      <c r="A392" s="3222">
        <v>353</v>
      </c>
      <c r="B392" s="3223" t="s">
        <v>5947</v>
      </c>
      <c r="C392" s="3223"/>
      <c r="D392" s="3223">
        <v>108</v>
      </c>
      <c r="E392" s="3223" t="s">
        <v>3851</v>
      </c>
      <c r="F392" s="3223">
        <v>47.03</v>
      </c>
      <c r="G392" s="3224">
        <f t="shared" si="14"/>
        <v>20.89</v>
      </c>
      <c r="H392" s="3224">
        <f t="shared" si="15"/>
        <v>0.44408023116547801</v>
      </c>
      <c r="I392" s="3227"/>
      <c r="J392" s="3316"/>
      <c r="K392" s="3317"/>
      <c r="L392" s="3210"/>
    </row>
    <row r="393" spans="1:12">
      <c r="A393" s="3222">
        <v>354</v>
      </c>
      <c r="B393" s="3223" t="s">
        <v>5947</v>
      </c>
      <c r="C393" s="3223"/>
      <c r="D393" s="3223">
        <v>109</v>
      </c>
      <c r="E393" s="3223" t="s">
        <v>3851</v>
      </c>
      <c r="F393" s="3223">
        <v>42.64</v>
      </c>
      <c r="G393" s="3224">
        <f t="shared" si="14"/>
        <v>18.940000000000001</v>
      </c>
      <c r="H393" s="3224">
        <f t="shared" si="15"/>
        <v>0.44408023116547801</v>
      </c>
      <c r="I393" s="3227"/>
      <c r="J393" s="3316"/>
      <c r="K393" s="3317"/>
      <c r="L393" s="3210"/>
    </row>
    <row r="394" spans="1:12">
      <c r="A394" s="3222">
        <v>355</v>
      </c>
      <c r="B394" s="3223" t="s">
        <v>5947</v>
      </c>
      <c r="C394" s="3223"/>
      <c r="D394" s="3223">
        <v>110</v>
      </c>
      <c r="E394" s="3223" t="s">
        <v>3851</v>
      </c>
      <c r="F394" s="3223">
        <v>42.64</v>
      </c>
      <c r="G394" s="3224">
        <f t="shared" si="14"/>
        <v>18.940000000000001</v>
      </c>
      <c r="H394" s="3224">
        <f t="shared" si="15"/>
        <v>0.44408023116547801</v>
      </c>
      <c r="I394" s="3227"/>
      <c r="J394" s="3316"/>
      <c r="K394" s="3317"/>
      <c r="L394" s="3210"/>
    </row>
    <row r="395" spans="1:12">
      <c r="A395" s="3222">
        <v>356</v>
      </c>
      <c r="B395" s="3223" t="s">
        <v>5947</v>
      </c>
      <c r="C395" s="3223"/>
      <c r="D395" s="3223">
        <v>111</v>
      </c>
      <c r="E395" s="3223" t="s">
        <v>3851</v>
      </c>
      <c r="F395" s="3223">
        <v>47.03</v>
      </c>
      <c r="G395" s="3224">
        <f t="shared" si="14"/>
        <v>20.89</v>
      </c>
      <c r="H395" s="3224">
        <f t="shared" si="15"/>
        <v>0.44408023116547801</v>
      </c>
      <c r="I395" s="3227"/>
      <c r="J395" s="3316"/>
      <c r="K395" s="3317"/>
      <c r="L395" s="3210"/>
    </row>
    <row r="396" spans="1:12">
      <c r="A396" s="3222">
        <v>357</v>
      </c>
      <c r="B396" s="3223" t="s">
        <v>5947</v>
      </c>
      <c r="C396" s="3223"/>
      <c r="D396" s="3223">
        <v>112</v>
      </c>
      <c r="E396" s="3223" t="s">
        <v>3851</v>
      </c>
      <c r="F396" s="3223">
        <v>62.16</v>
      </c>
      <c r="G396" s="3224">
        <f t="shared" si="14"/>
        <v>27.6</v>
      </c>
      <c r="H396" s="3224">
        <f t="shared" si="15"/>
        <v>0.44408023116547801</v>
      </c>
      <c r="I396" s="3227"/>
      <c r="J396" s="3320"/>
      <c r="K396" s="3321"/>
      <c r="L396" s="3210"/>
    </row>
    <row r="397" spans="1:12">
      <c r="A397" s="3222">
        <v>358</v>
      </c>
      <c r="B397" s="3223" t="s">
        <v>5947</v>
      </c>
      <c r="C397" s="3223"/>
      <c r="D397" s="3223">
        <v>113</v>
      </c>
      <c r="E397" s="3223" t="s">
        <v>3851</v>
      </c>
      <c r="F397" s="3223">
        <v>61.2</v>
      </c>
      <c r="G397" s="3224">
        <f t="shared" si="14"/>
        <v>27.18</v>
      </c>
      <c r="H397" s="3224">
        <f t="shared" si="15"/>
        <v>0.44408023116547801</v>
      </c>
      <c r="I397" s="3227"/>
      <c r="J397" s="3320"/>
      <c r="K397" s="3321"/>
      <c r="L397" s="3210"/>
    </row>
    <row r="398" spans="1:12">
      <c r="A398" s="3222">
        <v>359</v>
      </c>
      <c r="B398" s="3223" t="s">
        <v>5947</v>
      </c>
      <c r="C398" s="3223"/>
      <c r="D398" s="3223">
        <v>114</v>
      </c>
      <c r="E398" s="3223" t="s">
        <v>3851</v>
      </c>
      <c r="F398" s="3223">
        <v>61.2</v>
      </c>
      <c r="G398" s="3224">
        <f t="shared" si="14"/>
        <v>27.18</v>
      </c>
      <c r="H398" s="3224">
        <f t="shared" si="15"/>
        <v>0.44408023116547801</v>
      </c>
      <c r="I398" s="3227"/>
      <c r="J398" s="3316"/>
      <c r="K398" s="3317"/>
      <c r="L398" s="3210"/>
    </row>
    <row r="399" spans="1:12">
      <c r="A399" s="3222">
        <v>360</v>
      </c>
      <c r="B399" s="3223" t="s">
        <v>5947</v>
      </c>
      <c r="C399" s="3223"/>
      <c r="D399" s="3223">
        <v>115</v>
      </c>
      <c r="E399" s="3223" t="s">
        <v>3851</v>
      </c>
      <c r="F399" s="3223">
        <v>62.16</v>
      </c>
      <c r="G399" s="3224">
        <f t="shared" si="14"/>
        <v>27.6</v>
      </c>
      <c r="H399" s="3224">
        <f t="shared" si="15"/>
        <v>0.44408023116547801</v>
      </c>
      <c r="I399" s="3227"/>
      <c r="J399" s="3316"/>
      <c r="K399" s="3317"/>
      <c r="L399" s="3210"/>
    </row>
    <row r="400" spans="1:12">
      <c r="A400" s="3222">
        <v>361</v>
      </c>
      <c r="B400" s="3223" t="s">
        <v>5947</v>
      </c>
      <c r="C400" s="3223"/>
      <c r="D400" s="3223">
        <v>116</v>
      </c>
      <c r="E400" s="3223" t="s">
        <v>3851</v>
      </c>
      <c r="F400" s="3223">
        <v>47.03</v>
      </c>
      <c r="G400" s="3224">
        <f t="shared" si="14"/>
        <v>20.89</v>
      </c>
      <c r="H400" s="3224">
        <f t="shared" si="15"/>
        <v>0.44408023116547801</v>
      </c>
      <c r="I400" s="3227"/>
      <c r="J400" s="3316"/>
      <c r="K400" s="3317"/>
      <c r="L400" s="3210"/>
    </row>
    <row r="401" spans="1:12">
      <c r="A401" s="3222">
        <v>362</v>
      </c>
      <c r="B401" s="3223" t="s">
        <v>5947</v>
      </c>
      <c r="C401" s="3223"/>
      <c r="D401" s="3223">
        <v>117</v>
      </c>
      <c r="E401" s="3223" t="s">
        <v>3851</v>
      </c>
      <c r="F401" s="3223">
        <v>54.26</v>
      </c>
      <c r="G401" s="3224">
        <f t="shared" si="14"/>
        <v>24.1</v>
      </c>
      <c r="H401" s="3224">
        <f t="shared" si="15"/>
        <v>0.44408023116547801</v>
      </c>
      <c r="I401" s="3227"/>
      <c r="J401" s="3320"/>
      <c r="K401" s="3321"/>
      <c r="L401" s="3210"/>
    </row>
    <row r="402" spans="1:12">
      <c r="A402" s="3222">
        <v>363</v>
      </c>
      <c r="B402" s="3223" t="s">
        <v>5947</v>
      </c>
      <c r="C402" s="3223"/>
      <c r="D402" s="3223">
        <v>118</v>
      </c>
      <c r="E402" s="3223" t="s">
        <v>3851</v>
      </c>
      <c r="F402" s="3223">
        <v>15.1</v>
      </c>
      <c r="G402" s="3224">
        <f t="shared" si="14"/>
        <v>6.71</v>
      </c>
      <c r="H402" s="3224">
        <f t="shared" si="15"/>
        <v>0.44408023116547801</v>
      </c>
      <c r="I402" s="3227"/>
      <c r="J402" s="3316"/>
      <c r="K402" s="3317"/>
      <c r="L402" s="3210"/>
    </row>
    <row r="403" spans="1:12">
      <c r="A403" s="3222">
        <v>364</v>
      </c>
      <c r="B403" s="3223" t="s">
        <v>5947</v>
      </c>
      <c r="C403" s="3223"/>
      <c r="D403" s="3223">
        <v>201</v>
      </c>
      <c r="E403" s="3223" t="s">
        <v>3851</v>
      </c>
      <c r="F403" s="3223">
        <v>22.83</v>
      </c>
      <c r="G403" s="3224">
        <f t="shared" si="14"/>
        <v>10.14</v>
      </c>
      <c r="H403" s="3224">
        <f t="shared" si="15"/>
        <v>0.44408023116547801</v>
      </c>
      <c r="I403" s="3227"/>
      <c r="J403" s="3316"/>
      <c r="K403" s="3317"/>
      <c r="L403" s="3210"/>
    </row>
    <row r="404" spans="1:12">
      <c r="A404" s="3222">
        <v>365</v>
      </c>
      <c r="B404" s="3223" t="s">
        <v>5947</v>
      </c>
      <c r="C404" s="3223"/>
      <c r="D404" s="3223">
        <v>202</v>
      </c>
      <c r="E404" s="3223" t="s">
        <v>3851</v>
      </c>
      <c r="F404" s="3223">
        <v>22.83</v>
      </c>
      <c r="G404" s="3224">
        <f t="shared" si="14"/>
        <v>10.14</v>
      </c>
      <c r="H404" s="3224">
        <f t="shared" si="15"/>
        <v>0.44408023116547801</v>
      </c>
      <c r="I404" s="3227"/>
      <c r="J404" s="3316"/>
      <c r="K404" s="3317"/>
      <c r="L404" s="3210"/>
    </row>
    <row r="405" spans="1:12">
      <c r="A405" s="3222">
        <v>366</v>
      </c>
      <c r="B405" s="3223" t="s">
        <v>5947</v>
      </c>
      <c r="C405" s="3223"/>
      <c r="D405" s="3223">
        <v>203</v>
      </c>
      <c r="E405" s="3223" t="s">
        <v>3851</v>
      </c>
      <c r="F405" s="3223">
        <v>23.27</v>
      </c>
      <c r="G405" s="3224">
        <f t="shared" si="14"/>
        <v>10.33</v>
      </c>
      <c r="H405" s="3224">
        <f t="shared" si="15"/>
        <v>0.44408023116547801</v>
      </c>
      <c r="I405" s="3227"/>
      <c r="J405" s="3316"/>
      <c r="K405" s="3317"/>
      <c r="L405" s="3210"/>
    </row>
    <row r="406" spans="1:12">
      <c r="A406" s="3222">
        <v>367</v>
      </c>
      <c r="B406" s="3223" t="s">
        <v>5947</v>
      </c>
      <c r="C406" s="3223"/>
      <c r="D406" s="3223">
        <v>204</v>
      </c>
      <c r="E406" s="3223" t="s">
        <v>3851</v>
      </c>
      <c r="F406" s="3223">
        <v>23.49</v>
      </c>
      <c r="G406" s="3224">
        <f t="shared" si="14"/>
        <v>10.43</v>
      </c>
      <c r="H406" s="3224">
        <f t="shared" si="15"/>
        <v>0.44408023116547801</v>
      </c>
      <c r="I406" s="3227"/>
      <c r="J406" s="3316"/>
      <c r="K406" s="3317"/>
      <c r="L406" s="3210"/>
    </row>
    <row r="407" spans="1:12">
      <c r="A407" s="3222">
        <v>371</v>
      </c>
      <c r="B407" s="3223" t="s">
        <v>3591</v>
      </c>
      <c r="C407" s="3223" t="s">
        <v>5931</v>
      </c>
      <c r="D407" s="3223">
        <v>101</v>
      </c>
      <c r="E407" s="3223" t="s">
        <v>3395</v>
      </c>
      <c r="F407" s="3223">
        <v>168.06</v>
      </c>
      <c r="G407" s="3224">
        <f t="shared" si="14"/>
        <v>74.63</v>
      </c>
      <c r="H407" s="3224">
        <f>H410</f>
        <v>0.44408023116547801</v>
      </c>
      <c r="I407" s="3227"/>
      <c r="J407" s="3316"/>
      <c r="K407" s="3317"/>
      <c r="L407" s="3210"/>
    </row>
    <row r="408" spans="1:12">
      <c r="A408" s="3222">
        <v>368</v>
      </c>
      <c r="B408" s="3223" t="s">
        <v>3591</v>
      </c>
      <c r="C408" s="3223" t="s">
        <v>5933</v>
      </c>
      <c r="D408" s="3223">
        <v>101</v>
      </c>
      <c r="E408" s="3223" t="s">
        <v>3395</v>
      </c>
      <c r="F408" s="3223">
        <v>168.06</v>
      </c>
      <c r="G408" s="3224">
        <f t="shared" si="14"/>
        <v>74.63</v>
      </c>
      <c r="H408" s="3224">
        <f>H406</f>
        <v>0.44408023116547801</v>
      </c>
      <c r="I408" s="3227"/>
      <c r="J408" s="3320"/>
      <c r="K408" s="3321"/>
      <c r="L408" s="3210"/>
    </row>
    <row r="409" spans="1:12">
      <c r="A409" s="3222">
        <v>369</v>
      </c>
      <c r="B409" s="3223" t="s">
        <v>3591</v>
      </c>
      <c r="C409" s="3223" t="s">
        <v>5933</v>
      </c>
      <c r="D409" s="3223">
        <v>102</v>
      </c>
      <c r="E409" s="3223" t="s">
        <v>3395</v>
      </c>
      <c r="F409" s="3223">
        <v>192.5</v>
      </c>
      <c r="G409" s="3224">
        <f t="shared" si="14"/>
        <v>85.49</v>
      </c>
      <c r="H409" s="3224">
        <f>H408</f>
        <v>0.44408023116547801</v>
      </c>
      <c r="I409" s="3227"/>
      <c r="J409" s="3316"/>
      <c r="K409" s="3317"/>
      <c r="L409" s="3210"/>
    </row>
    <row r="410" spans="1:12">
      <c r="A410" s="3222">
        <v>370</v>
      </c>
      <c r="B410" s="3223" t="s">
        <v>3591</v>
      </c>
      <c r="C410" s="3223" t="s">
        <v>5933</v>
      </c>
      <c r="D410" s="3223">
        <v>202</v>
      </c>
      <c r="E410" s="3223" t="s">
        <v>3395</v>
      </c>
      <c r="F410" s="3223">
        <v>192.53</v>
      </c>
      <c r="G410" s="3224">
        <f t="shared" si="14"/>
        <v>85.5</v>
      </c>
      <c r="H410" s="3224">
        <f>H409</f>
        <v>0.44408023116547801</v>
      </c>
      <c r="I410" s="3227"/>
      <c r="J410" s="3316"/>
      <c r="K410" s="3317"/>
      <c r="L410" s="3210"/>
    </row>
    <row r="411" spans="1:12">
      <c r="A411" s="3222">
        <v>372</v>
      </c>
      <c r="B411" s="3223" t="s">
        <v>5948</v>
      </c>
      <c r="C411" s="3223"/>
      <c r="D411" s="3223">
        <v>109</v>
      </c>
      <c r="E411" s="3223" t="s">
        <v>3851</v>
      </c>
      <c r="F411" s="3223">
        <v>40.76</v>
      </c>
      <c r="G411" s="3224">
        <f t="shared" si="14"/>
        <v>18.100000000000001</v>
      </c>
      <c r="H411" s="3224">
        <f>H407</f>
        <v>0.44408023116547801</v>
      </c>
      <c r="I411" s="3227"/>
      <c r="J411" s="3316"/>
      <c r="K411" s="3317"/>
      <c r="L411" s="3210"/>
    </row>
    <row r="412" spans="1:12">
      <c r="A412" s="3222">
        <v>373</v>
      </c>
      <c r="B412" s="3223" t="s">
        <v>5948</v>
      </c>
      <c r="C412" s="3223"/>
      <c r="D412" s="3223">
        <v>110</v>
      </c>
      <c r="E412" s="3223" t="s">
        <v>3851</v>
      </c>
      <c r="F412" s="3223">
        <v>55.74</v>
      </c>
      <c r="G412" s="3224">
        <f t="shared" si="14"/>
        <v>24.75</v>
      </c>
      <c r="H412" s="3224">
        <f t="shared" si="15"/>
        <v>0.44408023116547801</v>
      </c>
      <c r="I412" s="3227"/>
      <c r="J412" s="3316"/>
      <c r="K412" s="3317"/>
      <c r="L412" s="3210"/>
    </row>
    <row r="413" spans="1:12">
      <c r="A413" s="3222">
        <v>374</v>
      </c>
      <c r="B413" s="3223" t="s">
        <v>5948</v>
      </c>
      <c r="C413" s="3223"/>
      <c r="D413" s="3223">
        <v>111</v>
      </c>
      <c r="E413" s="3223" t="s">
        <v>3851</v>
      </c>
      <c r="F413" s="3223">
        <v>23.26</v>
      </c>
      <c r="G413" s="3224">
        <f t="shared" si="14"/>
        <v>10.33</v>
      </c>
      <c r="H413" s="3224">
        <f t="shared" si="15"/>
        <v>0.44408023116547801</v>
      </c>
      <c r="I413" s="3227"/>
      <c r="J413" s="3316"/>
      <c r="K413" s="3317"/>
      <c r="L413" s="3210"/>
    </row>
    <row r="414" spans="1:12">
      <c r="A414" s="3222">
        <v>375</v>
      </c>
      <c r="B414" s="3223" t="s">
        <v>5948</v>
      </c>
      <c r="C414" s="3223"/>
      <c r="D414" s="3223">
        <v>115</v>
      </c>
      <c r="E414" s="3223" t="s">
        <v>3851</v>
      </c>
      <c r="F414" s="3223">
        <v>40.46</v>
      </c>
      <c r="G414" s="3224">
        <f t="shared" si="14"/>
        <v>17.97</v>
      </c>
      <c r="H414" s="3224">
        <f t="shared" si="15"/>
        <v>0.44408023116547801</v>
      </c>
      <c r="I414" s="3227"/>
      <c r="J414" s="3316"/>
      <c r="K414" s="3317"/>
      <c r="L414" s="3210"/>
    </row>
    <row r="415" spans="1:12">
      <c r="A415" s="3222">
        <v>376</v>
      </c>
      <c r="B415" s="3223" t="s">
        <v>5948</v>
      </c>
      <c r="C415" s="3223"/>
      <c r="D415" s="3223">
        <v>116</v>
      </c>
      <c r="E415" s="3223" t="s">
        <v>3851</v>
      </c>
      <c r="F415" s="3223">
        <v>55.74</v>
      </c>
      <c r="G415" s="3224">
        <f t="shared" si="14"/>
        <v>24.75</v>
      </c>
      <c r="H415" s="3224">
        <f t="shared" si="15"/>
        <v>0.44408023116547801</v>
      </c>
      <c r="I415" s="3227"/>
      <c r="J415" s="3316"/>
      <c r="K415" s="3317"/>
      <c r="L415" s="3210"/>
    </row>
    <row r="416" spans="1:12">
      <c r="A416" s="3222">
        <v>377</v>
      </c>
      <c r="B416" s="3223" t="s">
        <v>5948</v>
      </c>
      <c r="C416" s="3223"/>
      <c r="D416" s="3223">
        <v>117</v>
      </c>
      <c r="E416" s="3223" t="s">
        <v>3851</v>
      </c>
      <c r="F416" s="3223">
        <v>23.26</v>
      </c>
      <c r="G416" s="3224">
        <f t="shared" si="14"/>
        <v>10.33</v>
      </c>
      <c r="H416" s="3224">
        <f t="shared" si="15"/>
        <v>0.44408023116547801</v>
      </c>
      <c r="I416" s="3227"/>
      <c r="J416" s="3316"/>
      <c r="K416" s="3317"/>
      <c r="L416" s="3210"/>
    </row>
    <row r="417" spans="1:12">
      <c r="A417" s="3222">
        <v>378</v>
      </c>
      <c r="B417" s="3223" t="s">
        <v>5948</v>
      </c>
      <c r="C417" s="3223"/>
      <c r="D417" s="3223">
        <v>118</v>
      </c>
      <c r="E417" s="3223" t="s">
        <v>3851</v>
      </c>
      <c r="F417" s="3223">
        <v>23.26</v>
      </c>
      <c r="G417" s="3224">
        <f t="shared" si="14"/>
        <v>10.33</v>
      </c>
      <c r="H417" s="3224">
        <f t="shared" si="15"/>
        <v>0.44408023116547801</v>
      </c>
      <c r="I417" s="3227"/>
      <c r="J417" s="3316"/>
      <c r="K417" s="3317"/>
      <c r="L417" s="3210"/>
    </row>
    <row r="418" spans="1:12">
      <c r="A418" s="3222">
        <v>379</v>
      </c>
      <c r="B418" s="3223" t="s">
        <v>5948</v>
      </c>
      <c r="C418" s="3223"/>
      <c r="D418" s="3223">
        <v>119</v>
      </c>
      <c r="E418" s="3223" t="s">
        <v>3851</v>
      </c>
      <c r="F418" s="3223">
        <v>52.86</v>
      </c>
      <c r="G418" s="3224">
        <f t="shared" si="14"/>
        <v>23.47</v>
      </c>
      <c r="H418" s="3224">
        <f t="shared" si="15"/>
        <v>0.44408023116547801</v>
      </c>
      <c r="I418" s="3227"/>
      <c r="J418" s="3316"/>
      <c r="K418" s="3317"/>
      <c r="L418" s="3210"/>
    </row>
    <row r="419" spans="1:12">
      <c r="A419" s="3222">
        <v>380</v>
      </c>
      <c r="B419" s="3223" t="s">
        <v>5948</v>
      </c>
      <c r="C419" s="3223"/>
      <c r="D419" s="3223">
        <v>120</v>
      </c>
      <c r="E419" s="3223" t="s">
        <v>3851</v>
      </c>
      <c r="F419" s="3223">
        <v>45.76</v>
      </c>
      <c r="G419" s="3224">
        <f t="shared" si="14"/>
        <v>20.32</v>
      </c>
      <c r="H419" s="3224">
        <f t="shared" si="15"/>
        <v>0.44408023116547801</v>
      </c>
      <c r="I419" s="3227"/>
      <c r="J419" s="3316"/>
      <c r="K419" s="3317"/>
      <c r="L419" s="3210"/>
    </row>
    <row r="420" spans="1:12">
      <c r="A420" s="3222">
        <v>381</v>
      </c>
      <c r="B420" s="3223" t="s">
        <v>5948</v>
      </c>
      <c r="C420" s="3223"/>
      <c r="D420" s="3223">
        <v>121</v>
      </c>
      <c r="E420" s="3223" t="s">
        <v>3851</v>
      </c>
      <c r="F420" s="3223">
        <v>16.02</v>
      </c>
      <c r="G420" s="3224">
        <f t="shared" si="14"/>
        <v>7.11</v>
      </c>
      <c r="H420" s="3224">
        <f t="shared" si="15"/>
        <v>0.44408023116547801</v>
      </c>
      <c r="I420" s="3227"/>
      <c r="J420" s="3320"/>
      <c r="K420" s="3321"/>
      <c r="L420" s="3210"/>
    </row>
    <row r="421" spans="1:12">
      <c r="A421" s="3222">
        <v>382</v>
      </c>
      <c r="B421" s="3223" t="s">
        <v>5948</v>
      </c>
      <c r="C421" s="3223"/>
      <c r="D421" s="3223">
        <v>122</v>
      </c>
      <c r="E421" s="3223" t="s">
        <v>3851</v>
      </c>
      <c r="F421" s="3223">
        <v>30.5</v>
      </c>
      <c r="G421" s="3224">
        <f t="shared" si="14"/>
        <v>13.54</v>
      </c>
      <c r="H421" s="3224">
        <f t="shared" si="15"/>
        <v>0.44408023116547801</v>
      </c>
      <c r="I421" s="3227"/>
      <c r="J421" s="3316"/>
      <c r="K421" s="3317"/>
      <c r="L421" s="3210"/>
    </row>
    <row r="422" spans="1:12">
      <c r="A422" s="3222">
        <v>383</v>
      </c>
      <c r="B422" s="3223" t="s">
        <v>5948</v>
      </c>
      <c r="C422" s="3223"/>
      <c r="D422" s="3223">
        <v>123</v>
      </c>
      <c r="E422" s="3223" t="s">
        <v>3851</v>
      </c>
      <c r="F422" s="3223">
        <v>15.08</v>
      </c>
      <c r="G422" s="3224">
        <f t="shared" si="14"/>
        <v>6.7</v>
      </c>
      <c r="H422" s="3224">
        <f t="shared" si="15"/>
        <v>0.44408023116547801</v>
      </c>
      <c r="I422" s="3227"/>
      <c r="J422" s="3316"/>
      <c r="K422" s="3317"/>
      <c r="L422" s="3210"/>
    </row>
    <row r="423" spans="1:12">
      <c r="A423" s="3222">
        <v>384</v>
      </c>
      <c r="B423" s="3223" t="s">
        <v>5948</v>
      </c>
      <c r="C423" s="3223"/>
      <c r="D423" s="3223">
        <v>125</v>
      </c>
      <c r="E423" s="3223" t="s">
        <v>3851</v>
      </c>
      <c r="F423" s="3223">
        <v>18.850000000000001</v>
      </c>
      <c r="G423" s="3224">
        <f t="shared" si="14"/>
        <v>8.3699999999999992</v>
      </c>
      <c r="H423" s="3224">
        <f t="shared" si="15"/>
        <v>0.44408023116547801</v>
      </c>
      <c r="I423" s="3227"/>
      <c r="J423" s="3316"/>
      <c r="K423" s="3317"/>
      <c r="L423" s="3210"/>
    </row>
    <row r="424" spans="1:12">
      <c r="A424" s="3222">
        <v>385</v>
      </c>
      <c r="B424" s="3223" t="s">
        <v>5948</v>
      </c>
      <c r="C424" s="3223"/>
      <c r="D424" s="3223">
        <v>126</v>
      </c>
      <c r="E424" s="3223" t="s">
        <v>3851</v>
      </c>
      <c r="F424" s="3223">
        <v>15.08</v>
      </c>
      <c r="G424" s="3224">
        <f t="shared" si="14"/>
        <v>6.7</v>
      </c>
      <c r="H424" s="3224">
        <f t="shared" si="15"/>
        <v>0.44408023116547801</v>
      </c>
      <c r="I424" s="3227"/>
      <c r="J424" s="3316"/>
      <c r="K424" s="3317"/>
      <c r="L424" s="3210"/>
    </row>
    <row r="425" spans="1:12">
      <c r="A425" s="3222">
        <v>386</v>
      </c>
      <c r="B425" s="3223" t="s">
        <v>5948</v>
      </c>
      <c r="C425" s="3223"/>
      <c r="D425" s="3223">
        <v>127</v>
      </c>
      <c r="E425" s="3223" t="s">
        <v>3851</v>
      </c>
      <c r="F425" s="3223">
        <v>27.19</v>
      </c>
      <c r="G425" s="3224">
        <f t="shared" ref="G425:G488" si="16">ROUND(F425*H425,2)</f>
        <v>12.07</v>
      </c>
      <c r="H425" s="3224">
        <f t="shared" si="15"/>
        <v>0.44408023116547801</v>
      </c>
      <c r="I425" s="3227"/>
      <c r="J425" s="3316"/>
      <c r="K425" s="3317"/>
      <c r="L425" s="3210"/>
    </row>
    <row r="426" spans="1:12">
      <c r="A426" s="3222">
        <v>387</v>
      </c>
      <c r="B426" s="3223" t="s">
        <v>5948</v>
      </c>
      <c r="C426" s="3223"/>
      <c r="D426" s="3223">
        <v>128</v>
      </c>
      <c r="E426" s="3223" t="s">
        <v>3851</v>
      </c>
      <c r="F426" s="3223">
        <v>19.48</v>
      </c>
      <c r="G426" s="3224">
        <f t="shared" si="16"/>
        <v>8.65</v>
      </c>
      <c r="H426" s="3224">
        <f t="shared" si="15"/>
        <v>0.44408023116547801</v>
      </c>
      <c r="I426" s="3227"/>
      <c r="J426" s="3316"/>
      <c r="K426" s="3317"/>
      <c r="L426" s="3210"/>
    </row>
    <row r="427" spans="1:12">
      <c r="A427" s="3222">
        <v>388</v>
      </c>
      <c r="B427" s="3223" t="s">
        <v>5948</v>
      </c>
      <c r="C427" s="3223"/>
      <c r="D427" s="3223">
        <v>130</v>
      </c>
      <c r="E427" s="3223" t="s">
        <v>3851</v>
      </c>
      <c r="F427" s="3223">
        <v>15.08</v>
      </c>
      <c r="G427" s="3224">
        <f t="shared" si="16"/>
        <v>6.7</v>
      </c>
      <c r="H427" s="3224">
        <f t="shared" si="15"/>
        <v>0.44408023116547801</v>
      </c>
      <c r="I427" s="3227"/>
      <c r="J427" s="3316"/>
      <c r="K427" s="3317"/>
      <c r="L427" s="3210"/>
    </row>
    <row r="428" spans="1:12">
      <c r="A428" s="3222">
        <v>389</v>
      </c>
      <c r="B428" s="3223" t="s">
        <v>5948</v>
      </c>
      <c r="C428" s="3223"/>
      <c r="D428" s="3223">
        <v>203</v>
      </c>
      <c r="E428" s="3223" t="s">
        <v>3851</v>
      </c>
      <c r="F428" s="3223">
        <v>16.489999999999998</v>
      </c>
      <c r="G428" s="3224">
        <f t="shared" si="16"/>
        <v>7.32</v>
      </c>
      <c r="H428" s="3224">
        <f t="shared" si="15"/>
        <v>0.44408023116547801</v>
      </c>
      <c r="I428" s="3227"/>
      <c r="J428" s="3316"/>
      <c r="K428" s="3317"/>
      <c r="L428" s="3210"/>
    </row>
    <row r="429" spans="1:12">
      <c r="A429" s="3222">
        <v>390</v>
      </c>
      <c r="B429" s="3223" t="s">
        <v>5948</v>
      </c>
      <c r="C429" s="3223"/>
      <c r="D429" s="3223">
        <v>210</v>
      </c>
      <c r="E429" s="3223" t="s">
        <v>3851</v>
      </c>
      <c r="F429" s="3223">
        <v>19.71</v>
      </c>
      <c r="G429" s="3224">
        <f t="shared" si="16"/>
        <v>8.75</v>
      </c>
      <c r="H429" s="3224">
        <f t="shared" si="15"/>
        <v>0.44408023116547801</v>
      </c>
      <c r="I429" s="3227"/>
      <c r="J429" s="3316"/>
      <c r="K429" s="3317"/>
      <c r="L429" s="3210"/>
    </row>
    <row r="430" spans="1:12">
      <c r="A430" s="3222">
        <v>391</v>
      </c>
      <c r="B430" s="3223" t="s">
        <v>5948</v>
      </c>
      <c r="C430" s="3223"/>
      <c r="D430" s="3223">
        <v>211</v>
      </c>
      <c r="E430" s="3223" t="s">
        <v>3851</v>
      </c>
      <c r="F430" s="3223">
        <v>17.079999999999998</v>
      </c>
      <c r="G430" s="3224">
        <f t="shared" si="16"/>
        <v>7.58</v>
      </c>
      <c r="H430" s="3224">
        <f t="shared" si="15"/>
        <v>0.44408023116547801</v>
      </c>
      <c r="I430" s="3227"/>
      <c r="J430" s="3316"/>
      <c r="K430" s="3317"/>
      <c r="L430" s="3210"/>
    </row>
    <row r="431" spans="1:12">
      <c r="A431" s="3222">
        <v>392</v>
      </c>
      <c r="B431" s="3223" t="s">
        <v>5948</v>
      </c>
      <c r="C431" s="3223"/>
      <c r="D431" s="3223">
        <v>212</v>
      </c>
      <c r="E431" s="3223" t="s">
        <v>3851</v>
      </c>
      <c r="F431" s="3223">
        <v>19.04</v>
      </c>
      <c r="G431" s="3224">
        <f t="shared" si="16"/>
        <v>8.4600000000000009</v>
      </c>
      <c r="H431" s="3224">
        <f t="shared" si="15"/>
        <v>0.44408023116547801</v>
      </c>
      <c r="I431" s="3227"/>
      <c r="J431" s="3316"/>
      <c r="K431" s="3317"/>
      <c r="L431" s="3210"/>
    </row>
    <row r="432" spans="1:12">
      <c r="A432" s="3222">
        <v>393</v>
      </c>
      <c r="B432" s="3223" t="s">
        <v>5948</v>
      </c>
      <c r="C432" s="3223"/>
      <c r="D432" s="3223">
        <v>213</v>
      </c>
      <c r="E432" s="3223" t="s">
        <v>3851</v>
      </c>
      <c r="F432" s="3223">
        <v>16.489999999999998</v>
      </c>
      <c r="G432" s="3224">
        <f t="shared" si="16"/>
        <v>7.32</v>
      </c>
      <c r="H432" s="3224">
        <f t="shared" si="15"/>
        <v>0.44408023116547801</v>
      </c>
      <c r="I432" s="3227"/>
      <c r="J432" s="3316"/>
      <c r="K432" s="3317"/>
      <c r="L432" s="3209"/>
    </row>
    <row r="433" spans="1:12">
      <c r="A433" s="3222">
        <v>394</v>
      </c>
      <c r="B433" s="3223" t="s">
        <v>3600</v>
      </c>
      <c r="C433" s="3223" t="s">
        <v>5930</v>
      </c>
      <c r="D433" s="3223">
        <v>101</v>
      </c>
      <c r="E433" s="3223" t="s">
        <v>3395</v>
      </c>
      <c r="F433" s="3223">
        <v>272.91000000000003</v>
      </c>
      <c r="G433" s="3224">
        <f t="shared" si="16"/>
        <v>121.19</v>
      </c>
      <c r="H433" s="3224">
        <f t="shared" si="15"/>
        <v>0.44408023116547801</v>
      </c>
      <c r="I433" s="3227"/>
      <c r="J433" s="3316"/>
      <c r="K433" s="3317"/>
      <c r="L433" s="3209"/>
    </row>
    <row r="434" spans="1:12">
      <c r="A434" s="3222">
        <v>395</v>
      </c>
      <c r="B434" s="3223" t="s">
        <v>3600</v>
      </c>
      <c r="C434" s="3223" t="s">
        <v>5930</v>
      </c>
      <c r="D434" s="3223">
        <v>102</v>
      </c>
      <c r="E434" s="3223" t="s">
        <v>3395</v>
      </c>
      <c r="F434" s="3223">
        <v>271.73</v>
      </c>
      <c r="G434" s="3224">
        <f t="shared" si="16"/>
        <v>120.67</v>
      </c>
      <c r="H434" s="3224">
        <f t="shared" si="15"/>
        <v>0.44408023116547801</v>
      </c>
      <c r="I434" s="3227"/>
      <c r="J434" s="3320"/>
      <c r="K434" s="3321"/>
      <c r="L434" s="3209"/>
    </row>
    <row r="435" spans="1:12">
      <c r="A435" s="3222">
        <v>396</v>
      </c>
      <c r="B435" s="3223" t="s">
        <v>3600</v>
      </c>
      <c r="C435" s="3223" t="s">
        <v>5930</v>
      </c>
      <c r="D435" s="3223">
        <v>202</v>
      </c>
      <c r="E435" s="3223" t="s">
        <v>3395</v>
      </c>
      <c r="F435" s="3223">
        <v>271.8</v>
      </c>
      <c r="G435" s="3224">
        <f t="shared" si="16"/>
        <v>120.7</v>
      </c>
      <c r="H435" s="3224">
        <f t="shared" si="15"/>
        <v>0.44408023116547801</v>
      </c>
      <c r="I435" s="3227"/>
      <c r="J435" s="3320"/>
      <c r="K435" s="3321"/>
      <c r="L435" s="3209"/>
    </row>
    <row r="436" spans="1:12">
      <c r="A436" s="3222">
        <v>397</v>
      </c>
      <c r="B436" s="3223" t="s">
        <v>3600</v>
      </c>
      <c r="C436" s="3223" t="s">
        <v>5930</v>
      </c>
      <c r="D436" s="3223">
        <v>402</v>
      </c>
      <c r="E436" s="3223" t="s">
        <v>3395</v>
      </c>
      <c r="F436" s="3223">
        <v>271.8</v>
      </c>
      <c r="G436" s="3224">
        <f t="shared" si="16"/>
        <v>120.7</v>
      </c>
      <c r="H436" s="3224">
        <f t="shared" si="15"/>
        <v>0.44408023116547801</v>
      </c>
      <c r="I436" s="3227"/>
      <c r="J436" s="3316"/>
      <c r="K436" s="3317"/>
      <c r="L436" s="3209"/>
    </row>
    <row r="437" spans="1:12">
      <c r="A437" s="3222">
        <v>398</v>
      </c>
      <c r="B437" s="3223" t="s">
        <v>3600</v>
      </c>
      <c r="C437" s="3223" t="s">
        <v>5931</v>
      </c>
      <c r="D437" s="3223">
        <v>101</v>
      </c>
      <c r="E437" s="3223" t="s">
        <v>3395</v>
      </c>
      <c r="F437" s="3223">
        <v>271.73</v>
      </c>
      <c r="G437" s="3224">
        <f t="shared" si="16"/>
        <v>120.67</v>
      </c>
      <c r="H437" s="3224">
        <f t="shared" ref="H437:H500" si="17">H436</f>
        <v>0.44408023116547801</v>
      </c>
      <c r="I437" s="3227"/>
      <c r="J437" s="3320"/>
      <c r="K437" s="3321"/>
      <c r="L437" s="3209"/>
    </row>
    <row r="438" spans="1:12">
      <c r="A438" s="3222">
        <v>399</v>
      </c>
      <c r="B438" s="3223" t="s">
        <v>3600</v>
      </c>
      <c r="C438" s="3223" t="s">
        <v>5931</v>
      </c>
      <c r="D438" s="3223">
        <v>201</v>
      </c>
      <c r="E438" s="3223" t="s">
        <v>3395</v>
      </c>
      <c r="F438" s="3223">
        <v>271.8</v>
      </c>
      <c r="G438" s="3224">
        <f t="shared" si="16"/>
        <v>120.7</v>
      </c>
      <c r="H438" s="3224">
        <f t="shared" si="17"/>
        <v>0.44408023116547801</v>
      </c>
      <c r="I438" s="3227"/>
      <c r="J438" s="3316"/>
      <c r="K438" s="3317"/>
      <c r="L438" s="3210"/>
    </row>
    <row r="439" spans="1:12">
      <c r="A439" s="3222">
        <v>400</v>
      </c>
      <c r="B439" s="3223" t="s">
        <v>5949</v>
      </c>
      <c r="C439" s="3223"/>
      <c r="D439" s="3223">
        <v>102</v>
      </c>
      <c r="E439" s="3223" t="s">
        <v>3851</v>
      </c>
      <c r="F439" s="3223">
        <v>42.57</v>
      </c>
      <c r="G439" s="3224">
        <f t="shared" si="16"/>
        <v>18.899999999999999</v>
      </c>
      <c r="H439" s="3224">
        <f t="shared" si="17"/>
        <v>0.44408023116547801</v>
      </c>
      <c r="I439" s="3227"/>
      <c r="J439" s="3316"/>
      <c r="K439" s="3317"/>
      <c r="L439" s="3210"/>
    </row>
    <row r="440" spans="1:12">
      <c r="A440" s="3222">
        <v>401</v>
      </c>
      <c r="B440" s="3223" t="s">
        <v>5949</v>
      </c>
      <c r="C440" s="3223"/>
      <c r="D440" s="3223">
        <v>103</v>
      </c>
      <c r="E440" s="3223" t="s">
        <v>3851</v>
      </c>
      <c r="F440" s="3223">
        <v>47.19</v>
      </c>
      <c r="G440" s="3224">
        <f t="shared" si="16"/>
        <v>20.96</v>
      </c>
      <c r="H440" s="3224">
        <f t="shared" si="17"/>
        <v>0.44408023116547801</v>
      </c>
      <c r="I440" s="3227"/>
      <c r="J440" s="3316"/>
      <c r="K440" s="3317"/>
      <c r="L440" s="3210"/>
    </row>
    <row r="441" spans="1:12">
      <c r="A441" s="3222">
        <v>402</v>
      </c>
      <c r="B441" s="3223" t="s">
        <v>5949</v>
      </c>
      <c r="C441" s="3223"/>
      <c r="D441" s="3223">
        <v>104</v>
      </c>
      <c r="E441" s="3223" t="s">
        <v>3851</v>
      </c>
      <c r="F441" s="3223">
        <v>62.37</v>
      </c>
      <c r="G441" s="3224">
        <f t="shared" si="16"/>
        <v>27.7</v>
      </c>
      <c r="H441" s="3224">
        <f t="shared" si="17"/>
        <v>0.44408023116547801</v>
      </c>
      <c r="I441" s="3227"/>
      <c r="J441" s="3316"/>
      <c r="K441" s="3317"/>
      <c r="L441" s="3210"/>
    </row>
    <row r="442" spans="1:12">
      <c r="A442" s="3222">
        <v>403</v>
      </c>
      <c r="B442" s="3223" t="s">
        <v>5949</v>
      </c>
      <c r="C442" s="3223"/>
      <c r="D442" s="3223">
        <v>105</v>
      </c>
      <c r="E442" s="3223" t="s">
        <v>3851</v>
      </c>
      <c r="F442" s="3223">
        <v>61.41</v>
      </c>
      <c r="G442" s="3224">
        <f t="shared" si="16"/>
        <v>27.27</v>
      </c>
      <c r="H442" s="3224">
        <f t="shared" si="17"/>
        <v>0.44408023116547801</v>
      </c>
      <c r="I442" s="3227"/>
      <c r="J442" s="3316"/>
      <c r="K442" s="3317"/>
      <c r="L442" s="3210"/>
    </row>
    <row r="443" spans="1:12">
      <c r="A443" s="3222">
        <v>404</v>
      </c>
      <c r="B443" s="3223" t="s">
        <v>5949</v>
      </c>
      <c r="C443" s="3223"/>
      <c r="D443" s="3223">
        <v>106</v>
      </c>
      <c r="E443" s="3223" t="s">
        <v>3851</v>
      </c>
      <c r="F443" s="3223">
        <v>61.41</v>
      </c>
      <c r="G443" s="3224">
        <f t="shared" si="16"/>
        <v>27.27</v>
      </c>
      <c r="H443" s="3224">
        <f t="shared" si="17"/>
        <v>0.44408023116547801</v>
      </c>
      <c r="I443" s="3227"/>
      <c r="J443" s="3316"/>
      <c r="K443" s="3317"/>
      <c r="L443" s="3210"/>
    </row>
    <row r="444" spans="1:12">
      <c r="A444" s="3222">
        <v>405</v>
      </c>
      <c r="B444" s="3223" t="s">
        <v>5949</v>
      </c>
      <c r="C444" s="3223"/>
      <c r="D444" s="3223">
        <v>107</v>
      </c>
      <c r="E444" s="3223" t="s">
        <v>3851</v>
      </c>
      <c r="F444" s="3223">
        <v>62.37</v>
      </c>
      <c r="G444" s="3224">
        <f t="shared" si="16"/>
        <v>27.7</v>
      </c>
      <c r="H444" s="3224">
        <f t="shared" si="17"/>
        <v>0.44408023116547801</v>
      </c>
      <c r="I444" s="3227"/>
      <c r="J444" s="3316"/>
      <c r="K444" s="3317"/>
      <c r="L444" s="3210"/>
    </row>
    <row r="445" spans="1:12">
      <c r="A445" s="3222">
        <v>406</v>
      </c>
      <c r="B445" s="3223" t="s">
        <v>5949</v>
      </c>
      <c r="C445" s="3223"/>
      <c r="D445" s="3223">
        <v>108</v>
      </c>
      <c r="E445" s="3223" t="s">
        <v>3851</v>
      </c>
      <c r="F445" s="3223">
        <v>47.19</v>
      </c>
      <c r="G445" s="3224">
        <f t="shared" si="16"/>
        <v>20.96</v>
      </c>
      <c r="H445" s="3224">
        <f t="shared" si="17"/>
        <v>0.44408023116547801</v>
      </c>
      <c r="I445" s="3227"/>
      <c r="J445" s="3316"/>
      <c r="K445" s="3317"/>
      <c r="L445" s="3210"/>
    </row>
    <row r="446" spans="1:12">
      <c r="A446" s="3222">
        <v>407</v>
      </c>
      <c r="B446" s="3223" t="s">
        <v>5949</v>
      </c>
      <c r="C446" s="3223"/>
      <c r="D446" s="3223">
        <v>109</v>
      </c>
      <c r="E446" s="3223" t="s">
        <v>3851</v>
      </c>
      <c r="F446" s="3223">
        <v>42.78</v>
      </c>
      <c r="G446" s="3224">
        <f t="shared" si="16"/>
        <v>19</v>
      </c>
      <c r="H446" s="3224">
        <f t="shared" si="17"/>
        <v>0.44408023116547801</v>
      </c>
      <c r="I446" s="3227"/>
      <c r="J446" s="3316"/>
      <c r="K446" s="3317"/>
      <c r="L446" s="3210"/>
    </row>
    <row r="447" spans="1:12">
      <c r="A447" s="3222">
        <v>408</v>
      </c>
      <c r="B447" s="3223" t="s">
        <v>5949</v>
      </c>
      <c r="C447" s="3223"/>
      <c r="D447" s="3223">
        <v>110</v>
      </c>
      <c r="E447" s="3223" t="s">
        <v>3851</v>
      </c>
      <c r="F447" s="3223">
        <v>42.78</v>
      </c>
      <c r="G447" s="3224">
        <f t="shared" si="16"/>
        <v>19</v>
      </c>
      <c r="H447" s="3224">
        <f t="shared" si="17"/>
        <v>0.44408023116547801</v>
      </c>
      <c r="I447" s="3227"/>
      <c r="J447" s="3316"/>
      <c r="K447" s="3317"/>
      <c r="L447" s="3210"/>
    </row>
    <row r="448" spans="1:12">
      <c r="A448" s="3222">
        <v>409</v>
      </c>
      <c r="B448" s="3223" t="s">
        <v>5949</v>
      </c>
      <c r="C448" s="3223"/>
      <c r="D448" s="3223">
        <v>111</v>
      </c>
      <c r="E448" s="3223" t="s">
        <v>3851</v>
      </c>
      <c r="F448" s="3223">
        <v>47.19</v>
      </c>
      <c r="G448" s="3224">
        <f t="shared" si="16"/>
        <v>20.96</v>
      </c>
      <c r="H448" s="3224">
        <f t="shared" si="17"/>
        <v>0.44408023116547801</v>
      </c>
      <c r="I448" s="3227"/>
      <c r="J448" s="3316"/>
      <c r="K448" s="3317"/>
      <c r="L448" s="3210"/>
    </row>
    <row r="449" spans="1:12">
      <c r="A449" s="3222">
        <v>410</v>
      </c>
      <c r="B449" s="3223" t="s">
        <v>5949</v>
      </c>
      <c r="C449" s="3223"/>
      <c r="D449" s="3223">
        <v>112</v>
      </c>
      <c r="E449" s="3223" t="s">
        <v>3851</v>
      </c>
      <c r="F449" s="3223">
        <v>62.37</v>
      </c>
      <c r="G449" s="3224">
        <f t="shared" si="16"/>
        <v>27.7</v>
      </c>
      <c r="H449" s="3224">
        <f t="shared" si="17"/>
        <v>0.44408023116547801</v>
      </c>
      <c r="I449" s="3227"/>
      <c r="J449" s="3316"/>
      <c r="K449" s="3317"/>
      <c r="L449" s="3210"/>
    </row>
    <row r="450" spans="1:12">
      <c r="A450" s="3222">
        <v>411</v>
      </c>
      <c r="B450" s="3223" t="s">
        <v>5949</v>
      </c>
      <c r="C450" s="3223"/>
      <c r="D450" s="3223">
        <v>113</v>
      </c>
      <c r="E450" s="3223" t="s">
        <v>3851</v>
      </c>
      <c r="F450" s="3223">
        <v>61.41</v>
      </c>
      <c r="G450" s="3224">
        <f t="shared" si="16"/>
        <v>27.27</v>
      </c>
      <c r="H450" s="3224">
        <f t="shared" si="17"/>
        <v>0.44408023116547801</v>
      </c>
      <c r="I450" s="3227"/>
      <c r="J450" s="3316"/>
      <c r="K450" s="3317"/>
      <c r="L450" s="3210"/>
    </row>
    <row r="451" spans="1:12">
      <c r="A451" s="3222">
        <v>412</v>
      </c>
      <c r="B451" s="3223" t="s">
        <v>5949</v>
      </c>
      <c r="C451" s="3223"/>
      <c r="D451" s="3223">
        <v>120</v>
      </c>
      <c r="E451" s="3223" t="s">
        <v>3851</v>
      </c>
      <c r="F451" s="3223">
        <v>14.91</v>
      </c>
      <c r="G451" s="3224">
        <f t="shared" si="16"/>
        <v>6.62</v>
      </c>
      <c r="H451" s="3224">
        <f t="shared" si="17"/>
        <v>0.44408023116547801</v>
      </c>
      <c r="I451" s="3227"/>
      <c r="J451" s="3320"/>
      <c r="K451" s="3321"/>
      <c r="L451" s="3210"/>
    </row>
    <row r="452" spans="1:12">
      <c r="A452" s="3222">
        <v>413</v>
      </c>
      <c r="B452" s="3223" t="s">
        <v>5949</v>
      </c>
      <c r="C452" s="3223"/>
      <c r="D452" s="3223">
        <v>201</v>
      </c>
      <c r="E452" s="3223" t="s">
        <v>3851</v>
      </c>
      <c r="F452" s="3223">
        <v>22.9</v>
      </c>
      <c r="G452" s="3224">
        <f t="shared" si="16"/>
        <v>10.17</v>
      </c>
      <c r="H452" s="3224">
        <f t="shared" si="17"/>
        <v>0.44408023116547801</v>
      </c>
      <c r="I452" s="3227"/>
      <c r="J452" s="3320"/>
      <c r="K452" s="3321"/>
      <c r="L452" s="3210"/>
    </row>
    <row r="453" spans="1:12">
      <c r="A453" s="3222">
        <v>414</v>
      </c>
      <c r="B453" s="3223" t="s">
        <v>5949</v>
      </c>
      <c r="C453" s="3223"/>
      <c r="D453" s="3223">
        <v>202</v>
      </c>
      <c r="E453" s="3223" t="s">
        <v>3851</v>
      </c>
      <c r="F453" s="3223">
        <v>22.9</v>
      </c>
      <c r="G453" s="3224">
        <f t="shared" si="16"/>
        <v>10.17</v>
      </c>
      <c r="H453" s="3224">
        <f t="shared" si="17"/>
        <v>0.44408023116547801</v>
      </c>
      <c r="I453" s="3227"/>
      <c r="J453" s="3320"/>
      <c r="K453" s="3321"/>
      <c r="L453" s="3210"/>
    </row>
    <row r="454" spans="1:12">
      <c r="A454" s="3222">
        <v>415</v>
      </c>
      <c r="B454" s="3223" t="s">
        <v>5949</v>
      </c>
      <c r="C454" s="3223"/>
      <c r="D454" s="3223">
        <v>203</v>
      </c>
      <c r="E454" s="3223" t="s">
        <v>3851</v>
      </c>
      <c r="F454" s="3223">
        <v>22.9</v>
      </c>
      <c r="G454" s="3224">
        <f t="shared" si="16"/>
        <v>10.17</v>
      </c>
      <c r="H454" s="3224">
        <f t="shared" si="17"/>
        <v>0.44408023116547801</v>
      </c>
      <c r="I454" s="3227"/>
      <c r="J454" s="3316"/>
      <c r="K454" s="3317"/>
      <c r="L454" s="3210"/>
    </row>
    <row r="455" spans="1:12">
      <c r="A455" s="3222">
        <v>416</v>
      </c>
      <c r="B455" s="3223" t="s">
        <v>3642</v>
      </c>
      <c r="C455" s="3223" t="s">
        <v>5930</v>
      </c>
      <c r="D455" s="3223">
        <v>102</v>
      </c>
      <c r="E455" s="3223" t="s">
        <v>3395</v>
      </c>
      <c r="F455" s="3223">
        <v>210.91</v>
      </c>
      <c r="G455" s="3224">
        <f t="shared" si="16"/>
        <v>93.66</v>
      </c>
      <c r="H455" s="3224">
        <f t="shared" si="17"/>
        <v>0.44408023116547801</v>
      </c>
      <c r="I455" s="3227"/>
      <c r="J455" s="3316"/>
      <c r="K455" s="3317"/>
      <c r="L455" s="3210"/>
    </row>
    <row r="456" spans="1:12">
      <c r="A456" s="3222">
        <v>417</v>
      </c>
      <c r="B456" s="3223" t="s">
        <v>3642</v>
      </c>
      <c r="C456" s="3223" t="s">
        <v>5931</v>
      </c>
      <c r="D456" s="3223">
        <v>101</v>
      </c>
      <c r="E456" s="3223" t="s">
        <v>3395</v>
      </c>
      <c r="F456" s="3223">
        <v>210.91</v>
      </c>
      <c r="G456" s="3224">
        <f t="shared" si="16"/>
        <v>93.66</v>
      </c>
      <c r="H456" s="3224">
        <f t="shared" si="17"/>
        <v>0.44408023116547801</v>
      </c>
      <c r="I456" s="3227"/>
      <c r="J456" s="3316"/>
      <c r="K456" s="3317"/>
      <c r="L456" s="3209"/>
    </row>
    <row r="457" spans="1:12">
      <c r="A457" s="3222">
        <v>418</v>
      </c>
      <c r="B457" s="3223" t="s">
        <v>3642</v>
      </c>
      <c r="C457" s="3223" t="s">
        <v>5931</v>
      </c>
      <c r="D457" s="3223">
        <v>202</v>
      </c>
      <c r="E457" s="3223" t="s">
        <v>3395</v>
      </c>
      <c r="F457" s="3223">
        <v>230.81</v>
      </c>
      <c r="G457" s="3224">
        <f t="shared" si="16"/>
        <v>102.5</v>
      </c>
      <c r="H457" s="3224">
        <f t="shared" si="17"/>
        <v>0.44408023116547801</v>
      </c>
      <c r="I457" s="3227"/>
      <c r="J457" s="3316"/>
      <c r="K457" s="3317"/>
      <c r="L457" s="3209"/>
    </row>
    <row r="458" spans="1:12">
      <c r="A458" s="3222">
        <v>419</v>
      </c>
      <c r="B458" s="3223" t="s">
        <v>3642</v>
      </c>
      <c r="C458" s="3223" t="s">
        <v>5931</v>
      </c>
      <c r="D458" s="3223">
        <v>302</v>
      </c>
      <c r="E458" s="3223" t="s">
        <v>3395</v>
      </c>
      <c r="F458" s="3223">
        <v>230.81</v>
      </c>
      <c r="G458" s="3224">
        <f t="shared" si="16"/>
        <v>102.5</v>
      </c>
      <c r="H458" s="3224">
        <f t="shared" si="17"/>
        <v>0.44408023116547801</v>
      </c>
      <c r="I458" s="3227"/>
      <c r="J458" s="3316"/>
      <c r="K458" s="3317"/>
      <c r="L458" s="3210"/>
    </row>
    <row r="459" spans="1:12">
      <c r="A459" s="3222">
        <v>420</v>
      </c>
      <c r="B459" s="3223" t="s">
        <v>5950</v>
      </c>
      <c r="C459" s="3223"/>
      <c r="D459" s="3223">
        <v>106</v>
      </c>
      <c r="E459" s="3223" t="s">
        <v>3851</v>
      </c>
      <c r="F459" s="3223">
        <v>34.520000000000003</v>
      </c>
      <c r="G459" s="3224">
        <f t="shared" si="16"/>
        <v>15.33</v>
      </c>
      <c r="H459" s="3224">
        <f t="shared" si="17"/>
        <v>0.44408023116547801</v>
      </c>
      <c r="I459" s="3227"/>
      <c r="J459" s="3316"/>
      <c r="K459" s="3317"/>
      <c r="L459" s="3210"/>
    </row>
    <row r="460" spans="1:12">
      <c r="A460" s="3222">
        <v>421</v>
      </c>
      <c r="B460" s="3223" t="s">
        <v>5950</v>
      </c>
      <c r="C460" s="3223"/>
      <c r="D460" s="3223">
        <v>107</v>
      </c>
      <c r="E460" s="3223" t="s">
        <v>3851</v>
      </c>
      <c r="F460" s="3223">
        <v>63.28</v>
      </c>
      <c r="G460" s="3224">
        <f t="shared" si="16"/>
        <v>28.1</v>
      </c>
      <c r="H460" s="3224">
        <f t="shared" si="17"/>
        <v>0.44408023116547801</v>
      </c>
      <c r="I460" s="3227"/>
      <c r="J460" s="3316"/>
      <c r="K460" s="3317"/>
      <c r="L460" s="3210"/>
    </row>
    <row r="461" spans="1:12">
      <c r="A461" s="3222">
        <v>422</v>
      </c>
      <c r="B461" s="3223" t="s">
        <v>5950</v>
      </c>
      <c r="C461" s="3223"/>
      <c r="D461" s="3223">
        <v>108</v>
      </c>
      <c r="E461" s="3223" t="s">
        <v>3851</v>
      </c>
      <c r="F461" s="3223">
        <v>47.64</v>
      </c>
      <c r="G461" s="3224">
        <f t="shared" si="16"/>
        <v>21.16</v>
      </c>
      <c r="H461" s="3224">
        <f t="shared" si="17"/>
        <v>0.44408023116547801</v>
      </c>
      <c r="I461" s="3227"/>
      <c r="J461" s="3316"/>
      <c r="K461" s="3317"/>
      <c r="L461" s="3210"/>
    </row>
    <row r="462" spans="1:12">
      <c r="A462" s="3222">
        <v>423</v>
      </c>
      <c r="B462" s="3223" t="s">
        <v>5950</v>
      </c>
      <c r="C462" s="3223"/>
      <c r="D462" s="3223">
        <v>109</v>
      </c>
      <c r="E462" s="3223" t="s">
        <v>3851</v>
      </c>
      <c r="F462" s="3223">
        <v>47.64</v>
      </c>
      <c r="G462" s="3224">
        <f t="shared" si="16"/>
        <v>21.16</v>
      </c>
      <c r="H462" s="3224">
        <f t="shared" si="17"/>
        <v>0.44408023116547801</v>
      </c>
      <c r="I462" s="3227"/>
      <c r="J462" s="3316"/>
      <c r="K462" s="3317"/>
      <c r="L462" s="3210"/>
    </row>
    <row r="463" spans="1:12">
      <c r="A463" s="3222">
        <v>424</v>
      </c>
      <c r="B463" s="3223" t="s">
        <v>5950</v>
      </c>
      <c r="C463" s="3223"/>
      <c r="D463" s="3223">
        <v>110</v>
      </c>
      <c r="E463" s="3223" t="s">
        <v>3851</v>
      </c>
      <c r="F463" s="3223">
        <v>63.28</v>
      </c>
      <c r="G463" s="3224">
        <f t="shared" si="16"/>
        <v>28.1</v>
      </c>
      <c r="H463" s="3224">
        <f t="shared" si="17"/>
        <v>0.44408023116547801</v>
      </c>
      <c r="I463" s="3227"/>
      <c r="J463" s="3316"/>
      <c r="K463" s="3317"/>
      <c r="L463" s="3210"/>
    </row>
    <row r="464" spans="1:12">
      <c r="A464" s="3222">
        <v>425</v>
      </c>
      <c r="B464" s="3223" t="s">
        <v>5950</v>
      </c>
      <c r="C464" s="3223"/>
      <c r="D464" s="3223">
        <v>111</v>
      </c>
      <c r="E464" s="3223" t="s">
        <v>3851</v>
      </c>
      <c r="F464" s="3223">
        <v>34.520000000000003</v>
      </c>
      <c r="G464" s="3224">
        <f t="shared" si="16"/>
        <v>15.33</v>
      </c>
      <c r="H464" s="3224">
        <f t="shared" si="17"/>
        <v>0.44408023116547801</v>
      </c>
      <c r="I464" s="3227"/>
      <c r="J464" s="3316"/>
      <c r="K464" s="3317"/>
      <c r="L464" s="3210"/>
    </row>
    <row r="465" spans="1:12">
      <c r="A465" s="3222">
        <v>426</v>
      </c>
      <c r="B465" s="3223" t="s">
        <v>5950</v>
      </c>
      <c r="C465" s="3223"/>
      <c r="D465" s="3223">
        <v>112</v>
      </c>
      <c r="E465" s="3223" t="s">
        <v>3851</v>
      </c>
      <c r="F465" s="3223">
        <v>34.520000000000003</v>
      </c>
      <c r="G465" s="3224">
        <f t="shared" si="16"/>
        <v>15.33</v>
      </c>
      <c r="H465" s="3224">
        <f t="shared" si="17"/>
        <v>0.44408023116547801</v>
      </c>
      <c r="I465" s="3227"/>
      <c r="J465" s="3316"/>
      <c r="K465" s="3317"/>
      <c r="L465" s="3210"/>
    </row>
    <row r="466" spans="1:12">
      <c r="A466" s="3222">
        <v>427</v>
      </c>
      <c r="B466" s="3223" t="s">
        <v>5950</v>
      </c>
      <c r="C466" s="3223"/>
      <c r="D466" s="3223">
        <v>113</v>
      </c>
      <c r="E466" s="3223" t="s">
        <v>3851</v>
      </c>
      <c r="F466" s="3223">
        <v>63.57</v>
      </c>
      <c r="G466" s="3224">
        <f t="shared" si="16"/>
        <v>28.23</v>
      </c>
      <c r="H466" s="3224">
        <f t="shared" si="17"/>
        <v>0.44408023116547801</v>
      </c>
      <c r="I466" s="3227"/>
      <c r="J466" s="3316"/>
      <c r="K466" s="3317"/>
      <c r="L466" s="3210"/>
    </row>
    <row r="467" spans="1:12">
      <c r="A467" s="3222">
        <v>428</v>
      </c>
      <c r="B467" s="3223" t="s">
        <v>5950</v>
      </c>
      <c r="C467" s="3223"/>
      <c r="D467" s="3223">
        <v>114</v>
      </c>
      <c r="E467" s="3223" t="s">
        <v>3851</v>
      </c>
      <c r="F467" s="3223">
        <v>57.85</v>
      </c>
      <c r="G467" s="3224">
        <f t="shared" si="16"/>
        <v>25.69</v>
      </c>
      <c r="H467" s="3224">
        <f t="shared" si="17"/>
        <v>0.44408023116547801</v>
      </c>
      <c r="I467" s="3227"/>
      <c r="J467" s="3316"/>
      <c r="K467" s="3317"/>
      <c r="L467" s="3210"/>
    </row>
    <row r="468" spans="1:12">
      <c r="A468" s="3222">
        <v>429</v>
      </c>
      <c r="B468" s="3223" t="s">
        <v>5950</v>
      </c>
      <c r="C468" s="3223"/>
      <c r="D468" s="3223">
        <v>115</v>
      </c>
      <c r="E468" s="3223" t="s">
        <v>3851</v>
      </c>
      <c r="F468" s="3223">
        <v>30.97</v>
      </c>
      <c r="G468" s="3224">
        <f t="shared" si="16"/>
        <v>13.75</v>
      </c>
      <c r="H468" s="3224">
        <f t="shared" si="17"/>
        <v>0.44408023116547801</v>
      </c>
      <c r="I468" s="3227"/>
      <c r="J468" s="3316"/>
      <c r="K468" s="3317"/>
      <c r="L468" s="3210"/>
    </row>
    <row r="469" spans="1:12">
      <c r="A469" s="3222">
        <v>430</v>
      </c>
      <c r="B469" s="3223" t="s">
        <v>5950</v>
      </c>
      <c r="C469" s="3223"/>
      <c r="D469" s="3223">
        <v>116</v>
      </c>
      <c r="E469" s="3223" t="s">
        <v>3851</v>
      </c>
      <c r="F469" s="3223">
        <v>25.56</v>
      </c>
      <c r="G469" s="3224">
        <f t="shared" si="16"/>
        <v>11.35</v>
      </c>
      <c r="H469" s="3224">
        <f t="shared" si="17"/>
        <v>0.44408023116547801</v>
      </c>
      <c r="I469" s="3227"/>
      <c r="J469" s="3320"/>
      <c r="K469" s="3321"/>
      <c r="L469" s="3210"/>
    </row>
    <row r="470" spans="1:12">
      <c r="A470" s="3222">
        <v>431</v>
      </c>
      <c r="B470" s="3223" t="s">
        <v>5950</v>
      </c>
      <c r="C470" s="3223"/>
      <c r="D470" s="3223">
        <v>202</v>
      </c>
      <c r="E470" s="3223" t="s">
        <v>3851</v>
      </c>
      <c r="F470" s="3223">
        <v>20.2</v>
      </c>
      <c r="G470" s="3224">
        <f t="shared" si="16"/>
        <v>8.9700000000000006</v>
      </c>
      <c r="H470" s="3224">
        <f t="shared" si="17"/>
        <v>0.44408023116547801</v>
      </c>
      <c r="I470" s="3227"/>
      <c r="J470" s="3316"/>
      <c r="K470" s="3317"/>
      <c r="L470" s="3210"/>
    </row>
    <row r="471" spans="1:12">
      <c r="A471" s="3222">
        <v>432</v>
      </c>
      <c r="B471" s="3223" t="s">
        <v>5950</v>
      </c>
      <c r="C471" s="3223"/>
      <c r="D471" s="3223">
        <v>203</v>
      </c>
      <c r="E471" s="3223" t="s">
        <v>3851</v>
      </c>
      <c r="F471" s="3223">
        <v>17.68</v>
      </c>
      <c r="G471" s="3224">
        <f t="shared" si="16"/>
        <v>7.85</v>
      </c>
      <c r="H471" s="3224">
        <f t="shared" si="17"/>
        <v>0.44408023116547801</v>
      </c>
      <c r="I471" s="3227"/>
      <c r="J471" s="3316"/>
      <c r="K471" s="3317"/>
      <c r="L471" s="3210"/>
    </row>
    <row r="472" spans="1:12">
      <c r="A472" s="3222">
        <v>433</v>
      </c>
      <c r="B472" s="3223" t="s">
        <v>5950</v>
      </c>
      <c r="C472" s="3223"/>
      <c r="D472" s="3223">
        <v>204</v>
      </c>
      <c r="E472" s="3223" t="s">
        <v>3851</v>
      </c>
      <c r="F472" s="3223">
        <v>20.22</v>
      </c>
      <c r="G472" s="3224">
        <f t="shared" si="16"/>
        <v>8.98</v>
      </c>
      <c r="H472" s="3224">
        <f t="shared" si="17"/>
        <v>0.44408023116547801</v>
      </c>
      <c r="I472" s="3227"/>
      <c r="J472" s="3316"/>
      <c r="K472" s="3317"/>
      <c r="L472" s="3210"/>
    </row>
    <row r="473" spans="1:12">
      <c r="A473" s="3222">
        <v>434</v>
      </c>
      <c r="B473" s="3223" t="s">
        <v>3655</v>
      </c>
      <c r="C473" s="3223" t="s">
        <v>5930</v>
      </c>
      <c r="D473" s="3223">
        <v>102</v>
      </c>
      <c r="E473" s="3223" t="s">
        <v>3395</v>
      </c>
      <c r="F473" s="3223">
        <v>210.96</v>
      </c>
      <c r="G473" s="3224">
        <f t="shared" si="16"/>
        <v>93.68</v>
      </c>
      <c r="H473" s="3224">
        <f t="shared" si="17"/>
        <v>0.44408023116547801</v>
      </c>
      <c r="I473" s="3227"/>
      <c r="J473" s="3316"/>
      <c r="K473" s="3317"/>
      <c r="L473" s="3210"/>
    </row>
    <row r="474" spans="1:12">
      <c r="A474" s="3222">
        <v>435</v>
      </c>
      <c r="B474" s="3223" t="s">
        <v>5951</v>
      </c>
      <c r="C474" s="3223"/>
      <c r="D474" s="3223">
        <v>106</v>
      </c>
      <c r="E474" s="3223" t="s">
        <v>3851</v>
      </c>
      <c r="F474" s="3223">
        <v>34.020000000000003</v>
      </c>
      <c r="G474" s="3224">
        <f t="shared" si="16"/>
        <v>15.11</v>
      </c>
      <c r="H474" s="3224">
        <f t="shared" si="17"/>
        <v>0.44408023116547801</v>
      </c>
      <c r="I474" s="3227"/>
      <c r="J474" s="3316"/>
      <c r="K474" s="3317"/>
      <c r="L474" s="3210"/>
    </row>
    <row r="475" spans="1:12">
      <c r="A475" s="3222">
        <v>436</v>
      </c>
      <c r="B475" s="3223" t="s">
        <v>5951</v>
      </c>
      <c r="C475" s="3223"/>
      <c r="D475" s="3223">
        <v>107</v>
      </c>
      <c r="E475" s="3223" t="s">
        <v>3851</v>
      </c>
      <c r="F475" s="3223">
        <v>62.35</v>
      </c>
      <c r="G475" s="3224">
        <f t="shared" si="16"/>
        <v>27.69</v>
      </c>
      <c r="H475" s="3224">
        <f t="shared" si="17"/>
        <v>0.44408023116547801</v>
      </c>
      <c r="I475" s="3227"/>
      <c r="J475" s="3316"/>
      <c r="K475" s="3317"/>
      <c r="L475" s="3210"/>
    </row>
    <row r="476" spans="1:12">
      <c r="A476" s="3222">
        <v>437</v>
      </c>
      <c r="B476" s="3223" t="s">
        <v>5951</v>
      </c>
      <c r="C476" s="3223"/>
      <c r="D476" s="3223">
        <v>108</v>
      </c>
      <c r="E476" s="3223" t="s">
        <v>3851</v>
      </c>
      <c r="F476" s="3223">
        <v>47.28</v>
      </c>
      <c r="G476" s="3224">
        <f t="shared" si="16"/>
        <v>21</v>
      </c>
      <c r="H476" s="3224">
        <f t="shared" si="17"/>
        <v>0.44408023116547801</v>
      </c>
      <c r="I476" s="3227"/>
      <c r="J476" s="3316"/>
      <c r="K476" s="3317"/>
      <c r="L476" s="3210"/>
    </row>
    <row r="477" spans="1:12">
      <c r="A477" s="3222">
        <v>438</v>
      </c>
      <c r="B477" s="3223" t="s">
        <v>5951</v>
      </c>
      <c r="C477" s="3223"/>
      <c r="D477" s="3223">
        <v>202</v>
      </c>
      <c r="E477" s="3223" t="s">
        <v>3851</v>
      </c>
      <c r="F477" s="3223">
        <v>19.920000000000002</v>
      </c>
      <c r="G477" s="3224">
        <f t="shared" si="16"/>
        <v>8.85</v>
      </c>
      <c r="H477" s="3224">
        <f t="shared" si="17"/>
        <v>0.44408023116547801</v>
      </c>
      <c r="I477" s="3227"/>
      <c r="J477" s="3316"/>
      <c r="K477" s="3317"/>
      <c r="L477" s="3209"/>
    </row>
    <row r="478" spans="1:12">
      <c r="A478" s="3222">
        <v>439</v>
      </c>
      <c r="B478" s="3223" t="s">
        <v>3662</v>
      </c>
      <c r="C478" s="3223" t="s">
        <v>5930</v>
      </c>
      <c r="D478" s="3223">
        <v>101</v>
      </c>
      <c r="E478" s="3223" t="s">
        <v>3395</v>
      </c>
      <c r="F478" s="3223">
        <v>272.93</v>
      </c>
      <c r="G478" s="3224">
        <f t="shared" si="16"/>
        <v>121.2</v>
      </c>
      <c r="H478" s="3224">
        <f t="shared" si="17"/>
        <v>0.44408023116547801</v>
      </c>
      <c r="I478" s="3227"/>
      <c r="J478" s="3316"/>
      <c r="K478" s="3317"/>
      <c r="L478" s="3209"/>
    </row>
    <row r="479" spans="1:12">
      <c r="A479" s="3222">
        <v>440</v>
      </c>
      <c r="B479" s="3223" t="s">
        <v>3662</v>
      </c>
      <c r="C479" s="3223" t="s">
        <v>5930</v>
      </c>
      <c r="D479" s="3223">
        <v>102</v>
      </c>
      <c r="E479" s="3223" t="s">
        <v>3395</v>
      </c>
      <c r="F479" s="3223">
        <v>271.76</v>
      </c>
      <c r="G479" s="3224">
        <f t="shared" si="16"/>
        <v>120.68</v>
      </c>
      <c r="H479" s="3224">
        <f t="shared" si="17"/>
        <v>0.44408023116547801</v>
      </c>
      <c r="I479" s="3227"/>
      <c r="J479" s="3316"/>
      <c r="K479" s="3317"/>
      <c r="L479" s="3209"/>
    </row>
    <row r="480" spans="1:12">
      <c r="A480" s="3222">
        <v>441</v>
      </c>
      <c r="B480" s="3223" t="s">
        <v>3662</v>
      </c>
      <c r="C480" s="3223" t="s">
        <v>5930</v>
      </c>
      <c r="D480" s="3223">
        <v>201</v>
      </c>
      <c r="E480" s="3223" t="s">
        <v>3395</v>
      </c>
      <c r="F480" s="3223">
        <v>272.99</v>
      </c>
      <c r="G480" s="3224">
        <f t="shared" si="16"/>
        <v>121.23</v>
      </c>
      <c r="H480" s="3224">
        <f t="shared" si="17"/>
        <v>0.44408023116547801</v>
      </c>
      <c r="I480" s="3227"/>
      <c r="J480" s="3316"/>
      <c r="K480" s="3317"/>
      <c r="L480" s="3209"/>
    </row>
    <row r="481" spans="1:12">
      <c r="A481" s="3222">
        <v>442</v>
      </c>
      <c r="B481" s="3223" t="s">
        <v>3662</v>
      </c>
      <c r="C481" s="3223" t="s">
        <v>5930</v>
      </c>
      <c r="D481" s="3223">
        <v>202</v>
      </c>
      <c r="E481" s="3223" t="s">
        <v>3395</v>
      </c>
      <c r="F481" s="3223">
        <v>271.82</v>
      </c>
      <c r="G481" s="3224">
        <f t="shared" si="16"/>
        <v>120.71</v>
      </c>
      <c r="H481" s="3224">
        <f t="shared" si="17"/>
        <v>0.44408023116547801</v>
      </c>
      <c r="I481" s="3227"/>
      <c r="J481" s="3316"/>
      <c r="K481" s="3317"/>
      <c r="L481" s="3209"/>
    </row>
    <row r="482" spans="1:12">
      <c r="A482" s="3222">
        <v>443</v>
      </c>
      <c r="B482" s="3223" t="s">
        <v>3662</v>
      </c>
      <c r="C482" s="3223" t="s">
        <v>5930</v>
      </c>
      <c r="D482" s="3223">
        <v>301</v>
      </c>
      <c r="E482" s="3223" t="s">
        <v>3395</v>
      </c>
      <c r="F482" s="3223">
        <v>272.99</v>
      </c>
      <c r="G482" s="3224">
        <f t="shared" si="16"/>
        <v>121.23</v>
      </c>
      <c r="H482" s="3224">
        <f t="shared" si="17"/>
        <v>0.44408023116547801</v>
      </c>
      <c r="I482" s="3227"/>
      <c r="J482" s="3316"/>
      <c r="K482" s="3317"/>
      <c r="L482" s="3209"/>
    </row>
    <row r="483" spans="1:12">
      <c r="A483" s="3222">
        <v>444</v>
      </c>
      <c r="B483" s="3223" t="s">
        <v>3662</v>
      </c>
      <c r="C483" s="3223" t="s">
        <v>5930</v>
      </c>
      <c r="D483" s="3223">
        <v>302</v>
      </c>
      <c r="E483" s="3223" t="s">
        <v>3395</v>
      </c>
      <c r="F483" s="3223">
        <v>271.82</v>
      </c>
      <c r="G483" s="3224">
        <f t="shared" si="16"/>
        <v>120.71</v>
      </c>
      <c r="H483" s="3224">
        <f t="shared" si="17"/>
        <v>0.44408023116547801</v>
      </c>
      <c r="I483" s="3227"/>
      <c r="J483" s="3316"/>
      <c r="K483" s="3317"/>
      <c r="L483" s="3209"/>
    </row>
    <row r="484" spans="1:12">
      <c r="A484" s="3222">
        <v>445</v>
      </c>
      <c r="B484" s="3223" t="s">
        <v>3662</v>
      </c>
      <c r="C484" s="3223" t="s">
        <v>5930</v>
      </c>
      <c r="D484" s="3223">
        <v>401</v>
      </c>
      <c r="E484" s="3223" t="s">
        <v>3395</v>
      </c>
      <c r="F484" s="3223">
        <v>272.99</v>
      </c>
      <c r="G484" s="3224">
        <f t="shared" si="16"/>
        <v>121.23</v>
      </c>
      <c r="H484" s="3224">
        <f t="shared" si="17"/>
        <v>0.44408023116547801</v>
      </c>
      <c r="I484" s="3227"/>
      <c r="J484" s="3316"/>
      <c r="K484" s="3317"/>
      <c r="L484" s="3209"/>
    </row>
    <row r="485" spans="1:12">
      <c r="A485" s="3222">
        <v>446</v>
      </c>
      <c r="B485" s="3223" t="s">
        <v>3662</v>
      </c>
      <c r="C485" s="3223" t="s">
        <v>5930</v>
      </c>
      <c r="D485" s="3223">
        <v>402</v>
      </c>
      <c r="E485" s="3223" t="s">
        <v>3395</v>
      </c>
      <c r="F485" s="3223">
        <v>271.82</v>
      </c>
      <c r="G485" s="3224">
        <f t="shared" si="16"/>
        <v>120.71</v>
      </c>
      <c r="H485" s="3224">
        <f t="shared" si="17"/>
        <v>0.44408023116547801</v>
      </c>
      <c r="I485" s="3227"/>
      <c r="J485" s="3316"/>
      <c r="K485" s="3317"/>
      <c r="L485" s="3209"/>
    </row>
    <row r="486" spans="1:12">
      <c r="A486" s="3222">
        <v>447</v>
      </c>
      <c r="B486" s="3223" t="s">
        <v>3662</v>
      </c>
      <c r="C486" s="3223" t="s">
        <v>5931</v>
      </c>
      <c r="D486" s="3223">
        <v>101</v>
      </c>
      <c r="E486" s="3223" t="s">
        <v>3395</v>
      </c>
      <c r="F486" s="3223">
        <v>271.76</v>
      </c>
      <c r="G486" s="3224">
        <f t="shared" si="16"/>
        <v>120.68</v>
      </c>
      <c r="H486" s="3224">
        <f t="shared" si="17"/>
        <v>0.44408023116547801</v>
      </c>
      <c r="I486" s="3227"/>
      <c r="J486" s="3316"/>
      <c r="K486" s="3317"/>
      <c r="L486" s="3209"/>
    </row>
    <row r="487" spans="1:12">
      <c r="A487" s="3222">
        <v>448</v>
      </c>
      <c r="B487" s="3223" t="s">
        <v>3662</v>
      </c>
      <c r="C487" s="3223" t="s">
        <v>5931</v>
      </c>
      <c r="D487" s="3223">
        <v>201</v>
      </c>
      <c r="E487" s="3223" t="s">
        <v>3395</v>
      </c>
      <c r="F487" s="3223">
        <v>271.82</v>
      </c>
      <c r="G487" s="3224">
        <f t="shared" si="16"/>
        <v>120.71</v>
      </c>
      <c r="H487" s="3224">
        <f t="shared" si="17"/>
        <v>0.44408023116547801</v>
      </c>
      <c r="I487" s="3227"/>
      <c r="J487" s="3320"/>
      <c r="K487" s="3321"/>
      <c r="L487" s="3210"/>
    </row>
    <row r="488" spans="1:12">
      <c r="A488" s="3222">
        <v>449</v>
      </c>
      <c r="B488" s="3223" t="s">
        <v>5952</v>
      </c>
      <c r="C488" s="3223"/>
      <c r="D488" s="3223">
        <v>101</v>
      </c>
      <c r="E488" s="3223" t="s">
        <v>3851</v>
      </c>
      <c r="F488" s="3223">
        <v>15.2</v>
      </c>
      <c r="G488" s="3224">
        <f t="shared" si="16"/>
        <v>6.75</v>
      </c>
      <c r="H488" s="3224">
        <f t="shared" si="17"/>
        <v>0.44408023116547801</v>
      </c>
      <c r="I488" s="3227"/>
      <c r="J488" s="3316"/>
      <c r="K488" s="3317"/>
      <c r="L488" s="3210"/>
    </row>
    <row r="489" spans="1:12">
      <c r="A489" s="3222">
        <v>450</v>
      </c>
      <c r="B489" s="3223" t="s">
        <v>5952</v>
      </c>
      <c r="C489" s="3223"/>
      <c r="D489" s="3223">
        <v>102</v>
      </c>
      <c r="E489" s="3223" t="s">
        <v>3851</v>
      </c>
      <c r="F489" s="3223">
        <v>54.63</v>
      </c>
      <c r="G489" s="3224">
        <f t="shared" ref="G489:G552" si="18">ROUND(F489*H489,2)</f>
        <v>24.26</v>
      </c>
      <c r="H489" s="3224">
        <f t="shared" si="17"/>
        <v>0.44408023116547801</v>
      </c>
      <c r="I489" s="3227"/>
      <c r="J489" s="3316"/>
      <c r="K489" s="3317"/>
      <c r="L489" s="3210"/>
    </row>
    <row r="490" spans="1:12">
      <c r="A490" s="3222">
        <v>451</v>
      </c>
      <c r="B490" s="3223" t="s">
        <v>5952</v>
      </c>
      <c r="C490" s="3223"/>
      <c r="D490" s="3223">
        <v>103</v>
      </c>
      <c r="E490" s="3223" t="s">
        <v>3851</v>
      </c>
      <c r="F490" s="3223">
        <v>47.35</v>
      </c>
      <c r="G490" s="3224">
        <f t="shared" si="18"/>
        <v>21.03</v>
      </c>
      <c r="H490" s="3224">
        <f t="shared" si="17"/>
        <v>0.44408023116547801</v>
      </c>
      <c r="I490" s="3227"/>
      <c r="J490" s="3316"/>
      <c r="K490" s="3317"/>
      <c r="L490" s="3210"/>
    </row>
    <row r="491" spans="1:12">
      <c r="A491" s="3222">
        <v>452</v>
      </c>
      <c r="B491" s="3223" t="s">
        <v>5952</v>
      </c>
      <c r="C491" s="3223"/>
      <c r="D491" s="3223">
        <v>104</v>
      </c>
      <c r="E491" s="3223" t="s">
        <v>3851</v>
      </c>
      <c r="F491" s="3223">
        <v>62.57</v>
      </c>
      <c r="G491" s="3224">
        <f t="shared" si="18"/>
        <v>27.79</v>
      </c>
      <c r="H491" s="3224">
        <f t="shared" si="17"/>
        <v>0.44408023116547801</v>
      </c>
      <c r="I491" s="3227"/>
      <c r="J491" s="3316"/>
      <c r="K491" s="3317"/>
      <c r="L491" s="3210"/>
    </row>
    <row r="492" spans="1:12">
      <c r="A492" s="3222">
        <v>453</v>
      </c>
      <c r="B492" s="3223" t="s">
        <v>5952</v>
      </c>
      <c r="C492" s="3223"/>
      <c r="D492" s="3223">
        <v>105</v>
      </c>
      <c r="E492" s="3223" t="s">
        <v>3851</v>
      </c>
      <c r="F492" s="3223">
        <v>61.61</v>
      </c>
      <c r="G492" s="3224">
        <f t="shared" si="18"/>
        <v>27.36</v>
      </c>
      <c r="H492" s="3224">
        <f t="shared" si="17"/>
        <v>0.44408023116547801</v>
      </c>
      <c r="I492" s="3227"/>
      <c r="J492" s="3316"/>
      <c r="K492" s="3317"/>
      <c r="L492" s="3210"/>
    </row>
    <row r="493" spans="1:12">
      <c r="A493" s="3222">
        <v>454</v>
      </c>
      <c r="B493" s="3223" t="s">
        <v>5952</v>
      </c>
      <c r="C493" s="3223"/>
      <c r="D493" s="3223">
        <v>106</v>
      </c>
      <c r="E493" s="3223" t="s">
        <v>3851</v>
      </c>
      <c r="F493" s="3223">
        <v>61.61</v>
      </c>
      <c r="G493" s="3224">
        <f t="shared" si="18"/>
        <v>27.36</v>
      </c>
      <c r="H493" s="3224">
        <f t="shared" si="17"/>
        <v>0.44408023116547801</v>
      </c>
      <c r="I493" s="3227"/>
      <c r="J493" s="3316"/>
      <c r="K493" s="3317"/>
      <c r="L493" s="3210"/>
    </row>
    <row r="494" spans="1:12">
      <c r="A494" s="3222">
        <v>455</v>
      </c>
      <c r="B494" s="3223" t="s">
        <v>5952</v>
      </c>
      <c r="C494" s="3223"/>
      <c r="D494" s="3223">
        <v>107</v>
      </c>
      <c r="E494" s="3223" t="s">
        <v>3851</v>
      </c>
      <c r="F494" s="3223">
        <v>62.57</v>
      </c>
      <c r="G494" s="3224">
        <f t="shared" si="18"/>
        <v>27.79</v>
      </c>
      <c r="H494" s="3224">
        <f t="shared" si="17"/>
        <v>0.44408023116547801</v>
      </c>
      <c r="I494" s="3227"/>
      <c r="J494" s="3316"/>
      <c r="K494" s="3317"/>
      <c r="L494" s="3210"/>
    </row>
    <row r="495" spans="1:12">
      <c r="A495" s="3222">
        <v>456</v>
      </c>
      <c r="B495" s="3223" t="s">
        <v>5952</v>
      </c>
      <c r="C495" s="3223"/>
      <c r="D495" s="3223">
        <v>108</v>
      </c>
      <c r="E495" s="3223" t="s">
        <v>3851</v>
      </c>
      <c r="F495" s="3223">
        <v>47.35</v>
      </c>
      <c r="G495" s="3224">
        <f t="shared" si="18"/>
        <v>21.03</v>
      </c>
      <c r="H495" s="3224">
        <f t="shared" si="17"/>
        <v>0.44408023116547801</v>
      </c>
      <c r="I495" s="3227"/>
      <c r="J495" s="3316"/>
      <c r="K495" s="3317"/>
      <c r="L495" s="3210"/>
    </row>
    <row r="496" spans="1:12">
      <c r="A496" s="3222">
        <v>457</v>
      </c>
      <c r="B496" s="3223" t="s">
        <v>5952</v>
      </c>
      <c r="C496" s="3223"/>
      <c r="D496" s="3223">
        <v>109</v>
      </c>
      <c r="E496" s="3223" t="s">
        <v>3851</v>
      </c>
      <c r="F496" s="3223">
        <v>42.93</v>
      </c>
      <c r="G496" s="3224">
        <f t="shared" si="18"/>
        <v>19.059999999999999</v>
      </c>
      <c r="H496" s="3224">
        <f t="shared" si="17"/>
        <v>0.44408023116547801</v>
      </c>
      <c r="I496" s="3227"/>
      <c r="J496" s="3316"/>
      <c r="K496" s="3317"/>
      <c r="L496" s="3210"/>
    </row>
    <row r="497" spans="1:12">
      <c r="A497" s="3222">
        <v>458</v>
      </c>
      <c r="B497" s="3223" t="s">
        <v>5952</v>
      </c>
      <c r="C497" s="3223"/>
      <c r="D497" s="3223">
        <v>110</v>
      </c>
      <c r="E497" s="3223" t="s">
        <v>3851</v>
      </c>
      <c r="F497" s="3223">
        <v>42.93</v>
      </c>
      <c r="G497" s="3224">
        <f t="shared" si="18"/>
        <v>19.059999999999999</v>
      </c>
      <c r="H497" s="3224">
        <f t="shared" si="17"/>
        <v>0.44408023116547801</v>
      </c>
      <c r="I497" s="3227"/>
      <c r="J497" s="3316"/>
      <c r="K497" s="3317"/>
      <c r="L497" s="3210"/>
    </row>
    <row r="498" spans="1:12">
      <c r="A498" s="3222">
        <v>459</v>
      </c>
      <c r="B498" s="3223" t="s">
        <v>5952</v>
      </c>
      <c r="C498" s="3223"/>
      <c r="D498" s="3223">
        <v>111</v>
      </c>
      <c r="E498" s="3223" t="s">
        <v>3851</v>
      </c>
      <c r="F498" s="3223">
        <v>47.35</v>
      </c>
      <c r="G498" s="3224">
        <f t="shared" si="18"/>
        <v>21.03</v>
      </c>
      <c r="H498" s="3224">
        <f t="shared" si="17"/>
        <v>0.44408023116547801</v>
      </c>
      <c r="I498" s="3227"/>
      <c r="J498" s="3316"/>
      <c r="K498" s="3317"/>
      <c r="L498" s="3210"/>
    </row>
    <row r="499" spans="1:12">
      <c r="A499" s="3222">
        <v>460</v>
      </c>
      <c r="B499" s="3223" t="s">
        <v>5952</v>
      </c>
      <c r="C499" s="3223"/>
      <c r="D499" s="3223">
        <v>112</v>
      </c>
      <c r="E499" s="3223" t="s">
        <v>3851</v>
      </c>
      <c r="F499" s="3223">
        <v>62.57</v>
      </c>
      <c r="G499" s="3224">
        <f t="shared" si="18"/>
        <v>27.79</v>
      </c>
      <c r="H499" s="3224">
        <f t="shared" si="17"/>
        <v>0.44408023116547801</v>
      </c>
      <c r="I499" s="3227"/>
      <c r="J499" s="3316"/>
      <c r="K499" s="3317"/>
      <c r="L499" s="3210"/>
    </row>
    <row r="500" spans="1:12">
      <c r="A500" s="3222">
        <v>461</v>
      </c>
      <c r="B500" s="3223" t="s">
        <v>5952</v>
      </c>
      <c r="C500" s="3223"/>
      <c r="D500" s="3223">
        <v>113</v>
      </c>
      <c r="E500" s="3223" t="s">
        <v>3851</v>
      </c>
      <c r="F500" s="3223">
        <v>61.61</v>
      </c>
      <c r="G500" s="3224">
        <f t="shared" si="18"/>
        <v>27.36</v>
      </c>
      <c r="H500" s="3224">
        <f t="shared" si="17"/>
        <v>0.44408023116547801</v>
      </c>
      <c r="I500" s="3227"/>
      <c r="J500" s="3316"/>
      <c r="K500" s="3317"/>
      <c r="L500" s="3210"/>
    </row>
    <row r="501" spans="1:12">
      <c r="A501" s="3222">
        <v>462</v>
      </c>
      <c r="B501" s="3223" t="s">
        <v>5952</v>
      </c>
      <c r="C501" s="3223"/>
      <c r="D501" s="3223">
        <v>118</v>
      </c>
      <c r="E501" s="3223" t="s">
        <v>3851</v>
      </c>
      <c r="F501" s="3223">
        <v>15.15</v>
      </c>
      <c r="G501" s="3224">
        <f t="shared" si="18"/>
        <v>6.73</v>
      </c>
      <c r="H501" s="3224">
        <f t="shared" ref="H501:H564" si="19">H500</f>
        <v>0.44408023116547801</v>
      </c>
      <c r="I501" s="3227"/>
      <c r="J501" s="3316"/>
      <c r="K501" s="3317"/>
      <c r="L501" s="3210"/>
    </row>
    <row r="502" spans="1:12">
      <c r="A502" s="3222">
        <v>463</v>
      </c>
      <c r="B502" s="3223" t="s">
        <v>5952</v>
      </c>
      <c r="C502" s="3223"/>
      <c r="D502" s="3223">
        <v>119</v>
      </c>
      <c r="E502" s="3223" t="s">
        <v>3851</v>
      </c>
      <c r="F502" s="3223">
        <v>14.96</v>
      </c>
      <c r="G502" s="3224">
        <f t="shared" si="18"/>
        <v>6.64</v>
      </c>
      <c r="H502" s="3224">
        <f t="shared" si="19"/>
        <v>0.44408023116547801</v>
      </c>
      <c r="I502" s="3227"/>
      <c r="J502" s="3316"/>
      <c r="K502" s="3317"/>
      <c r="L502" s="3210"/>
    </row>
    <row r="503" spans="1:12">
      <c r="A503" s="3222">
        <v>464</v>
      </c>
      <c r="B503" s="3223" t="s">
        <v>5952</v>
      </c>
      <c r="C503" s="3223"/>
      <c r="D503" s="3223">
        <v>120</v>
      </c>
      <c r="E503" s="3223" t="s">
        <v>3851</v>
      </c>
      <c r="F503" s="3223">
        <v>14.96</v>
      </c>
      <c r="G503" s="3224">
        <f t="shared" si="18"/>
        <v>6.64</v>
      </c>
      <c r="H503" s="3224">
        <f t="shared" si="19"/>
        <v>0.44408023116547801</v>
      </c>
      <c r="I503" s="3227"/>
      <c r="J503" s="3316"/>
      <c r="K503" s="3317"/>
      <c r="L503" s="3210"/>
    </row>
    <row r="504" spans="1:12">
      <c r="A504" s="3222">
        <v>465</v>
      </c>
      <c r="B504" s="3223" t="s">
        <v>5952</v>
      </c>
      <c r="C504" s="3223"/>
      <c r="D504" s="3223">
        <v>201</v>
      </c>
      <c r="E504" s="3223" t="s">
        <v>3851</v>
      </c>
      <c r="F504" s="3223">
        <v>22.98</v>
      </c>
      <c r="G504" s="3224">
        <f t="shared" si="18"/>
        <v>10.199999999999999</v>
      </c>
      <c r="H504" s="3224">
        <f t="shared" si="19"/>
        <v>0.44408023116547801</v>
      </c>
      <c r="I504" s="3227"/>
      <c r="J504" s="3316"/>
      <c r="K504" s="3317"/>
      <c r="L504" s="3210"/>
    </row>
    <row r="505" spans="1:12">
      <c r="A505" s="3222">
        <v>466</v>
      </c>
      <c r="B505" s="3223" t="s">
        <v>5952</v>
      </c>
      <c r="C505" s="3223"/>
      <c r="D505" s="3223">
        <v>202</v>
      </c>
      <c r="E505" s="3223" t="s">
        <v>3851</v>
      </c>
      <c r="F505" s="3223">
        <v>22.98</v>
      </c>
      <c r="G505" s="3224">
        <f t="shared" si="18"/>
        <v>10.199999999999999</v>
      </c>
      <c r="H505" s="3224">
        <f t="shared" si="19"/>
        <v>0.44408023116547801</v>
      </c>
      <c r="I505" s="3227"/>
      <c r="J505" s="3316"/>
      <c r="K505" s="3317"/>
      <c r="L505" s="3211"/>
    </row>
    <row r="506" spans="1:12">
      <c r="A506" s="3222">
        <v>467</v>
      </c>
      <c r="B506" s="3223" t="s">
        <v>5952</v>
      </c>
      <c r="C506" s="3223"/>
      <c r="D506" s="3223">
        <v>203</v>
      </c>
      <c r="E506" s="3223" t="s">
        <v>3851</v>
      </c>
      <c r="F506" s="3223">
        <v>22.98</v>
      </c>
      <c r="G506" s="3224">
        <f t="shared" si="18"/>
        <v>10.199999999999999</v>
      </c>
      <c r="H506" s="3224">
        <f t="shared" si="19"/>
        <v>0.44408023116547801</v>
      </c>
      <c r="I506" s="3227"/>
      <c r="J506" s="3316"/>
      <c r="K506" s="3317"/>
      <c r="L506" s="3211"/>
    </row>
    <row r="507" spans="1:12">
      <c r="A507" s="3222">
        <v>468</v>
      </c>
      <c r="B507" s="3223" t="s">
        <v>3685</v>
      </c>
      <c r="C507" s="3223" t="s">
        <v>5930</v>
      </c>
      <c r="D507" s="3223">
        <v>102</v>
      </c>
      <c r="E507" s="3223" t="s">
        <v>3395</v>
      </c>
      <c r="F507" s="3223">
        <v>210.97</v>
      </c>
      <c r="G507" s="3224">
        <f t="shared" si="18"/>
        <v>93.69</v>
      </c>
      <c r="H507" s="3224">
        <f t="shared" si="19"/>
        <v>0.44408023116547801</v>
      </c>
      <c r="I507" s="3227"/>
      <c r="J507" s="3316"/>
      <c r="K507" s="3317"/>
      <c r="L507" s="3215"/>
    </row>
    <row r="508" spans="1:12">
      <c r="A508" s="3222">
        <v>469</v>
      </c>
      <c r="B508" s="3223" t="s">
        <v>3685</v>
      </c>
      <c r="C508" s="3223" t="s">
        <v>5930</v>
      </c>
      <c r="D508" s="3223">
        <v>201</v>
      </c>
      <c r="E508" s="3223" t="s">
        <v>3395</v>
      </c>
      <c r="F508" s="3223">
        <v>230.87</v>
      </c>
      <c r="G508" s="3224">
        <f t="shared" si="18"/>
        <v>102.52</v>
      </c>
      <c r="H508" s="3224">
        <f t="shared" si="19"/>
        <v>0.44408023116547801</v>
      </c>
      <c r="I508" s="3227"/>
      <c r="J508" s="3316"/>
      <c r="K508" s="3317"/>
      <c r="L508" s="3211"/>
    </row>
    <row r="509" spans="1:12">
      <c r="A509" s="3222">
        <v>470</v>
      </c>
      <c r="B509" s="3223" t="s">
        <v>3685</v>
      </c>
      <c r="C509" s="3223" t="s">
        <v>5930</v>
      </c>
      <c r="D509" s="3223">
        <v>302</v>
      </c>
      <c r="E509" s="3223" t="s">
        <v>3395</v>
      </c>
      <c r="F509" s="3223">
        <v>221.83</v>
      </c>
      <c r="G509" s="3224">
        <f t="shared" si="18"/>
        <v>98.51</v>
      </c>
      <c r="H509" s="3224">
        <f t="shared" si="19"/>
        <v>0.44408023116547801</v>
      </c>
      <c r="I509" s="3227"/>
      <c r="J509" s="3316"/>
      <c r="K509" s="3317"/>
      <c r="L509" s="3211"/>
    </row>
    <row r="510" spans="1:12">
      <c r="A510" s="3222">
        <v>471</v>
      </c>
      <c r="B510" s="3223" t="s">
        <v>3685</v>
      </c>
      <c r="C510" s="3223" t="s">
        <v>5930</v>
      </c>
      <c r="D510" s="3223">
        <v>402</v>
      </c>
      <c r="E510" s="3223" t="s">
        <v>3395</v>
      </c>
      <c r="F510" s="3223">
        <v>221.83</v>
      </c>
      <c r="G510" s="3224">
        <f t="shared" si="18"/>
        <v>98.51</v>
      </c>
      <c r="H510" s="3224">
        <f t="shared" si="19"/>
        <v>0.44408023116547801</v>
      </c>
      <c r="I510" s="3227"/>
      <c r="J510" s="3316"/>
      <c r="K510" s="3317"/>
      <c r="L510" s="3211"/>
    </row>
    <row r="511" spans="1:12">
      <c r="A511" s="3222">
        <v>474</v>
      </c>
      <c r="B511" s="3223" t="s">
        <v>3685</v>
      </c>
      <c r="C511" s="3223" t="s">
        <v>5931</v>
      </c>
      <c r="D511" s="3223">
        <v>101</v>
      </c>
      <c r="E511" s="3223" t="s">
        <v>3395</v>
      </c>
      <c r="F511" s="3223">
        <v>210.97</v>
      </c>
      <c r="G511" s="3224">
        <f t="shared" si="18"/>
        <v>93.69</v>
      </c>
      <c r="H511" s="3224">
        <f>H519</f>
        <v>0.44408023116547801</v>
      </c>
      <c r="I511" s="3227"/>
      <c r="J511" s="3316"/>
      <c r="K511" s="3317"/>
      <c r="L511" s="3211"/>
    </row>
    <row r="512" spans="1:12">
      <c r="A512" s="3222">
        <v>475</v>
      </c>
      <c r="B512" s="3223" t="s">
        <v>3685</v>
      </c>
      <c r="C512" s="3223" t="s">
        <v>5931</v>
      </c>
      <c r="D512" s="3223">
        <v>102</v>
      </c>
      <c r="E512" s="3223" t="s">
        <v>3395</v>
      </c>
      <c r="F512" s="3223">
        <v>210.97</v>
      </c>
      <c r="G512" s="3224">
        <f t="shared" si="18"/>
        <v>93.69</v>
      </c>
      <c r="H512" s="3224">
        <f t="shared" ref="H512:H517" si="20">H511</f>
        <v>0.44408023116547801</v>
      </c>
      <c r="I512" s="3227"/>
      <c r="J512" s="3316"/>
      <c r="K512" s="3317"/>
      <c r="L512" s="3211"/>
    </row>
    <row r="513" spans="1:12">
      <c r="A513" s="3222">
        <v>476</v>
      </c>
      <c r="B513" s="3223" t="s">
        <v>3685</v>
      </c>
      <c r="C513" s="3223" t="s">
        <v>5931</v>
      </c>
      <c r="D513" s="3223">
        <v>201</v>
      </c>
      <c r="E513" s="3223" t="s">
        <v>3395</v>
      </c>
      <c r="F513" s="3223">
        <v>221.83</v>
      </c>
      <c r="G513" s="3224">
        <f t="shared" si="18"/>
        <v>98.51</v>
      </c>
      <c r="H513" s="3224">
        <f t="shared" si="20"/>
        <v>0.44408023116547801</v>
      </c>
      <c r="I513" s="3227"/>
      <c r="J513" s="3316"/>
      <c r="K513" s="3317"/>
      <c r="L513" s="3211"/>
    </row>
    <row r="514" spans="1:12">
      <c r="A514" s="3222">
        <v>477</v>
      </c>
      <c r="B514" s="3223" t="s">
        <v>3685</v>
      </c>
      <c r="C514" s="3223" t="s">
        <v>5931</v>
      </c>
      <c r="D514" s="3223">
        <v>202</v>
      </c>
      <c r="E514" s="3223" t="s">
        <v>3395</v>
      </c>
      <c r="F514" s="3223">
        <v>221.83</v>
      </c>
      <c r="G514" s="3224">
        <f t="shared" si="18"/>
        <v>98.51</v>
      </c>
      <c r="H514" s="3224">
        <f t="shared" si="20"/>
        <v>0.44408023116547801</v>
      </c>
      <c r="I514" s="3227"/>
      <c r="J514" s="3316"/>
      <c r="K514" s="3317"/>
      <c r="L514" s="3211"/>
    </row>
    <row r="515" spans="1:12">
      <c r="A515" s="3222">
        <v>478</v>
      </c>
      <c r="B515" s="3223" t="s">
        <v>3685</v>
      </c>
      <c r="C515" s="3223" t="s">
        <v>5931</v>
      </c>
      <c r="D515" s="3223">
        <v>301</v>
      </c>
      <c r="E515" s="3223" t="s">
        <v>3395</v>
      </c>
      <c r="F515" s="3223">
        <v>221.83</v>
      </c>
      <c r="G515" s="3224">
        <f t="shared" si="18"/>
        <v>98.51</v>
      </c>
      <c r="H515" s="3224">
        <f t="shared" si="20"/>
        <v>0.44408023116547801</v>
      </c>
      <c r="I515" s="3227"/>
      <c r="J515" s="3316"/>
      <c r="K515" s="3317"/>
      <c r="L515" s="3211"/>
    </row>
    <row r="516" spans="1:12">
      <c r="A516" s="3222">
        <v>479</v>
      </c>
      <c r="B516" s="3223" t="s">
        <v>3685</v>
      </c>
      <c r="C516" s="3223" t="s">
        <v>5931</v>
      </c>
      <c r="D516" s="3223">
        <v>302</v>
      </c>
      <c r="E516" s="3223" t="s">
        <v>3395</v>
      </c>
      <c r="F516" s="3223">
        <v>221.83</v>
      </c>
      <c r="G516" s="3224">
        <f t="shared" si="18"/>
        <v>98.51</v>
      </c>
      <c r="H516" s="3224">
        <f t="shared" si="20"/>
        <v>0.44408023116547801</v>
      </c>
      <c r="I516" s="3227"/>
      <c r="J516" s="3316"/>
      <c r="K516" s="3317"/>
      <c r="L516" s="3211"/>
    </row>
    <row r="517" spans="1:12">
      <c r="A517" s="3222">
        <v>480</v>
      </c>
      <c r="B517" s="3223" t="s">
        <v>3685</v>
      </c>
      <c r="C517" s="3223" t="s">
        <v>5931</v>
      </c>
      <c r="D517" s="3223">
        <v>401</v>
      </c>
      <c r="E517" s="3223" t="s">
        <v>3395</v>
      </c>
      <c r="F517" s="3223">
        <v>221.83</v>
      </c>
      <c r="G517" s="3224">
        <f t="shared" si="18"/>
        <v>98.51</v>
      </c>
      <c r="H517" s="3224">
        <f t="shared" si="20"/>
        <v>0.44408023116547801</v>
      </c>
      <c r="I517" s="3227"/>
      <c r="J517" s="3316"/>
      <c r="K517" s="3317"/>
      <c r="L517" s="3211"/>
    </row>
    <row r="518" spans="1:12">
      <c r="A518" s="3222">
        <v>472</v>
      </c>
      <c r="B518" s="3223" t="s">
        <v>3685</v>
      </c>
      <c r="C518" s="3223" t="s">
        <v>5933</v>
      </c>
      <c r="D518" s="3223">
        <v>101</v>
      </c>
      <c r="E518" s="3223" t="s">
        <v>3395</v>
      </c>
      <c r="F518" s="3223">
        <v>210.97</v>
      </c>
      <c r="G518" s="3224">
        <f t="shared" si="18"/>
        <v>93.69</v>
      </c>
      <c r="H518" s="3224">
        <f>H510</f>
        <v>0.44408023116547801</v>
      </c>
      <c r="I518" s="3227"/>
      <c r="J518" s="3316"/>
      <c r="K518" s="3317"/>
      <c r="L518" s="3211"/>
    </row>
    <row r="519" spans="1:12">
      <c r="A519" s="3222">
        <v>473</v>
      </c>
      <c r="B519" s="3223" t="s">
        <v>3685</v>
      </c>
      <c r="C519" s="3223" t="s">
        <v>5933</v>
      </c>
      <c r="D519" s="3223">
        <v>401</v>
      </c>
      <c r="E519" s="3223" t="s">
        <v>3395</v>
      </c>
      <c r="F519" s="3223">
        <v>221.83</v>
      </c>
      <c r="G519" s="3224">
        <f t="shared" si="18"/>
        <v>98.51</v>
      </c>
      <c r="H519" s="3224">
        <f>H518</f>
        <v>0.44408023116547801</v>
      </c>
      <c r="I519" s="3227"/>
      <c r="J519" s="3320"/>
      <c r="K519" s="3321"/>
      <c r="L519" s="3211"/>
    </row>
    <row r="520" spans="1:12">
      <c r="A520" s="3222">
        <v>481</v>
      </c>
      <c r="B520" s="3223" t="s">
        <v>5953</v>
      </c>
      <c r="C520" s="3223"/>
      <c r="D520" s="3223">
        <v>106</v>
      </c>
      <c r="E520" s="3223" t="s">
        <v>3851</v>
      </c>
      <c r="F520" s="3223">
        <v>33.5</v>
      </c>
      <c r="G520" s="3224">
        <f t="shared" si="18"/>
        <v>14.88</v>
      </c>
      <c r="H520" s="3224">
        <f>H517</f>
        <v>0.44408023116547801</v>
      </c>
      <c r="I520" s="3227"/>
      <c r="J520" s="3320"/>
      <c r="K520" s="3321"/>
      <c r="L520" s="3211"/>
    </row>
    <row r="521" spans="1:12">
      <c r="A521" s="3222">
        <v>482</v>
      </c>
      <c r="B521" s="3223" t="s">
        <v>5953</v>
      </c>
      <c r="C521" s="3223"/>
      <c r="D521" s="3223">
        <v>107</v>
      </c>
      <c r="E521" s="3223" t="s">
        <v>3851</v>
      </c>
      <c r="F521" s="3223">
        <v>61.4</v>
      </c>
      <c r="G521" s="3224">
        <f t="shared" si="18"/>
        <v>27.27</v>
      </c>
      <c r="H521" s="3224">
        <f t="shared" si="19"/>
        <v>0.44408023116547801</v>
      </c>
      <c r="I521" s="3227"/>
      <c r="J521" s="3316"/>
      <c r="K521" s="3317"/>
      <c r="L521" s="3211"/>
    </row>
    <row r="522" spans="1:12">
      <c r="A522" s="3222">
        <v>483</v>
      </c>
      <c r="B522" s="3223" t="s">
        <v>5953</v>
      </c>
      <c r="C522" s="3223"/>
      <c r="D522" s="3223">
        <v>108</v>
      </c>
      <c r="E522" s="3223" t="s">
        <v>3851</v>
      </c>
      <c r="F522" s="3223">
        <v>46.55</v>
      </c>
      <c r="G522" s="3224">
        <f t="shared" si="18"/>
        <v>20.67</v>
      </c>
      <c r="H522" s="3224">
        <f t="shared" si="19"/>
        <v>0.44408023116547801</v>
      </c>
      <c r="I522" s="3227"/>
      <c r="J522" s="3316"/>
      <c r="K522" s="3317"/>
      <c r="L522" s="3211"/>
    </row>
    <row r="523" spans="1:12">
      <c r="A523" s="3222">
        <v>484</v>
      </c>
      <c r="B523" s="3223" t="s">
        <v>5953</v>
      </c>
      <c r="C523" s="3223"/>
      <c r="D523" s="3223">
        <v>109</v>
      </c>
      <c r="E523" s="3223" t="s">
        <v>3851</v>
      </c>
      <c r="F523" s="3223">
        <v>46.55</v>
      </c>
      <c r="G523" s="3224">
        <f t="shared" si="18"/>
        <v>20.67</v>
      </c>
      <c r="H523" s="3224">
        <f t="shared" si="19"/>
        <v>0.44408023116547801</v>
      </c>
      <c r="I523" s="3227"/>
      <c r="J523" s="3320"/>
      <c r="K523" s="3321"/>
      <c r="L523" s="3211"/>
    </row>
    <row r="524" spans="1:12">
      <c r="A524" s="3222">
        <v>485</v>
      </c>
      <c r="B524" s="3223" t="s">
        <v>5953</v>
      </c>
      <c r="C524" s="3223"/>
      <c r="D524" s="3223">
        <v>110</v>
      </c>
      <c r="E524" s="3223" t="s">
        <v>3851</v>
      </c>
      <c r="F524" s="3223">
        <v>61.4</v>
      </c>
      <c r="G524" s="3224">
        <f t="shared" si="18"/>
        <v>27.27</v>
      </c>
      <c r="H524" s="3224">
        <f t="shared" si="19"/>
        <v>0.44408023116547801</v>
      </c>
      <c r="I524" s="3227"/>
      <c r="J524" s="3320"/>
      <c r="K524" s="3321"/>
      <c r="L524" s="3211"/>
    </row>
    <row r="525" spans="1:12">
      <c r="A525" s="3222">
        <v>486</v>
      </c>
      <c r="B525" s="3223" t="s">
        <v>5953</v>
      </c>
      <c r="C525" s="3223"/>
      <c r="D525" s="3223">
        <v>111</v>
      </c>
      <c r="E525" s="3223" t="s">
        <v>3851</v>
      </c>
      <c r="F525" s="3223">
        <v>33.5</v>
      </c>
      <c r="G525" s="3224">
        <f t="shared" si="18"/>
        <v>14.88</v>
      </c>
      <c r="H525" s="3224">
        <f t="shared" si="19"/>
        <v>0.44408023116547801</v>
      </c>
      <c r="I525" s="3227"/>
      <c r="J525" s="3320"/>
      <c r="K525" s="3321"/>
      <c r="L525" s="3211"/>
    </row>
    <row r="526" spans="1:12">
      <c r="A526" s="3222">
        <v>487</v>
      </c>
      <c r="B526" s="3223" t="s">
        <v>5953</v>
      </c>
      <c r="C526" s="3223"/>
      <c r="D526" s="3223">
        <v>112</v>
      </c>
      <c r="E526" s="3223" t="s">
        <v>3851</v>
      </c>
      <c r="F526" s="3223">
        <v>33.5</v>
      </c>
      <c r="G526" s="3224">
        <f t="shared" si="18"/>
        <v>14.88</v>
      </c>
      <c r="H526" s="3224">
        <f t="shared" si="19"/>
        <v>0.44408023116547801</v>
      </c>
      <c r="I526" s="3227"/>
      <c r="J526" s="3320"/>
      <c r="K526" s="3321"/>
      <c r="L526" s="3211"/>
    </row>
    <row r="527" spans="1:12">
      <c r="A527" s="3222">
        <v>488</v>
      </c>
      <c r="B527" s="3223" t="s">
        <v>5953</v>
      </c>
      <c r="C527" s="3223"/>
      <c r="D527" s="3223">
        <v>113</v>
      </c>
      <c r="E527" s="3223" t="s">
        <v>3851</v>
      </c>
      <c r="F527" s="3223">
        <v>61.4</v>
      </c>
      <c r="G527" s="3224">
        <f t="shared" si="18"/>
        <v>27.27</v>
      </c>
      <c r="H527" s="3224">
        <f t="shared" si="19"/>
        <v>0.44408023116547801</v>
      </c>
      <c r="I527" s="3227"/>
      <c r="J527" s="3316"/>
      <c r="K527" s="3317"/>
      <c r="L527" s="3211"/>
    </row>
    <row r="528" spans="1:12">
      <c r="A528" s="3222">
        <v>489</v>
      </c>
      <c r="B528" s="3223" t="s">
        <v>5953</v>
      </c>
      <c r="C528" s="3223"/>
      <c r="D528" s="3223">
        <v>114</v>
      </c>
      <c r="E528" s="3223" t="s">
        <v>3851</v>
      </c>
      <c r="F528" s="3223">
        <v>46.23</v>
      </c>
      <c r="G528" s="3224">
        <f t="shared" si="18"/>
        <v>20.53</v>
      </c>
      <c r="H528" s="3224">
        <f t="shared" si="19"/>
        <v>0.44408023116547801</v>
      </c>
      <c r="I528" s="3227"/>
      <c r="J528" s="3316"/>
      <c r="K528" s="3317"/>
      <c r="L528" s="3211"/>
    </row>
    <row r="529" spans="1:12">
      <c r="A529" s="3222">
        <v>490</v>
      </c>
      <c r="B529" s="3223" t="s">
        <v>5953</v>
      </c>
      <c r="C529" s="3223"/>
      <c r="D529" s="3223">
        <v>115</v>
      </c>
      <c r="E529" s="3223" t="s">
        <v>3851</v>
      </c>
      <c r="F529" s="3223">
        <v>46.23</v>
      </c>
      <c r="G529" s="3224">
        <f t="shared" si="18"/>
        <v>20.53</v>
      </c>
      <c r="H529" s="3224">
        <f t="shared" si="19"/>
        <v>0.44408023116547801</v>
      </c>
      <c r="I529" s="3227"/>
      <c r="J529" s="3320"/>
      <c r="K529" s="3321"/>
      <c r="L529" s="3211"/>
    </row>
    <row r="530" spans="1:12">
      <c r="A530" s="3222">
        <v>491</v>
      </c>
      <c r="B530" s="3223" t="s">
        <v>5953</v>
      </c>
      <c r="C530" s="3223"/>
      <c r="D530" s="3223">
        <v>116</v>
      </c>
      <c r="E530" s="3223" t="s">
        <v>3851</v>
      </c>
      <c r="F530" s="3223">
        <v>61.4</v>
      </c>
      <c r="G530" s="3224">
        <f t="shared" si="18"/>
        <v>27.27</v>
      </c>
      <c r="H530" s="3224">
        <f t="shared" si="19"/>
        <v>0.44408023116547801</v>
      </c>
      <c r="I530" s="3227"/>
      <c r="J530" s="3320"/>
      <c r="K530" s="3321"/>
      <c r="L530" s="3211"/>
    </row>
    <row r="531" spans="1:12">
      <c r="A531" s="3222">
        <v>492</v>
      </c>
      <c r="B531" s="3223" t="s">
        <v>5953</v>
      </c>
      <c r="C531" s="3223"/>
      <c r="D531" s="3223">
        <v>117</v>
      </c>
      <c r="E531" s="3223" t="s">
        <v>3851</v>
      </c>
      <c r="F531" s="3223">
        <v>33.5</v>
      </c>
      <c r="G531" s="3224">
        <f t="shared" si="18"/>
        <v>14.88</v>
      </c>
      <c r="H531" s="3224">
        <f t="shared" si="19"/>
        <v>0.44408023116547801</v>
      </c>
      <c r="I531" s="3227"/>
      <c r="J531" s="3316"/>
      <c r="K531" s="3317"/>
      <c r="L531" s="3211"/>
    </row>
    <row r="532" spans="1:12">
      <c r="A532" s="3222">
        <v>493</v>
      </c>
      <c r="B532" s="3223" t="s">
        <v>5953</v>
      </c>
      <c r="C532" s="3223"/>
      <c r="D532" s="3223">
        <v>123</v>
      </c>
      <c r="E532" s="3223" t="s">
        <v>3851</v>
      </c>
      <c r="F532" s="3223">
        <v>28.07</v>
      </c>
      <c r="G532" s="3224">
        <f t="shared" si="18"/>
        <v>12.47</v>
      </c>
      <c r="H532" s="3224">
        <f t="shared" si="19"/>
        <v>0.44408023116547801</v>
      </c>
      <c r="I532" s="3227"/>
      <c r="J532" s="3316"/>
      <c r="K532" s="3317"/>
      <c r="L532" s="3211"/>
    </row>
    <row r="533" spans="1:12">
      <c r="A533" s="3222">
        <v>494</v>
      </c>
      <c r="B533" s="3223" t="s">
        <v>5953</v>
      </c>
      <c r="C533" s="3223"/>
      <c r="D533" s="3223">
        <v>124</v>
      </c>
      <c r="E533" s="3223" t="s">
        <v>3851</v>
      </c>
      <c r="F533" s="3223">
        <v>32.71</v>
      </c>
      <c r="G533" s="3224">
        <f t="shared" si="18"/>
        <v>14.53</v>
      </c>
      <c r="H533" s="3224">
        <f t="shared" si="19"/>
        <v>0.44408023116547801</v>
      </c>
      <c r="I533" s="3227"/>
      <c r="J533" s="3320"/>
      <c r="K533" s="3321"/>
      <c r="L533" s="3211"/>
    </row>
    <row r="534" spans="1:12">
      <c r="A534" s="3222">
        <v>495</v>
      </c>
      <c r="B534" s="3223" t="s">
        <v>5953</v>
      </c>
      <c r="C534" s="3223"/>
      <c r="D534" s="3223">
        <v>126</v>
      </c>
      <c r="E534" s="3223" t="s">
        <v>3851</v>
      </c>
      <c r="F534" s="3223">
        <v>42.5</v>
      </c>
      <c r="G534" s="3224">
        <f t="shared" si="18"/>
        <v>18.87</v>
      </c>
      <c r="H534" s="3224">
        <f t="shared" si="19"/>
        <v>0.44408023116547801</v>
      </c>
      <c r="I534" s="3227"/>
      <c r="J534" s="3316"/>
      <c r="K534" s="3317"/>
      <c r="L534" s="3211"/>
    </row>
    <row r="535" spans="1:12">
      <c r="A535" s="3222">
        <v>496</v>
      </c>
      <c r="B535" s="3223" t="s">
        <v>5953</v>
      </c>
      <c r="C535" s="3223"/>
      <c r="D535" s="3223">
        <v>127</v>
      </c>
      <c r="E535" s="3223" t="s">
        <v>3851</v>
      </c>
      <c r="F535" s="3223">
        <v>31.82</v>
      </c>
      <c r="G535" s="3224">
        <f t="shared" si="18"/>
        <v>14.13</v>
      </c>
      <c r="H535" s="3224">
        <f t="shared" si="19"/>
        <v>0.44408023116547801</v>
      </c>
      <c r="I535" s="3227"/>
      <c r="J535" s="3316"/>
      <c r="K535" s="3317"/>
      <c r="L535" s="3211"/>
    </row>
    <row r="536" spans="1:12">
      <c r="A536" s="3222">
        <v>497</v>
      </c>
      <c r="B536" s="3223" t="s">
        <v>5953</v>
      </c>
      <c r="C536" s="3223"/>
      <c r="D536" s="3223">
        <v>202</v>
      </c>
      <c r="E536" s="3223" t="s">
        <v>3851</v>
      </c>
      <c r="F536" s="3223">
        <v>30.24</v>
      </c>
      <c r="G536" s="3224">
        <f t="shared" si="18"/>
        <v>13.43</v>
      </c>
      <c r="H536" s="3224">
        <f t="shared" si="19"/>
        <v>0.44408023116547801</v>
      </c>
      <c r="I536" s="3227"/>
      <c r="J536" s="3316"/>
      <c r="K536" s="3317"/>
      <c r="L536" s="3211"/>
    </row>
    <row r="537" spans="1:12">
      <c r="A537" s="3222">
        <v>498</v>
      </c>
      <c r="B537" s="3223" t="s">
        <v>5953</v>
      </c>
      <c r="C537" s="3223"/>
      <c r="D537" s="3223">
        <v>203</v>
      </c>
      <c r="E537" s="3223" t="s">
        <v>3851</v>
      </c>
      <c r="F537" s="3223">
        <v>24.05</v>
      </c>
      <c r="G537" s="3224">
        <f t="shared" si="18"/>
        <v>10.68</v>
      </c>
      <c r="H537" s="3224">
        <f t="shared" si="19"/>
        <v>0.44408023116547801</v>
      </c>
      <c r="I537" s="3227"/>
      <c r="J537" s="3316"/>
      <c r="K537" s="3317"/>
      <c r="L537" s="3211"/>
    </row>
    <row r="538" spans="1:12">
      <c r="A538" s="3222">
        <v>499</v>
      </c>
      <c r="B538" s="3223" t="s">
        <v>5953</v>
      </c>
      <c r="C538" s="3223"/>
      <c r="D538" s="3223">
        <v>204</v>
      </c>
      <c r="E538" s="3223" t="s">
        <v>3851</v>
      </c>
      <c r="F538" s="3223">
        <v>24.05</v>
      </c>
      <c r="G538" s="3224">
        <f t="shared" si="18"/>
        <v>10.68</v>
      </c>
      <c r="H538" s="3224">
        <f t="shared" si="19"/>
        <v>0.44408023116547801</v>
      </c>
      <c r="I538" s="3227"/>
      <c r="J538" s="3316"/>
      <c r="K538" s="3317"/>
      <c r="L538" s="3211"/>
    </row>
    <row r="539" spans="1:12">
      <c r="A539" s="3222">
        <v>500</v>
      </c>
      <c r="B539" s="3223" t="s">
        <v>5953</v>
      </c>
      <c r="C539" s="3223"/>
      <c r="D539" s="3223">
        <v>205</v>
      </c>
      <c r="E539" s="3223" t="s">
        <v>3851</v>
      </c>
      <c r="F539" s="3223">
        <v>25.51</v>
      </c>
      <c r="G539" s="3224">
        <f t="shared" si="18"/>
        <v>11.33</v>
      </c>
      <c r="H539" s="3224">
        <f t="shared" si="19"/>
        <v>0.44408023116547801</v>
      </c>
      <c r="I539" s="3227"/>
      <c r="J539" s="3316"/>
      <c r="K539" s="3317"/>
      <c r="L539" s="3211"/>
    </row>
    <row r="540" spans="1:12">
      <c r="A540" s="3222">
        <v>501</v>
      </c>
      <c r="B540" s="3223" t="s">
        <v>5953</v>
      </c>
      <c r="C540" s="3223"/>
      <c r="D540" s="3223">
        <v>206</v>
      </c>
      <c r="E540" s="3223" t="s">
        <v>3851</v>
      </c>
      <c r="F540" s="3223">
        <v>25.51</v>
      </c>
      <c r="G540" s="3224">
        <f t="shared" si="18"/>
        <v>11.33</v>
      </c>
      <c r="H540" s="3224">
        <f t="shared" si="19"/>
        <v>0.44408023116547801</v>
      </c>
      <c r="I540" s="3227"/>
      <c r="J540" s="3316"/>
      <c r="K540" s="3317"/>
      <c r="L540" s="3211"/>
    </row>
    <row r="541" spans="1:12">
      <c r="A541" s="3222">
        <v>502</v>
      </c>
      <c r="B541" s="3223" t="s">
        <v>5953</v>
      </c>
      <c r="C541" s="3223"/>
      <c r="D541" s="3223">
        <v>207</v>
      </c>
      <c r="E541" s="3223" t="s">
        <v>3851</v>
      </c>
      <c r="F541" s="3223">
        <v>24.05</v>
      </c>
      <c r="G541" s="3224">
        <f t="shared" si="18"/>
        <v>10.68</v>
      </c>
      <c r="H541" s="3224">
        <f t="shared" si="19"/>
        <v>0.44408023116547801</v>
      </c>
      <c r="I541" s="3227"/>
      <c r="J541" s="3320"/>
      <c r="K541" s="3321"/>
      <c r="L541" s="3211"/>
    </row>
    <row r="542" spans="1:12">
      <c r="A542" s="3222">
        <v>503</v>
      </c>
      <c r="B542" s="3223" t="s">
        <v>5953</v>
      </c>
      <c r="C542" s="3223"/>
      <c r="D542" s="3223">
        <v>209</v>
      </c>
      <c r="E542" s="3223" t="s">
        <v>3851</v>
      </c>
      <c r="F542" s="3223">
        <v>31.7</v>
      </c>
      <c r="G542" s="3224">
        <f t="shared" si="18"/>
        <v>14.08</v>
      </c>
      <c r="H542" s="3224">
        <f t="shared" si="19"/>
        <v>0.44408023116547801</v>
      </c>
      <c r="I542" s="3227"/>
      <c r="J542" s="3316"/>
      <c r="K542" s="3317"/>
      <c r="L542" s="3211"/>
    </row>
    <row r="543" spans="1:12">
      <c r="A543" s="3222">
        <v>504</v>
      </c>
      <c r="B543" s="3223" t="s">
        <v>5953</v>
      </c>
      <c r="C543" s="3223"/>
      <c r="D543" s="3223">
        <v>211</v>
      </c>
      <c r="E543" s="3223" t="s">
        <v>3851</v>
      </c>
      <c r="F543" s="3223">
        <v>22.65</v>
      </c>
      <c r="G543" s="3224">
        <f t="shared" si="18"/>
        <v>10.06</v>
      </c>
      <c r="H543" s="3224">
        <f t="shared" si="19"/>
        <v>0.44408023116547801</v>
      </c>
      <c r="I543" s="3227"/>
      <c r="J543" s="3316"/>
      <c r="K543" s="3317"/>
      <c r="L543" s="3211"/>
    </row>
    <row r="544" spans="1:12">
      <c r="A544" s="3222">
        <v>505</v>
      </c>
      <c r="B544" s="3223" t="s">
        <v>5953</v>
      </c>
      <c r="C544" s="3223"/>
      <c r="D544" s="3223">
        <v>212</v>
      </c>
      <c r="E544" s="3223" t="s">
        <v>3851</v>
      </c>
      <c r="F544" s="3223">
        <v>22.65</v>
      </c>
      <c r="G544" s="3224">
        <f t="shared" si="18"/>
        <v>10.06</v>
      </c>
      <c r="H544" s="3224">
        <f t="shared" si="19"/>
        <v>0.44408023116547801</v>
      </c>
      <c r="I544" s="3227"/>
      <c r="J544" s="3316"/>
      <c r="K544" s="3317"/>
      <c r="L544" s="3211"/>
    </row>
    <row r="545" spans="1:12">
      <c r="A545" s="3222">
        <v>506</v>
      </c>
      <c r="B545" s="3223" t="s">
        <v>5953</v>
      </c>
      <c r="C545" s="3223"/>
      <c r="D545" s="3223">
        <v>213</v>
      </c>
      <c r="E545" s="3223" t="s">
        <v>3851</v>
      </c>
      <c r="F545" s="3223">
        <v>22.65</v>
      </c>
      <c r="G545" s="3224">
        <f t="shared" si="18"/>
        <v>10.06</v>
      </c>
      <c r="H545" s="3224">
        <f t="shared" si="19"/>
        <v>0.44408023116547801</v>
      </c>
      <c r="I545" s="3227"/>
      <c r="J545" s="3316"/>
      <c r="K545" s="3317"/>
      <c r="L545" s="3211"/>
    </row>
    <row r="546" spans="1:12">
      <c r="A546" s="3222">
        <v>507</v>
      </c>
      <c r="B546" s="3223" t="s">
        <v>5953</v>
      </c>
      <c r="C546" s="3223"/>
      <c r="D546" s="3223">
        <v>214</v>
      </c>
      <c r="E546" s="3223" t="s">
        <v>3851</v>
      </c>
      <c r="F546" s="3223">
        <v>22.65</v>
      </c>
      <c r="G546" s="3224">
        <f t="shared" si="18"/>
        <v>10.06</v>
      </c>
      <c r="H546" s="3224">
        <f t="shared" si="19"/>
        <v>0.44408023116547801</v>
      </c>
      <c r="I546" s="3227"/>
      <c r="J546" s="3316"/>
      <c r="K546" s="3317"/>
      <c r="L546" s="3211"/>
    </row>
    <row r="547" spans="1:12">
      <c r="A547" s="3222">
        <v>508</v>
      </c>
      <c r="B547" s="3223" t="s">
        <v>3712</v>
      </c>
      <c r="C547" s="3223" t="s">
        <v>5930</v>
      </c>
      <c r="D547" s="3223">
        <v>102</v>
      </c>
      <c r="E547" s="3223" t="s">
        <v>3395</v>
      </c>
      <c r="F547" s="3223">
        <v>210.99</v>
      </c>
      <c r="G547" s="3224">
        <f t="shared" si="18"/>
        <v>93.7</v>
      </c>
      <c r="H547" s="3224">
        <f t="shared" si="19"/>
        <v>0.44408023116547801</v>
      </c>
      <c r="I547" s="3227"/>
      <c r="J547" s="3320"/>
      <c r="K547" s="3321"/>
      <c r="L547" s="3215"/>
    </row>
    <row r="548" spans="1:12">
      <c r="A548" s="3222">
        <v>509</v>
      </c>
      <c r="B548" s="3223" t="s">
        <v>3712</v>
      </c>
      <c r="C548" s="3223" t="s">
        <v>5930</v>
      </c>
      <c r="D548" s="3223">
        <v>201</v>
      </c>
      <c r="E548" s="3223" t="s">
        <v>3395</v>
      </c>
      <c r="F548" s="3223">
        <v>230.9</v>
      </c>
      <c r="G548" s="3224">
        <f t="shared" si="18"/>
        <v>102.54</v>
      </c>
      <c r="H548" s="3224">
        <f t="shared" si="19"/>
        <v>0.44408023116547801</v>
      </c>
      <c r="I548" s="3227"/>
      <c r="J548" s="3316"/>
      <c r="K548" s="3317"/>
      <c r="L548" s="3210"/>
    </row>
    <row r="549" spans="1:12">
      <c r="A549" s="3222">
        <v>510</v>
      </c>
      <c r="B549" s="3223" t="s">
        <v>3712</v>
      </c>
      <c r="C549" s="3223" t="s">
        <v>5930</v>
      </c>
      <c r="D549" s="3223">
        <v>302</v>
      </c>
      <c r="E549" s="3223" t="s">
        <v>3395</v>
      </c>
      <c r="F549" s="3223">
        <v>221.85</v>
      </c>
      <c r="G549" s="3224">
        <f t="shared" si="18"/>
        <v>98.52</v>
      </c>
      <c r="H549" s="3224">
        <f t="shared" si="19"/>
        <v>0.44408023116547801</v>
      </c>
      <c r="I549" s="3227"/>
      <c r="J549" s="3320"/>
      <c r="K549" s="3321"/>
      <c r="L549" s="3209"/>
    </row>
    <row r="550" spans="1:12">
      <c r="A550" s="3222">
        <v>511</v>
      </c>
      <c r="B550" s="3223" t="s">
        <v>3712</v>
      </c>
      <c r="C550" s="3223" t="s">
        <v>5930</v>
      </c>
      <c r="D550" s="3223">
        <v>401</v>
      </c>
      <c r="E550" s="3223" t="s">
        <v>3395</v>
      </c>
      <c r="F550" s="3223">
        <v>230.9</v>
      </c>
      <c r="G550" s="3224">
        <f t="shared" si="18"/>
        <v>102.54</v>
      </c>
      <c r="H550" s="3224">
        <f t="shared" si="19"/>
        <v>0.44408023116547801</v>
      </c>
      <c r="I550" s="3227"/>
      <c r="J550" s="3316"/>
      <c r="K550" s="3317"/>
      <c r="L550" s="3210"/>
    </row>
    <row r="551" spans="1:12">
      <c r="A551" s="3222">
        <v>516</v>
      </c>
      <c r="B551" s="3223" t="s">
        <v>3712</v>
      </c>
      <c r="C551" s="3223" t="s">
        <v>5931</v>
      </c>
      <c r="D551" s="3223">
        <v>101</v>
      </c>
      <c r="E551" s="3223" t="s">
        <v>3395</v>
      </c>
      <c r="F551" s="3223">
        <v>210.99</v>
      </c>
      <c r="G551" s="3224">
        <f t="shared" si="18"/>
        <v>93.7</v>
      </c>
      <c r="H551" s="3224">
        <f>H558</f>
        <v>0.44408023116547801</v>
      </c>
      <c r="I551" s="3227"/>
      <c r="J551" s="3316"/>
      <c r="K551" s="3317"/>
      <c r="L551" s="3210"/>
    </row>
    <row r="552" spans="1:12">
      <c r="A552" s="3222">
        <v>517</v>
      </c>
      <c r="B552" s="3223" t="s">
        <v>3712</v>
      </c>
      <c r="C552" s="3223" t="s">
        <v>5931</v>
      </c>
      <c r="D552" s="3223">
        <v>102</v>
      </c>
      <c r="E552" s="3223" t="s">
        <v>3395</v>
      </c>
      <c r="F552" s="3223">
        <v>210.99</v>
      </c>
      <c r="G552" s="3224">
        <f t="shared" si="18"/>
        <v>93.7</v>
      </c>
      <c r="H552" s="3224">
        <f>H551</f>
        <v>0.44408023116547801</v>
      </c>
      <c r="I552" s="3227"/>
      <c r="J552" s="3316"/>
      <c r="K552" s="3317"/>
      <c r="L552" s="3210"/>
    </row>
    <row r="553" spans="1:12">
      <c r="A553" s="3222">
        <v>518</v>
      </c>
      <c r="B553" s="3223" t="s">
        <v>3712</v>
      </c>
      <c r="C553" s="3223" t="s">
        <v>5931</v>
      </c>
      <c r="D553" s="3223">
        <v>302</v>
      </c>
      <c r="E553" s="3223" t="s">
        <v>3395</v>
      </c>
      <c r="F553" s="3223">
        <v>221.85</v>
      </c>
      <c r="G553" s="3224">
        <f t="shared" ref="G553:G616" si="21">ROUND(F553*H553,2)</f>
        <v>98.52</v>
      </c>
      <c r="H553" s="3224">
        <f>H552</f>
        <v>0.44408023116547801</v>
      </c>
      <c r="I553" s="3227"/>
      <c r="J553" s="3316"/>
      <c r="K553" s="3317"/>
      <c r="L553" s="3210"/>
    </row>
    <row r="554" spans="1:12">
      <c r="A554" s="3222">
        <v>519</v>
      </c>
      <c r="B554" s="3223" t="s">
        <v>3712</v>
      </c>
      <c r="C554" s="3223" t="s">
        <v>5931</v>
      </c>
      <c r="D554" s="3223">
        <v>401</v>
      </c>
      <c r="E554" s="3223" t="s">
        <v>3395</v>
      </c>
      <c r="F554" s="3223">
        <v>221.85</v>
      </c>
      <c r="G554" s="3224">
        <f t="shared" si="21"/>
        <v>98.52</v>
      </c>
      <c r="H554" s="3224">
        <f>H553</f>
        <v>0.44408023116547801</v>
      </c>
      <c r="I554" s="3227"/>
      <c r="J554" s="3316"/>
      <c r="K554" s="3317"/>
      <c r="L554" s="3210"/>
    </row>
    <row r="555" spans="1:12">
      <c r="A555" s="3222">
        <v>512</v>
      </c>
      <c r="B555" s="3223" t="s">
        <v>3712</v>
      </c>
      <c r="C555" s="3223" t="s">
        <v>5933</v>
      </c>
      <c r="D555" s="3223">
        <v>101</v>
      </c>
      <c r="E555" s="3223" t="s">
        <v>3395</v>
      </c>
      <c r="F555" s="3223">
        <v>210.99</v>
      </c>
      <c r="G555" s="3224">
        <f t="shared" si="21"/>
        <v>93.7</v>
      </c>
      <c r="H555" s="3224">
        <f>H550</f>
        <v>0.44408023116547801</v>
      </c>
      <c r="I555" s="3227"/>
      <c r="J555" s="3316"/>
      <c r="K555" s="3317"/>
      <c r="L555" s="3210"/>
    </row>
    <row r="556" spans="1:12">
      <c r="A556" s="3222">
        <v>513</v>
      </c>
      <c r="B556" s="3223" t="s">
        <v>3712</v>
      </c>
      <c r="C556" s="3223" t="s">
        <v>5933</v>
      </c>
      <c r="D556" s="3223">
        <v>201</v>
      </c>
      <c r="E556" s="3223" t="s">
        <v>3395</v>
      </c>
      <c r="F556" s="3223">
        <v>221.85</v>
      </c>
      <c r="G556" s="3224">
        <f t="shared" si="21"/>
        <v>98.52</v>
      </c>
      <c r="H556" s="3224">
        <f>H555</f>
        <v>0.44408023116547801</v>
      </c>
      <c r="I556" s="3227"/>
      <c r="J556" s="3320"/>
      <c r="K556" s="3321"/>
      <c r="L556" s="3209"/>
    </row>
    <row r="557" spans="1:12">
      <c r="A557" s="3222">
        <v>514</v>
      </c>
      <c r="B557" s="3223" t="s">
        <v>3712</v>
      </c>
      <c r="C557" s="3223" t="s">
        <v>5933</v>
      </c>
      <c r="D557" s="3223">
        <v>202</v>
      </c>
      <c r="E557" s="3223" t="s">
        <v>3395</v>
      </c>
      <c r="F557" s="3223">
        <v>230.9</v>
      </c>
      <c r="G557" s="3224">
        <f t="shared" si="21"/>
        <v>102.54</v>
      </c>
      <c r="H557" s="3224">
        <f>H556</f>
        <v>0.44408023116547801</v>
      </c>
      <c r="I557" s="3227"/>
      <c r="J557" s="3316"/>
      <c r="K557" s="3317"/>
      <c r="L557" s="3210"/>
    </row>
    <row r="558" spans="1:12">
      <c r="A558" s="3222">
        <v>515</v>
      </c>
      <c r="B558" s="3223" t="s">
        <v>3712</v>
      </c>
      <c r="C558" s="3223" t="s">
        <v>5933</v>
      </c>
      <c r="D558" s="3223">
        <v>301</v>
      </c>
      <c r="E558" s="3223" t="s">
        <v>3395</v>
      </c>
      <c r="F558" s="3223">
        <v>221.85</v>
      </c>
      <c r="G558" s="3224">
        <f t="shared" si="21"/>
        <v>98.52</v>
      </c>
      <c r="H558" s="3224">
        <f>H557</f>
        <v>0.44408023116547801</v>
      </c>
      <c r="I558" s="3227"/>
      <c r="J558" s="3316"/>
      <c r="K558" s="3317"/>
      <c r="L558" s="3210"/>
    </row>
    <row r="559" spans="1:12">
      <c r="A559" s="3222">
        <v>520</v>
      </c>
      <c r="B559" s="3223" t="s">
        <v>5954</v>
      </c>
      <c r="C559" s="3223"/>
      <c r="D559" s="3223">
        <v>106</v>
      </c>
      <c r="E559" s="3223" t="s">
        <v>3851</v>
      </c>
      <c r="F559" s="3223">
        <v>33.86</v>
      </c>
      <c r="G559" s="3224">
        <f t="shared" si="21"/>
        <v>15.04</v>
      </c>
      <c r="H559" s="3224">
        <f>H554</f>
        <v>0.44408023116547801</v>
      </c>
      <c r="I559" s="3227"/>
      <c r="J559" s="3316"/>
      <c r="K559" s="3317"/>
      <c r="L559" s="3210"/>
    </row>
    <row r="560" spans="1:12">
      <c r="A560" s="3222">
        <v>521</v>
      </c>
      <c r="B560" s="3223" t="s">
        <v>5954</v>
      </c>
      <c r="C560" s="3223"/>
      <c r="D560" s="3223">
        <v>107</v>
      </c>
      <c r="E560" s="3223" t="s">
        <v>3851</v>
      </c>
      <c r="F560" s="3223">
        <v>62.06</v>
      </c>
      <c r="G560" s="3224">
        <f t="shared" si="21"/>
        <v>27.56</v>
      </c>
      <c r="H560" s="3224">
        <f t="shared" si="19"/>
        <v>0.44408023116547801</v>
      </c>
      <c r="I560" s="3227"/>
      <c r="J560" s="3316"/>
      <c r="K560" s="3317"/>
      <c r="L560" s="3210"/>
    </row>
    <row r="561" spans="1:12">
      <c r="A561" s="3222">
        <v>522</v>
      </c>
      <c r="B561" s="3223" t="s">
        <v>5954</v>
      </c>
      <c r="C561" s="3223"/>
      <c r="D561" s="3223">
        <v>108</v>
      </c>
      <c r="E561" s="3223" t="s">
        <v>3851</v>
      </c>
      <c r="F561" s="3223">
        <v>47.05</v>
      </c>
      <c r="G561" s="3224">
        <f t="shared" si="21"/>
        <v>20.89</v>
      </c>
      <c r="H561" s="3224">
        <f t="shared" si="19"/>
        <v>0.44408023116547801</v>
      </c>
      <c r="I561" s="3227"/>
      <c r="J561" s="3316"/>
      <c r="K561" s="3317"/>
      <c r="L561" s="3210"/>
    </row>
    <row r="562" spans="1:12">
      <c r="A562" s="3222">
        <v>523</v>
      </c>
      <c r="B562" s="3223" t="s">
        <v>5954</v>
      </c>
      <c r="C562" s="3223"/>
      <c r="D562" s="3223">
        <v>109</v>
      </c>
      <c r="E562" s="3223" t="s">
        <v>3851</v>
      </c>
      <c r="F562" s="3223">
        <v>47.05</v>
      </c>
      <c r="G562" s="3224">
        <f t="shared" si="21"/>
        <v>20.89</v>
      </c>
      <c r="H562" s="3224">
        <f t="shared" si="19"/>
        <v>0.44408023116547801</v>
      </c>
      <c r="I562" s="3227"/>
      <c r="J562" s="3316"/>
      <c r="K562" s="3317"/>
      <c r="L562" s="3210"/>
    </row>
    <row r="563" spans="1:12">
      <c r="A563" s="3222">
        <v>524</v>
      </c>
      <c r="B563" s="3223" t="s">
        <v>5954</v>
      </c>
      <c r="C563" s="3223"/>
      <c r="D563" s="3223">
        <v>110</v>
      </c>
      <c r="E563" s="3223" t="s">
        <v>3851</v>
      </c>
      <c r="F563" s="3223">
        <v>62.06</v>
      </c>
      <c r="G563" s="3224">
        <f t="shared" si="21"/>
        <v>27.56</v>
      </c>
      <c r="H563" s="3224">
        <f t="shared" si="19"/>
        <v>0.44408023116547801</v>
      </c>
      <c r="I563" s="3227"/>
      <c r="J563" s="3316"/>
      <c r="K563" s="3317"/>
      <c r="L563" s="3210"/>
    </row>
    <row r="564" spans="1:12">
      <c r="A564" s="3222">
        <v>525</v>
      </c>
      <c r="B564" s="3223" t="s">
        <v>5954</v>
      </c>
      <c r="C564" s="3223"/>
      <c r="D564" s="3223">
        <v>111</v>
      </c>
      <c r="E564" s="3223" t="s">
        <v>3851</v>
      </c>
      <c r="F564" s="3223">
        <v>33.86</v>
      </c>
      <c r="G564" s="3224">
        <f t="shared" si="21"/>
        <v>15.04</v>
      </c>
      <c r="H564" s="3224">
        <f t="shared" si="19"/>
        <v>0.44408023116547801</v>
      </c>
      <c r="I564" s="3227"/>
      <c r="J564" s="3316"/>
      <c r="K564" s="3317"/>
      <c r="L564" s="3210"/>
    </row>
    <row r="565" spans="1:12">
      <c r="A565" s="3222">
        <v>526</v>
      </c>
      <c r="B565" s="3223" t="s">
        <v>5954</v>
      </c>
      <c r="C565" s="3223"/>
      <c r="D565" s="3223">
        <v>112</v>
      </c>
      <c r="E565" s="3223" t="s">
        <v>3851</v>
      </c>
      <c r="F565" s="3223">
        <v>33.86</v>
      </c>
      <c r="G565" s="3224">
        <f t="shared" si="21"/>
        <v>15.04</v>
      </c>
      <c r="H565" s="3224">
        <f t="shared" ref="H565:H628" si="22">H564</f>
        <v>0.44408023116547801</v>
      </c>
      <c r="I565" s="3227"/>
      <c r="J565" s="3316"/>
      <c r="K565" s="3317"/>
      <c r="L565" s="3210"/>
    </row>
    <row r="566" spans="1:12">
      <c r="A566" s="3222">
        <v>527</v>
      </c>
      <c r="B566" s="3223" t="s">
        <v>5954</v>
      </c>
      <c r="C566" s="3223"/>
      <c r="D566" s="3223">
        <v>113</v>
      </c>
      <c r="E566" s="3223" t="s">
        <v>3851</v>
      </c>
      <c r="F566" s="3223">
        <v>62.06</v>
      </c>
      <c r="G566" s="3224">
        <f t="shared" si="21"/>
        <v>27.56</v>
      </c>
      <c r="H566" s="3224">
        <f t="shared" si="22"/>
        <v>0.44408023116547801</v>
      </c>
      <c r="I566" s="3227"/>
      <c r="J566" s="3316"/>
      <c r="K566" s="3317"/>
      <c r="L566" s="3210"/>
    </row>
    <row r="567" spans="1:12">
      <c r="A567" s="3222">
        <v>528</v>
      </c>
      <c r="B567" s="3223" t="s">
        <v>5954</v>
      </c>
      <c r="C567" s="3223"/>
      <c r="D567" s="3223">
        <v>114</v>
      </c>
      <c r="E567" s="3223" t="s">
        <v>3851</v>
      </c>
      <c r="F567" s="3223">
        <v>46.72</v>
      </c>
      <c r="G567" s="3224">
        <f t="shared" si="21"/>
        <v>20.75</v>
      </c>
      <c r="H567" s="3224">
        <f t="shared" si="22"/>
        <v>0.44408023116547801</v>
      </c>
      <c r="I567" s="3227"/>
      <c r="J567" s="3316"/>
      <c r="K567" s="3317"/>
      <c r="L567" s="3210"/>
    </row>
    <row r="568" spans="1:12">
      <c r="A568" s="3222">
        <v>529</v>
      </c>
      <c r="B568" s="3223" t="s">
        <v>5954</v>
      </c>
      <c r="C568" s="3223"/>
      <c r="D568" s="3223">
        <v>115</v>
      </c>
      <c r="E568" s="3223" t="s">
        <v>3851</v>
      </c>
      <c r="F568" s="3223">
        <v>46.72</v>
      </c>
      <c r="G568" s="3224">
        <f t="shared" si="21"/>
        <v>20.75</v>
      </c>
      <c r="H568" s="3224">
        <f t="shared" si="22"/>
        <v>0.44408023116547801</v>
      </c>
      <c r="I568" s="3227"/>
      <c r="J568" s="3316"/>
      <c r="K568" s="3317"/>
      <c r="L568" s="3210"/>
    </row>
    <row r="569" spans="1:12">
      <c r="A569" s="3222">
        <v>530</v>
      </c>
      <c r="B569" s="3223" t="s">
        <v>5954</v>
      </c>
      <c r="C569" s="3223"/>
      <c r="D569" s="3223">
        <v>116</v>
      </c>
      <c r="E569" s="3223" t="s">
        <v>3851</v>
      </c>
      <c r="F569" s="3223">
        <v>62.06</v>
      </c>
      <c r="G569" s="3224">
        <f t="shared" si="21"/>
        <v>27.56</v>
      </c>
      <c r="H569" s="3224">
        <f t="shared" si="22"/>
        <v>0.44408023116547801</v>
      </c>
      <c r="I569" s="3227"/>
      <c r="J569" s="3316"/>
      <c r="K569" s="3317"/>
      <c r="L569" s="3210"/>
    </row>
    <row r="570" spans="1:12">
      <c r="A570" s="3222">
        <v>531</v>
      </c>
      <c r="B570" s="3223" t="s">
        <v>5954</v>
      </c>
      <c r="C570" s="3223"/>
      <c r="D570" s="3223">
        <v>117</v>
      </c>
      <c r="E570" s="3223" t="s">
        <v>3851</v>
      </c>
      <c r="F570" s="3223">
        <v>33.86</v>
      </c>
      <c r="G570" s="3224">
        <f t="shared" si="21"/>
        <v>15.04</v>
      </c>
      <c r="H570" s="3224">
        <f t="shared" si="22"/>
        <v>0.44408023116547801</v>
      </c>
      <c r="I570" s="3227"/>
      <c r="J570" s="3316"/>
      <c r="K570" s="3317"/>
      <c r="L570" s="3210"/>
    </row>
    <row r="571" spans="1:12">
      <c r="A571" s="3222">
        <v>532</v>
      </c>
      <c r="B571" s="3223" t="s">
        <v>5954</v>
      </c>
      <c r="C571" s="3223"/>
      <c r="D571" s="3223">
        <v>118</v>
      </c>
      <c r="E571" s="3223" t="s">
        <v>3851</v>
      </c>
      <c r="F571" s="3223">
        <v>33.86</v>
      </c>
      <c r="G571" s="3224">
        <f t="shared" si="21"/>
        <v>15.04</v>
      </c>
      <c r="H571" s="3224">
        <f t="shared" si="22"/>
        <v>0.44408023116547801</v>
      </c>
      <c r="I571" s="3227"/>
      <c r="J571" s="3316"/>
      <c r="K571" s="3317"/>
      <c r="L571" s="3210"/>
    </row>
    <row r="572" spans="1:12">
      <c r="A572" s="3222">
        <v>533</v>
      </c>
      <c r="B572" s="3223" t="s">
        <v>5954</v>
      </c>
      <c r="C572" s="3223"/>
      <c r="D572" s="3223">
        <v>119</v>
      </c>
      <c r="E572" s="3223" t="s">
        <v>3851</v>
      </c>
      <c r="F572" s="3223">
        <v>62.34</v>
      </c>
      <c r="G572" s="3224">
        <f t="shared" si="21"/>
        <v>27.68</v>
      </c>
      <c r="H572" s="3224">
        <f t="shared" si="22"/>
        <v>0.44408023116547801</v>
      </c>
      <c r="I572" s="3227"/>
      <c r="J572" s="3316"/>
      <c r="K572" s="3317"/>
      <c r="L572" s="3210"/>
    </row>
    <row r="573" spans="1:12">
      <c r="A573" s="3222">
        <v>534</v>
      </c>
      <c r="B573" s="3223" t="s">
        <v>5954</v>
      </c>
      <c r="C573" s="3223"/>
      <c r="D573" s="3223">
        <v>120</v>
      </c>
      <c r="E573" s="3223" t="s">
        <v>3851</v>
      </c>
      <c r="F573" s="3223">
        <v>56.73</v>
      </c>
      <c r="G573" s="3224">
        <f t="shared" si="21"/>
        <v>25.19</v>
      </c>
      <c r="H573" s="3224">
        <f t="shared" si="22"/>
        <v>0.44408023116547801</v>
      </c>
      <c r="I573" s="3227"/>
      <c r="J573" s="3316"/>
      <c r="K573" s="3317"/>
      <c r="L573" s="3210"/>
    </row>
    <row r="574" spans="1:12">
      <c r="A574" s="3222">
        <v>535</v>
      </c>
      <c r="B574" s="3223" t="s">
        <v>5954</v>
      </c>
      <c r="C574" s="3223"/>
      <c r="D574" s="3223">
        <v>121</v>
      </c>
      <c r="E574" s="3223" t="s">
        <v>3851</v>
      </c>
      <c r="F574" s="3223">
        <v>30.59</v>
      </c>
      <c r="G574" s="3224">
        <f t="shared" si="21"/>
        <v>13.58</v>
      </c>
      <c r="H574" s="3224">
        <f t="shared" si="22"/>
        <v>0.44408023116547801</v>
      </c>
      <c r="I574" s="3227"/>
      <c r="J574" s="3316"/>
      <c r="K574" s="3317"/>
      <c r="L574" s="3210"/>
    </row>
    <row r="575" spans="1:12">
      <c r="A575" s="3222">
        <v>536</v>
      </c>
      <c r="B575" s="3223" t="s">
        <v>5954</v>
      </c>
      <c r="C575" s="3223"/>
      <c r="D575" s="3223">
        <v>122</v>
      </c>
      <c r="E575" s="3223" t="s">
        <v>3851</v>
      </c>
      <c r="F575" s="3223">
        <v>25.07</v>
      </c>
      <c r="G575" s="3224">
        <f t="shared" si="21"/>
        <v>11.13</v>
      </c>
      <c r="H575" s="3224">
        <f t="shared" si="22"/>
        <v>0.44408023116547801</v>
      </c>
      <c r="I575" s="3227"/>
      <c r="J575" s="3316"/>
      <c r="K575" s="3317"/>
      <c r="L575" s="3210"/>
    </row>
    <row r="576" spans="1:12">
      <c r="A576" s="3222">
        <v>537</v>
      </c>
      <c r="B576" s="3223" t="s">
        <v>5954</v>
      </c>
      <c r="C576" s="3223"/>
      <c r="D576" s="3223">
        <v>123</v>
      </c>
      <c r="E576" s="3223" t="s">
        <v>3851</v>
      </c>
      <c r="F576" s="3223">
        <v>28.37</v>
      </c>
      <c r="G576" s="3224">
        <f t="shared" si="21"/>
        <v>12.6</v>
      </c>
      <c r="H576" s="3224">
        <f t="shared" si="22"/>
        <v>0.44408023116547801</v>
      </c>
      <c r="I576" s="3227"/>
      <c r="J576" s="3316"/>
      <c r="K576" s="3317"/>
      <c r="L576" s="3210"/>
    </row>
    <row r="577" spans="1:12">
      <c r="A577" s="3222">
        <v>538</v>
      </c>
      <c r="B577" s="3223" t="s">
        <v>5954</v>
      </c>
      <c r="C577" s="3223"/>
      <c r="D577" s="3223">
        <v>124</v>
      </c>
      <c r="E577" s="3223" t="s">
        <v>3851</v>
      </c>
      <c r="F577" s="3223">
        <v>28.37</v>
      </c>
      <c r="G577" s="3224">
        <f t="shared" si="21"/>
        <v>12.6</v>
      </c>
      <c r="H577" s="3224">
        <f t="shared" si="22"/>
        <v>0.44408023116547801</v>
      </c>
      <c r="I577" s="3227"/>
      <c r="J577" s="3316"/>
      <c r="K577" s="3317"/>
      <c r="L577" s="3210"/>
    </row>
    <row r="578" spans="1:12">
      <c r="A578" s="3222">
        <v>539</v>
      </c>
      <c r="B578" s="3223" t="s">
        <v>5954</v>
      </c>
      <c r="C578" s="3223"/>
      <c r="D578" s="3223">
        <v>125</v>
      </c>
      <c r="E578" s="3223" t="s">
        <v>3851</v>
      </c>
      <c r="F578" s="3223">
        <v>22.18</v>
      </c>
      <c r="G578" s="3224">
        <f t="shared" si="21"/>
        <v>9.85</v>
      </c>
      <c r="H578" s="3224">
        <f t="shared" si="22"/>
        <v>0.44408023116547801</v>
      </c>
      <c r="I578" s="3227"/>
      <c r="J578" s="3316"/>
      <c r="K578" s="3317"/>
      <c r="L578" s="3210"/>
    </row>
    <row r="579" spans="1:12">
      <c r="A579" s="3222">
        <v>540</v>
      </c>
      <c r="B579" s="3223" t="s">
        <v>5954</v>
      </c>
      <c r="C579" s="3223"/>
      <c r="D579" s="3223">
        <v>126</v>
      </c>
      <c r="E579" s="3223" t="s">
        <v>3851</v>
      </c>
      <c r="F579" s="3223">
        <v>42.89</v>
      </c>
      <c r="G579" s="3224">
        <f t="shared" si="21"/>
        <v>19.05</v>
      </c>
      <c r="H579" s="3224">
        <f t="shared" si="22"/>
        <v>0.44408023116547801</v>
      </c>
      <c r="I579" s="3227"/>
      <c r="J579" s="3316"/>
      <c r="K579" s="3317"/>
      <c r="L579" s="3210"/>
    </row>
    <row r="580" spans="1:12">
      <c r="A580" s="3222">
        <v>541</v>
      </c>
      <c r="B580" s="3223" t="s">
        <v>5954</v>
      </c>
      <c r="C580" s="3223"/>
      <c r="D580" s="3223">
        <v>127</v>
      </c>
      <c r="E580" s="3223" t="s">
        <v>3851</v>
      </c>
      <c r="F580" s="3223">
        <v>42.81</v>
      </c>
      <c r="G580" s="3224">
        <f t="shared" si="21"/>
        <v>19.010000000000002</v>
      </c>
      <c r="H580" s="3224">
        <f t="shared" si="22"/>
        <v>0.44408023116547801</v>
      </c>
      <c r="I580" s="3227"/>
      <c r="J580" s="3316"/>
      <c r="K580" s="3317"/>
      <c r="L580" s="3210"/>
    </row>
    <row r="581" spans="1:12">
      <c r="A581" s="3222">
        <v>542</v>
      </c>
      <c r="B581" s="3223" t="s">
        <v>5954</v>
      </c>
      <c r="C581" s="3223"/>
      <c r="D581" s="3223">
        <v>202</v>
      </c>
      <c r="E581" s="3223" t="s">
        <v>3851</v>
      </c>
      <c r="F581" s="3223">
        <v>19.829999999999998</v>
      </c>
      <c r="G581" s="3224">
        <f t="shared" si="21"/>
        <v>8.81</v>
      </c>
      <c r="H581" s="3224">
        <f t="shared" si="22"/>
        <v>0.44408023116547801</v>
      </c>
      <c r="I581" s="3227"/>
      <c r="J581" s="3316"/>
      <c r="K581" s="3317"/>
      <c r="L581" s="3210"/>
    </row>
    <row r="582" spans="1:12">
      <c r="A582" s="3222">
        <v>543</v>
      </c>
      <c r="B582" s="3223" t="s">
        <v>5954</v>
      </c>
      <c r="C582" s="3223"/>
      <c r="D582" s="3223">
        <v>203</v>
      </c>
      <c r="E582" s="3223" t="s">
        <v>3851</v>
      </c>
      <c r="F582" s="3223">
        <v>19.829999999999998</v>
      </c>
      <c r="G582" s="3224">
        <f t="shared" si="21"/>
        <v>8.81</v>
      </c>
      <c r="H582" s="3224">
        <f t="shared" si="22"/>
        <v>0.44408023116547801</v>
      </c>
      <c r="I582" s="3227"/>
      <c r="J582" s="3316"/>
      <c r="K582" s="3317"/>
      <c r="L582" s="3210"/>
    </row>
    <row r="583" spans="1:12">
      <c r="A583" s="3222">
        <v>544</v>
      </c>
      <c r="B583" s="3223" t="s">
        <v>5954</v>
      </c>
      <c r="C583" s="3223"/>
      <c r="D583" s="3223">
        <v>204</v>
      </c>
      <c r="E583" s="3223" t="s">
        <v>3851</v>
      </c>
      <c r="F583" s="3223">
        <v>19.829999999999998</v>
      </c>
      <c r="G583" s="3224">
        <f t="shared" si="21"/>
        <v>8.81</v>
      </c>
      <c r="H583" s="3224">
        <f t="shared" si="22"/>
        <v>0.44408023116547801</v>
      </c>
      <c r="I583" s="3227"/>
      <c r="J583" s="3316"/>
      <c r="K583" s="3317"/>
      <c r="L583" s="3210"/>
    </row>
    <row r="584" spans="1:12">
      <c r="A584" s="3222">
        <v>545</v>
      </c>
      <c r="B584" s="3223" t="s">
        <v>5954</v>
      </c>
      <c r="C584" s="3223"/>
      <c r="D584" s="3223">
        <v>205</v>
      </c>
      <c r="E584" s="3223" t="s">
        <v>3851</v>
      </c>
      <c r="F584" s="3223">
        <v>19.829999999999998</v>
      </c>
      <c r="G584" s="3224">
        <f t="shared" si="21"/>
        <v>8.81</v>
      </c>
      <c r="H584" s="3224">
        <f t="shared" si="22"/>
        <v>0.44408023116547801</v>
      </c>
      <c r="I584" s="3227"/>
      <c r="J584" s="3316"/>
      <c r="K584" s="3317"/>
      <c r="L584" s="3210"/>
    </row>
    <row r="585" spans="1:12">
      <c r="A585" s="3222">
        <v>546</v>
      </c>
      <c r="B585" s="3223" t="s">
        <v>5954</v>
      </c>
      <c r="C585" s="3223"/>
      <c r="D585" s="3223">
        <v>206</v>
      </c>
      <c r="E585" s="3223" t="s">
        <v>3851</v>
      </c>
      <c r="F585" s="3223">
        <v>19.829999999999998</v>
      </c>
      <c r="G585" s="3224">
        <f t="shared" si="21"/>
        <v>8.81</v>
      </c>
      <c r="H585" s="3224">
        <f t="shared" si="22"/>
        <v>0.44408023116547801</v>
      </c>
      <c r="I585" s="3227"/>
      <c r="J585" s="3316"/>
      <c r="K585" s="3317"/>
      <c r="L585" s="3210"/>
    </row>
    <row r="586" spans="1:12">
      <c r="A586" s="3222">
        <v>547</v>
      </c>
      <c r="B586" s="3223" t="s">
        <v>5954</v>
      </c>
      <c r="C586" s="3223"/>
      <c r="D586" s="3223">
        <v>207</v>
      </c>
      <c r="E586" s="3223" t="s">
        <v>3851</v>
      </c>
      <c r="F586" s="3223">
        <v>23.63</v>
      </c>
      <c r="G586" s="3224">
        <f t="shared" si="21"/>
        <v>10.49</v>
      </c>
      <c r="H586" s="3224">
        <f t="shared" si="22"/>
        <v>0.44408023116547801</v>
      </c>
      <c r="I586" s="3227"/>
      <c r="J586" s="3316"/>
      <c r="K586" s="3317"/>
      <c r="L586" s="3210"/>
    </row>
    <row r="587" spans="1:12">
      <c r="A587" s="3222">
        <v>548</v>
      </c>
      <c r="B587" s="3223" t="s">
        <v>3741</v>
      </c>
      <c r="C587" s="3223" t="s">
        <v>5930</v>
      </c>
      <c r="D587" s="3223">
        <v>101</v>
      </c>
      <c r="E587" s="3223" t="s">
        <v>3395</v>
      </c>
      <c r="F587" s="3223">
        <v>217.74</v>
      </c>
      <c r="G587" s="3224">
        <f t="shared" si="21"/>
        <v>96.69</v>
      </c>
      <c r="H587" s="3224">
        <f t="shared" si="22"/>
        <v>0.44408023116547801</v>
      </c>
      <c r="I587" s="3227"/>
      <c r="J587" s="3316"/>
      <c r="K587" s="3317"/>
      <c r="L587" s="3210"/>
    </row>
    <row r="588" spans="1:12">
      <c r="A588" s="3222">
        <v>549</v>
      </c>
      <c r="B588" s="3223" t="s">
        <v>3741</v>
      </c>
      <c r="C588" s="3223" t="s">
        <v>5930</v>
      </c>
      <c r="D588" s="3223">
        <v>102</v>
      </c>
      <c r="E588" s="3223" t="s">
        <v>3395</v>
      </c>
      <c r="F588" s="3223">
        <v>209.66</v>
      </c>
      <c r="G588" s="3224">
        <f t="shared" si="21"/>
        <v>93.11</v>
      </c>
      <c r="H588" s="3224">
        <f t="shared" si="22"/>
        <v>0.44408023116547801</v>
      </c>
      <c r="I588" s="3227"/>
      <c r="J588" s="3316"/>
      <c r="K588" s="3317"/>
      <c r="L588" s="3210"/>
    </row>
    <row r="589" spans="1:12">
      <c r="A589" s="3222">
        <v>550</v>
      </c>
      <c r="B589" s="3223" t="s">
        <v>3741</v>
      </c>
      <c r="C589" s="3223" t="s">
        <v>5931</v>
      </c>
      <c r="D589" s="3223">
        <v>101</v>
      </c>
      <c r="E589" s="3223" t="s">
        <v>3395</v>
      </c>
      <c r="F589" s="3223">
        <v>209.66</v>
      </c>
      <c r="G589" s="3224">
        <f t="shared" si="21"/>
        <v>93.11</v>
      </c>
      <c r="H589" s="3224">
        <f t="shared" si="22"/>
        <v>0.44408023116547801</v>
      </c>
      <c r="I589" s="3227"/>
      <c r="J589" s="3316"/>
      <c r="K589" s="3317"/>
      <c r="L589" s="3210"/>
    </row>
    <row r="590" spans="1:12">
      <c r="A590" s="3222">
        <v>551</v>
      </c>
      <c r="B590" s="3223" t="s">
        <v>3741</v>
      </c>
      <c r="C590" s="3223" t="s">
        <v>5931</v>
      </c>
      <c r="D590" s="3223">
        <v>102</v>
      </c>
      <c r="E590" s="3223" t="s">
        <v>3395</v>
      </c>
      <c r="F590" s="3223">
        <v>209.66</v>
      </c>
      <c r="G590" s="3224">
        <f t="shared" si="21"/>
        <v>93.11</v>
      </c>
      <c r="H590" s="3224">
        <f t="shared" si="22"/>
        <v>0.44408023116547801</v>
      </c>
      <c r="I590" s="3227"/>
      <c r="J590" s="3320"/>
      <c r="K590" s="3321"/>
      <c r="L590" s="3210"/>
    </row>
    <row r="591" spans="1:12">
      <c r="A591" s="3222">
        <v>552</v>
      </c>
      <c r="B591" s="3223" t="s">
        <v>5955</v>
      </c>
      <c r="C591" s="3223"/>
      <c r="D591" s="3223">
        <v>101</v>
      </c>
      <c r="E591" s="3223" t="s">
        <v>3851</v>
      </c>
      <c r="F591" s="3223">
        <v>24.3</v>
      </c>
      <c r="G591" s="3224">
        <f t="shared" si="21"/>
        <v>10.79</v>
      </c>
      <c r="H591" s="3224">
        <f t="shared" si="22"/>
        <v>0.44408023116547801</v>
      </c>
      <c r="I591" s="3227"/>
      <c r="J591" s="3316"/>
      <c r="K591" s="3317"/>
      <c r="L591" s="3210"/>
    </row>
    <row r="592" spans="1:12">
      <c r="A592" s="3222">
        <v>553</v>
      </c>
      <c r="B592" s="3223" t="s">
        <v>5955</v>
      </c>
      <c r="C592" s="3223"/>
      <c r="D592" s="3223">
        <v>102</v>
      </c>
      <c r="E592" s="3223" t="s">
        <v>3851</v>
      </c>
      <c r="F592" s="3223">
        <v>30.33</v>
      </c>
      <c r="G592" s="3224">
        <f t="shared" si="21"/>
        <v>13.47</v>
      </c>
      <c r="H592" s="3224">
        <f t="shared" si="22"/>
        <v>0.44408023116547801</v>
      </c>
      <c r="I592" s="3227"/>
      <c r="J592" s="3316"/>
      <c r="K592" s="3317"/>
      <c r="L592" s="3210"/>
    </row>
    <row r="593" spans="1:12">
      <c r="A593" s="3222">
        <v>554</v>
      </c>
      <c r="B593" s="3223" t="s">
        <v>5955</v>
      </c>
      <c r="C593" s="3223"/>
      <c r="D593" s="3223">
        <v>103</v>
      </c>
      <c r="E593" s="3223" t="s">
        <v>3851</v>
      </c>
      <c r="F593" s="3223">
        <v>56.23</v>
      </c>
      <c r="G593" s="3224">
        <f t="shared" si="21"/>
        <v>24.97</v>
      </c>
      <c r="H593" s="3224">
        <f t="shared" si="22"/>
        <v>0.44408023116547801</v>
      </c>
      <c r="I593" s="3227"/>
      <c r="J593" s="3320"/>
      <c r="K593" s="3321"/>
      <c r="L593" s="3210"/>
    </row>
    <row r="594" spans="1:12">
      <c r="A594" s="3222">
        <v>555</v>
      </c>
      <c r="B594" s="3223" t="s">
        <v>5955</v>
      </c>
      <c r="C594" s="3223"/>
      <c r="D594" s="3223">
        <v>104</v>
      </c>
      <c r="E594" s="3223" t="s">
        <v>3851</v>
      </c>
      <c r="F594" s="3223">
        <v>61.8</v>
      </c>
      <c r="G594" s="3224">
        <f t="shared" si="21"/>
        <v>27.44</v>
      </c>
      <c r="H594" s="3224">
        <f t="shared" si="22"/>
        <v>0.44408023116547801</v>
      </c>
      <c r="I594" s="3227"/>
      <c r="J594" s="3316"/>
      <c r="K594" s="3317"/>
      <c r="L594" s="3210"/>
    </row>
    <row r="595" spans="1:12">
      <c r="A595" s="3222">
        <v>556</v>
      </c>
      <c r="B595" s="3223" t="s">
        <v>5955</v>
      </c>
      <c r="C595" s="3223"/>
      <c r="D595" s="3223">
        <v>105</v>
      </c>
      <c r="E595" s="3223" t="s">
        <v>3851</v>
      </c>
      <c r="F595" s="3223">
        <v>33.21</v>
      </c>
      <c r="G595" s="3224">
        <f t="shared" si="21"/>
        <v>14.75</v>
      </c>
      <c r="H595" s="3224">
        <f t="shared" si="22"/>
        <v>0.44408023116547801</v>
      </c>
      <c r="I595" s="3227"/>
      <c r="J595" s="3316"/>
      <c r="K595" s="3317"/>
      <c r="L595" s="3210"/>
    </row>
    <row r="596" spans="1:12">
      <c r="A596" s="3222">
        <v>557</v>
      </c>
      <c r="B596" s="3223" t="s">
        <v>5955</v>
      </c>
      <c r="C596" s="3223"/>
      <c r="D596" s="3223">
        <v>106</v>
      </c>
      <c r="E596" s="3223" t="s">
        <v>3851</v>
      </c>
      <c r="F596" s="3223">
        <v>33.21</v>
      </c>
      <c r="G596" s="3224">
        <f t="shared" si="21"/>
        <v>14.75</v>
      </c>
      <c r="H596" s="3224">
        <f t="shared" si="22"/>
        <v>0.44408023116547801</v>
      </c>
      <c r="I596" s="3227"/>
      <c r="J596" s="3316"/>
      <c r="K596" s="3317"/>
      <c r="L596" s="3210"/>
    </row>
    <row r="597" spans="1:12">
      <c r="A597" s="3222">
        <v>558</v>
      </c>
      <c r="B597" s="3223" t="s">
        <v>5955</v>
      </c>
      <c r="C597" s="3223"/>
      <c r="D597" s="3223">
        <v>107</v>
      </c>
      <c r="E597" s="3223" t="s">
        <v>3851</v>
      </c>
      <c r="F597" s="3223">
        <v>61.52</v>
      </c>
      <c r="G597" s="3224">
        <f t="shared" si="21"/>
        <v>27.32</v>
      </c>
      <c r="H597" s="3224">
        <f t="shared" si="22"/>
        <v>0.44408023116547801</v>
      </c>
      <c r="I597" s="3227"/>
      <c r="J597" s="3316"/>
      <c r="K597" s="3317"/>
      <c r="L597" s="3210"/>
    </row>
    <row r="598" spans="1:12">
      <c r="A598" s="3222">
        <v>559</v>
      </c>
      <c r="B598" s="3223" t="s">
        <v>5955</v>
      </c>
      <c r="C598" s="3223"/>
      <c r="D598" s="3223">
        <v>108</v>
      </c>
      <c r="E598" s="3223" t="s">
        <v>3851</v>
      </c>
      <c r="F598" s="3223">
        <v>46.65</v>
      </c>
      <c r="G598" s="3224">
        <f t="shared" si="21"/>
        <v>20.72</v>
      </c>
      <c r="H598" s="3224">
        <f t="shared" si="22"/>
        <v>0.44408023116547801</v>
      </c>
      <c r="I598" s="3227"/>
      <c r="J598" s="3316"/>
      <c r="K598" s="3317"/>
      <c r="L598" s="3210"/>
    </row>
    <row r="599" spans="1:12">
      <c r="A599" s="3222">
        <v>560</v>
      </c>
      <c r="B599" s="3223" t="s">
        <v>5955</v>
      </c>
      <c r="C599" s="3223"/>
      <c r="D599" s="3223">
        <v>109</v>
      </c>
      <c r="E599" s="3223" t="s">
        <v>3851</v>
      </c>
      <c r="F599" s="3223">
        <v>46.65</v>
      </c>
      <c r="G599" s="3224">
        <f t="shared" si="21"/>
        <v>20.72</v>
      </c>
      <c r="H599" s="3224">
        <f t="shared" si="22"/>
        <v>0.44408023116547801</v>
      </c>
      <c r="I599" s="3227"/>
      <c r="J599" s="3316"/>
      <c r="K599" s="3317"/>
      <c r="L599" s="3210"/>
    </row>
    <row r="600" spans="1:12">
      <c r="A600" s="3222">
        <v>561</v>
      </c>
      <c r="B600" s="3223" t="s">
        <v>5955</v>
      </c>
      <c r="C600" s="3223"/>
      <c r="D600" s="3223">
        <v>110</v>
      </c>
      <c r="E600" s="3223" t="s">
        <v>3851</v>
      </c>
      <c r="F600" s="3223">
        <v>61.52</v>
      </c>
      <c r="G600" s="3224">
        <f t="shared" si="21"/>
        <v>27.32</v>
      </c>
      <c r="H600" s="3224">
        <f t="shared" si="22"/>
        <v>0.44408023116547801</v>
      </c>
      <c r="I600" s="3227"/>
      <c r="J600" s="3316"/>
      <c r="K600" s="3317"/>
      <c r="L600" s="3210"/>
    </row>
    <row r="601" spans="1:12">
      <c r="A601" s="3222">
        <v>562</v>
      </c>
      <c r="B601" s="3223" t="s">
        <v>5955</v>
      </c>
      <c r="C601" s="3223"/>
      <c r="D601" s="3223">
        <v>111</v>
      </c>
      <c r="E601" s="3223" t="s">
        <v>3851</v>
      </c>
      <c r="F601" s="3223">
        <v>33.21</v>
      </c>
      <c r="G601" s="3224">
        <f t="shared" si="21"/>
        <v>14.75</v>
      </c>
      <c r="H601" s="3224">
        <f t="shared" si="22"/>
        <v>0.44408023116547801</v>
      </c>
      <c r="I601" s="3227"/>
      <c r="J601" s="3316"/>
      <c r="K601" s="3317"/>
      <c r="L601" s="3210"/>
    </row>
    <row r="602" spans="1:12">
      <c r="A602" s="3222">
        <v>563</v>
      </c>
      <c r="B602" s="3223" t="s">
        <v>5955</v>
      </c>
      <c r="C602" s="3223"/>
      <c r="D602" s="3223">
        <v>112</v>
      </c>
      <c r="E602" s="3223" t="s">
        <v>3851</v>
      </c>
      <c r="F602" s="3223">
        <v>33.21</v>
      </c>
      <c r="G602" s="3224">
        <f t="shared" si="21"/>
        <v>14.75</v>
      </c>
      <c r="H602" s="3224">
        <f t="shared" si="22"/>
        <v>0.44408023116547801</v>
      </c>
      <c r="I602" s="3227"/>
      <c r="J602" s="3316"/>
      <c r="K602" s="3317"/>
      <c r="L602" s="3210"/>
    </row>
    <row r="603" spans="1:12">
      <c r="A603" s="3222">
        <v>564</v>
      </c>
      <c r="B603" s="3223" t="s">
        <v>5955</v>
      </c>
      <c r="C603" s="3223"/>
      <c r="D603" s="3223">
        <v>113</v>
      </c>
      <c r="E603" s="3223" t="s">
        <v>3851</v>
      </c>
      <c r="F603" s="3223">
        <v>61.52</v>
      </c>
      <c r="G603" s="3224">
        <f t="shared" si="21"/>
        <v>27.32</v>
      </c>
      <c r="H603" s="3224">
        <f t="shared" si="22"/>
        <v>0.44408023116547801</v>
      </c>
      <c r="I603" s="3227"/>
      <c r="J603" s="3316"/>
      <c r="K603" s="3317"/>
      <c r="L603" s="3210"/>
    </row>
    <row r="604" spans="1:12">
      <c r="A604" s="3222">
        <v>565</v>
      </c>
      <c r="B604" s="3223" t="s">
        <v>5955</v>
      </c>
      <c r="C604" s="3223"/>
      <c r="D604" s="3223">
        <v>114</v>
      </c>
      <c r="E604" s="3223" t="s">
        <v>3851</v>
      </c>
      <c r="F604" s="3223">
        <v>46.32</v>
      </c>
      <c r="G604" s="3224">
        <f t="shared" si="21"/>
        <v>20.57</v>
      </c>
      <c r="H604" s="3224">
        <f t="shared" si="22"/>
        <v>0.44408023116547801</v>
      </c>
      <c r="I604" s="3227"/>
      <c r="J604" s="3316"/>
      <c r="K604" s="3317"/>
      <c r="L604" s="3210"/>
    </row>
    <row r="605" spans="1:12">
      <c r="A605" s="3222">
        <v>566</v>
      </c>
      <c r="B605" s="3223" t="s">
        <v>5955</v>
      </c>
      <c r="C605" s="3223"/>
      <c r="D605" s="3223">
        <v>124</v>
      </c>
      <c r="E605" s="3223" t="s">
        <v>3851</v>
      </c>
      <c r="F605" s="3223">
        <v>32.770000000000003</v>
      </c>
      <c r="G605" s="3224">
        <f t="shared" si="21"/>
        <v>14.55</v>
      </c>
      <c r="H605" s="3224">
        <f t="shared" si="22"/>
        <v>0.44408023116547801</v>
      </c>
      <c r="I605" s="3227"/>
      <c r="J605" s="3316"/>
      <c r="K605" s="3317"/>
      <c r="L605" s="3210"/>
    </row>
    <row r="606" spans="1:12">
      <c r="A606" s="3222">
        <v>567</v>
      </c>
      <c r="B606" s="3223" t="s">
        <v>5955</v>
      </c>
      <c r="C606" s="3223"/>
      <c r="D606" s="3223">
        <v>125</v>
      </c>
      <c r="E606" s="3223" t="s">
        <v>3851</v>
      </c>
      <c r="F606" s="3223">
        <v>21.44</v>
      </c>
      <c r="G606" s="3224">
        <f t="shared" si="21"/>
        <v>9.52</v>
      </c>
      <c r="H606" s="3224">
        <f t="shared" si="22"/>
        <v>0.44408023116547801</v>
      </c>
      <c r="I606" s="3227"/>
      <c r="J606" s="3316"/>
      <c r="K606" s="3317"/>
      <c r="L606" s="3210"/>
    </row>
    <row r="607" spans="1:12">
      <c r="A607" s="3222">
        <v>568</v>
      </c>
      <c r="B607" s="3223" t="s">
        <v>5955</v>
      </c>
      <c r="C607" s="3223"/>
      <c r="D607" s="3223">
        <v>126</v>
      </c>
      <c r="E607" s="3223" t="s">
        <v>3851</v>
      </c>
      <c r="F607" s="3223">
        <v>42.48</v>
      </c>
      <c r="G607" s="3224">
        <f t="shared" si="21"/>
        <v>18.86</v>
      </c>
      <c r="H607" s="3224">
        <f t="shared" si="22"/>
        <v>0.44408023116547801</v>
      </c>
      <c r="I607" s="3227"/>
      <c r="J607" s="3316"/>
      <c r="K607" s="3317"/>
      <c r="L607" s="3210"/>
    </row>
    <row r="608" spans="1:12">
      <c r="A608" s="3222">
        <v>569</v>
      </c>
      <c r="B608" s="3223" t="s">
        <v>5955</v>
      </c>
      <c r="C608" s="3223"/>
      <c r="D608" s="3223">
        <v>201</v>
      </c>
      <c r="E608" s="3223" t="s">
        <v>3851</v>
      </c>
      <c r="F608" s="3223">
        <v>22.34</v>
      </c>
      <c r="G608" s="3224">
        <f t="shared" si="21"/>
        <v>9.92</v>
      </c>
      <c r="H608" s="3224">
        <f t="shared" si="22"/>
        <v>0.44408023116547801</v>
      </c>
      <c r="I608" s="3227"/>
      <c r="J608" s="3316"/>
      <c r="K608" s="3317"/>
      <c r="L608" s="3210"/>
    </row>
    <row r="609" spans="1:12">
      <c r="A609" s="3222">
        <v>570</v>
      </c>
      <c r="B609" s="3223" t="s">
        <v>5955</v>
      </c>
      <c r="C609" s="3223"/>
      <c r="D609" s="3223">
        <v>202</v>
      </c>
      <c r="E609" s="3223" t="s">
        <v>3851</v>
      </c>
      <c r="F609" s="3223">
        <v>22.59</v>
      </c>
      <c r="G609" s="3224">
        <f t="shared" si="21"/>
        <v>10.029999999999999</v>
      </c>
      <c r="H609" s="3224">
        <f t="shared" si="22"/>
        <v>0.44408023116547801</v>
      </c>
      <c r="I609" s="3227"/>
      <c r="J609" s="3316"/>
      <c r="K609" s="3317"/>
      <c r="L609" s="3210"/>
    </row>
    <row r="610" spans="1:12">
      <c r="A610" s="3222">
        <v>571</v>
      </c>
      <c r="B610" s="3223" t="s">
        <v>5955</v>
      </c>
      <c r="C610" s="3223"/>
      <c r="D610" s="3223">
        <v>203</v>
      </c>
      <c r="E610" s="3223" t="s">
        <v>3851</v>
      </c>
      <c r="F610" s="3223">
        <v>22.59</v>
      </c>
      <c r="G610" s="3224">
        <f t="shared" si="21"/>
        <v>10.029999999999999</v>
      </c>
      <c r="H610" s="3224">
        <f t="shared" si="22"/>
        <v>0.44408023116547801</v>
      </c>
      <c r="I610" s="3227"/>
      <c r="J610" s="3320"/>
      <c r="K610" s="3321"/>
      <c r="L610" s="3210"/>
    </row>
    <row r="611" spans="1:12">
      <c r="A611" s="3222">
        <v>572</v>
      </c>
      <c r="B611" s="3223" t="s">
        <v>5955</v>
      </c>
      <c r="C611" s="3223"/>
      <c r="D611" s="3223">
        <v>207</v>
      </c>
      <c r="E611" s="3223" t="s">
        <v>3851</v>
      </c>
      <c r="F611" s="3223">
        <v>24.1</v>
      </c>
      <c r="G611" s="3224">
        <f t="shared" si="21"/>
        <v>10.7</v>
      </c>
      <c r="H611" s="3224">
        <f t="shared" si="22"/>
        <v>0.44408023116547801</v>
      </c>
      <c r="I611" s="3227"/>
      <c r="J611" s="3316"/>
      <c r="K611" s="3317"/>
      <c r="L611" s="3210"/>
    </row>
    <row r="612" spans="1:12">
      <c r="A612" s="3222">
        <v>573</v>
      </c>
      <c r="B612" s="3223" t="s">
        <v>5955</v>
      </c>
      <c r="C612" s="3223"/>
      <c r="D612" s="3223">
        <v>208</v>
      </c>
      <c r="E612" s="3223" t="s">
        <v>3851</v>
      </c>
      <c r="F612" s="3223">
        <v>30.67</v>
      </c>
      <c r="G612" s="3224">
        <f t="shared" si="21"/>
        <v>13.62</v>
      </c>
      <c r="H612" s="3224">
        <f t="shared" si="22"/>
        <v>0.44408023116547801</v>
      </c>
      <c r="I612" s="3227"/>
      <c r="J612" s="3316"/>
      <c r="K612" s="3317"/>
      <c r="L612" s="3210"/>
    </row>
    <row r="613" spans="1:12">
      <c r="A613" s="3222">
        <v>574</v>
      </c>
      <c r="B613" s="3223" t="s">
        <v>5955</v>
      </c>
      <c r="C613" s="3223"/>
      <c r="D613" s="3223">
        <v>209</v>
      </c>
      <c r="E613" s="3223" t="s">
        <v>3851</v>
      </c>
      <c r="F613" s="3223">
        <v>27.09</v>
      </c>
      <c r="G613" s="3224">
        <f t="shared" si="21"/>
        <v>12.03</v>
      </c>
      <c r="H613" s="3224">
        <f t="shared" si="22"/>
        <v>0.44408023116547801</v>
      </c>
      <c r="I613" s="3227"/>
      <c r="J613" s="3316"/>
      <c r="K613" s="3317"/>
      <c r="L613" s="3210"/>
    </row>
    <row r="614" spans="1:12">
      <c r="A614" s="3222">
        <v>575</v>
      </c>
      <c r="B614" s="3223" t="s">
        <v>5955</v>
      </c>
      <c r="C614" s="3223"/>
      <c r="D614" s="3223">
        <v>213</v>
      </c>
      <c r="E614" s="3223" t="s">
        <v>3851</v>
      </c>
      <c r="F614" s="3223">
        <v>16.12</v>
      </c>
      <c r="G614" s="3224">
        <f t="shared" si="21"/>
        <v>7.16</v>
      </c>
      <c r="H614" s="3224">
        <f t="shared" si="22"/>
        <v>0.44408023116547801</v>
      </c>
      <c r="I614" s="3227"/>
      <c r="J614" s="3316"/>
      <c r="K614" s="3317"/>
      <c r="L614" s="3210"/>
    </row>
    <row r="615" spans="1:12">
      <c r="A615" s="3222">
        <v>576</v>
      </c>
      <c r="B615" s="3223" t="s">
        <v>5955</v>
      </c>
      <c r="C615" s="3223"/>
      <c r="D615" s="3223">
        <v>216</v>
      </c>
      <c r="E615" s="3223" t="s">
        <v>3851</v>
      </c>
      <c r="F615" s="3223">
        <v>22.59</v>
      </c>
      <c r="G615" s="3224">
        <f t="shared" si="21"/>
        <v>10.029999999999999</v>
      </c>
      <c r="H615" s="3224">
        <f t="shared" si="22"/>
        <v>0.44408023116547801</v>
      </c>
      <c r="I615" s="3227"/>
      <c r="J615" s="3316"/>
      <c r="K615" s="3317"/>
      <c r="L615" s="3210"/>
    </row>
    <row r="616" spans="1:12">
      <c r="A616" s="3222">
        <v>577</v>
      </c>
      <c r="B616" s="3223" t="s">
        <v>3756</v>
      </c>
      <c r="C616" s="3223" t="s">
        <v>5930</v>
      </c>
      <c r="D616" s="3223">
        <v>101</v>
      </c>
      <c r="E616" s="3223" t="s">
        <v>3395</v>
      </c>
      <c r="F616" s="3223">
        <v>217.75</v>
      </c>
      <c r="G616" s="3224">
        <f t="shared" si="21"/>
        <v>96.7</v>
      </c>
      <c r="H616" s="3224">
        <f t="shared" si="22"/>
        <v>0.44408023116547801</v>
      </c>
      <c r="I616" s="3227"/>
      <c r="J616" s="3316"/>
      <c r="K616" s="3317"/>
      <c r="L616" s="3209"/>
    </row>
    <row r="617" spans="1:12">
      <c r="A617" s="3222">
        <v>578</v>
      </c>
      <c r="B617" s="3223" t="s">
        <v>3756</v>
      </c>
      <c r="C617" s="3223" t="s">
        <v>5930</v>
      </c>
      <c r="D617" s="3223">
        <v>201</v>
      </c>
      <c r="E617" s="3223" t="s">
        <v>3395</v>
      </c>
      <c r="F617" s="3223">
        <v>228.69</v>
      </c>
      <c r="G617" s="3224">
        <f t="shared" ref="G617:G680" si="23">ROUND(F617*H617,2)</f>
        <v>101.56</v>
      </c>
      <c r="H617" s="3224">
        <f t="shared" si="22"/>
        <v>0.44408023116547801</v>
      </c>
      <c r="I617" s="3227"/>
      <c r="J617" s="3316"/>
      <c r="K617" s="3317"/>
      <c r="L617" s="3210"/>
    </row>
    <row r="618" spans="1:12">
      <c r="A618" s="3222">
        <v>580</v>
      </c>
      <c r="B618" s="3223" t="s">
        <v>3756</v>
      </c>
      <c r="C618" s="3223" t="s">
        <v>5931</v>
      </c>
      <c r="D618" s="3223">
        <v>101</v>
      </c>
      <c r="E618" s="3223" t="s">
        <v>3395</v>
      </c>
      <c r="F618" s="3223">
        <v>209.67</v>
      </c>
      <c r="G618" s="3224">
        <f t="shared" si="23"/>
        <v>93.11</v>
      </c>
      <c r="H618" s="3224">
        <f>H620</f>
        <v>0.44408023116547801</v>
      </c>
      <c r="I618" s="3227"/>
      <c r="J618" s="3316"/>
      <c r="K618" s="3317"/>
      <c r="L618" s="3210"/>
    </row>
    <row r="619" spans="1:12">
      <c r="A619" s="3222">
        <v>581</v>
      </c>
      <c r="B619" s="3223" t="s">
        <v>3756</v>
      </c>
      <c r="C619" s="3223" t="s">
        <v>5931</v>
      </c>
      <c r="D619" s="3223">
        <v>402</v>
      </c>
      <c r="E619" s="3223" t="s">
        <v>3395</v>
      </c>
      <c r="F619" s="3223">
        <v>220.38</v>
      </c>
      <c r="G619" s="3224">
        <f t="shared" si="23"/>
        <v>97.87</v>
      </c>
      <c r="H619" s="3224">
        <f>H618</f>
        <v>0.44408023116547801</v>
      </c>
      <c r="I619" s="3227"/>
      <c r="J619" s="3316"/>
      <c r="K619" s="3317"/>
      <c r="L619" s="3210"/>
    </row>
    <row r="620" spans="1:12">
      <c r="A620" s="3222">
        <v>579</v>
      </c>
      <c r="B620" s="3223" t="s">
        <v>3756</v>
      </c>
      <c r="C620" s="3223" t="s">
        <v>5933</v>
      </c>
      <c r="D620" s="3223">
        <v>101</v>
      </c>
      <c r="E620" s="3223" t="s">
        <v>3395</v>
      </c>
      <c r="F620" s="3223">
        <v>209.67</v>
      </c>
      <c r="G620" s="3224">
        <f t="shared" si="23"/>
        <v>93.11</v>
      </c>
      <c r="H620" s="3224">
        <f>H617</f>
        <v>0.44408023116547801</v>
      </c>
      <c r="I620" s="3227"/>
      <c r="J620" s="3316"/>
      <c r="K620" s="3317"/>
      <c r="L620" s="3210"/>
    </row>
    <row r="621" spans="1:12">
      <c r="A621" s="3222">
        <v>582</v>
      </c>
      <c r="B621" s="3223" t="s">
        <v>5956</v>
      </c>
      <c r="C621" s="3223"/>
      <c r="D621" s="3223">
        <v>101</v>
      </c>
      <c r="E621" s="3223" t="s">
        <v>3851</v>
      </c>
      <c r="F621" s="3223">
        <v>24.49</v>
      </c>
      <c r="G621" s="3224">
        <f t="shared" si="23"/>
        <v>10.88</v>
      </c>
      <c r="H621" s="3224">
        <f>H619</f>
        <v>0.44408023116547801</v>
      </c>
      <c r="I621" s="3227"/>
      <c r="J621" s="3316"/>
      <c r="K621" s="3317"/>
      <c r="L621" s="3210"/>
    </row>
    <row r="622" spans="1:12">
      <c r="A622" s="3222">
        <v>583</v>
      </c>
      <c r="B622" s="3223" t="s">
        <v>5956</v>
      </c>
      <c r="C622" s="3223"/>
      <c r="D622" s="3223">
        <v>102</v>
      </c>
      <c r="E622" s="3223" t="s">
        <v>3851</v>
      </c>
      <c r="F622" s="3223">
        <v>30.56</v>
      </c>
      <c r="G622" s="3224">
        <f t="shared" si="23"/>
        <v>13.57</v>
      </c>
      <c r="H622" s="3224">
        <f t="shared" si="22"/>
        <v>0.44408023116547801</v>
      </c>
      <c r="I622" s="3227"/>
      <c r="J622" s="3316"/>
      <c r="K622" s="3317"/>
      <c r="L622" s="3210"/>
    </row>
    <row r="623" spans="1:12">
      <c r="A623" s="3222">
        <v>584</v>
      </c>
      <c r="B623" s="3223" t="s">
        <v>5956</v>
      </c>
      <c r="C623" s="3223"/>
      <c r="D623" s="3223">
        <v>103</v>
      </c>
      <c r="E623" s="3223" t="s">
        <v>3851</v>
      </c>
      <c r="F623" s="3223">
        <v>56.66</v>
      </c>
      <c r="G623" s="3224">
        <f t="shared" si="23"/>
        <v>25.16</v>
      </c>
      <c r="H623" s="3224">
        <f t="shared" si="22"/>
        <v>0.44408023116547801</v>
      </c>
      <c r="I623" s="3227"/>
      <c r="J623" s="3316"/>
      <c r="K623" s="3317"/>
      <c r="L623" s="3210"/>
    </row>
    <row r="624" spans="1:12">
      <c r="A624" s="3222">
        <v>585</v>
      </c>
      <c r="B624" s="3223" t="s">
        <v>5956</v>
      </c>
      <c r="C624" s="3223"/>
      <c r="D624" s="3223">
        <v>104</v>
      </c>
      <c r="E624" s="3223" t="s">
        <v>3851</v>
      </c>
      <c r="F624" s="3223">
        <v>62.27</v>
      </c>
      <c r="G624" s="3224">
        <f t="shared" si="23"/>
        <v>27.65</v>
      </c>
      <c r="H624" s="3224">
        <f t="shared" si="22"/>
        <v>0.44408023116547801</v>
      </c>
      <c r="I624" s="3227"/>
      <c r="J624" s="3316"/>
      <c r="K624" s="3317"/>
      <c r="L624" s="3210"/>
    </row>
    <row r="625" spans="1:12">
      <c r="A625" s="3222">
        <v>586</v>
      </c>
      <c r="B625" s="3223" t="s">
        <v>5956</v>
      </c>
      <c r="C625" s="3223"/>
      <c r="D625" s="3223">
        <v>105</v>
      </c>
      <c r="E625" s="3223" t="s">
        <v>3851</v>
      </c>
      <c r="F625" s="3223">
        <v>33.46</v>
      </c>
      <c r="G625" s="3224">
        <f t="shared" si="23"/>
        <v>14.86</v>
      </c>
      <c r="H625" s="3224">
        <f t="shared" si="22"/>
        <v>0.44408023116547801</v>
      </c>
      <c r="I625" s="3227"/>
      <c r="J625" s="3316"/>
      <c r="K625" s="3317"/>
      <c r="L625" s="3210"/>
    </row>
    <row r="626" spans="1:12">
      <c r="A626" s="3222">
        <v>587</v>
      </c>
      <c r="B626" s="3223" t="s">
        <v>5956</v>
      </c>
      <c r="C626" s="3223"/>
      <c r="D626" s="3223">
        <v>115</v>
      </c>
      <c r="E626" s="3223" t="s">
        <v>3851</v>
      </c>
      <c r="F626" s="3223">
        <v>46.67</v>
      </c>
      <c r="G626" s="3224">
        <f t="shared" si="23"/>
        <v>20.73</v>
      </c>
      <c r="H626" s="3224">
        <f t="shared" si="22"/>
        <v>0.44408023116547801</v>
      </c>
      <c r="I626" s="3227"/>
      <c r="J626" s="3316"/>
      <c r="K626" s="3317"/>
      <c r="L626" s="3210"/>
    </row>
    <row r="627" spans="1:12">
      <c r="A627" s="3222">
        <v>588</v>
      </c>
      <c r="B627" s="3223" t="s">
        <v>5956</v>
      </c>
      <c r="C627" s="3223"/>
      <c r="D627" s="3223">
        <v>116</v>
      </c>
      <c r="E627" s="3223" t="s">
        <v>3851</v>
      </c>
      <c r="F627" s="3223">
        <v>61.99</v>
      </c>
      <c r="G627" s="3224">
        <f t="shared" si="23"/>
        <v>27.53</v>
      </c>
      <c r="H627" s="3224">
        <f t="shared" si="22"/>
        <v>0.44408023116547801</v>
      </c>
      <c r="I627" s="3227"/>
      <c r="J627" s="3316"/>
      <c r="K627" s="3317"/>
      <c r="L627" s="3210"/>
    </row>
    <row r="628" spans="1:12">
      <c r="A628" s="3222">
        <v>589</v>
      </c>
      <c r="B628" s="3223" t="s">
        <v>5956</v>
      </c>
      <c r="C628" s="3223"/>
      <c r="D628" s="3223">
        <v>117</v>
      </c>
      <c r="E628" s="3223" t="s">
        <v>3851</v>
      </c>
      <c r="F628" s="3223">
        <v>33.46</v>
      </c>
      <c r="G628" s="3224">
        <f t="shared" si="23"/>
        <v>14.86</v>
      </c>
      <c r="H628" s="3224">
        <f t="shared" si="22"/>
        <v>0.44408023116547801</v>
      </c>
      <c r="I628" s="3227"/>
      <c r="J628" s="3316"/>
      <c r="K628" s="3317"/>
      <c r="L628" s="3210"/>
    </row>
    <row r="629" spans="1:12">
      <c r="A629" s="3222">
        <v>590</v>
      </c>
      <c r="B629" s="3223" t="s">
        <v>5956</v>
      </c>
      <c r="C629" s="3223"/>
      <c r="D629" s="3223">
        <v>118</v>
      </c>
      <c r="E629" s="3223" t="s">
        <v>3851</v>
      </c>
      <c r="F629" s="3223">
        <v>33.46</v>
      </c>
      <c r="G629" s="3224">
        <f t="shared" si="23"/>
        <v>14.86</v>
      </c>
      <c r="H629" s="3224">
        <f t="shared" ref="H629:H692" si="24">H628</f>
        <v>0.44408023116547801</v>
      </c>
      <c r="I629" s="3227"/>
      <c r="J629" s="3316"/>
      <c r="K629" s="3317"/>
      <c r="L629" s="3210"/>
    </row>
    <row r="630" spans="1:12">
      <c r="A630" s="3222">
        <v>591</v>
      </c>
      <c r="B630" s="3223" t="s">
        <v>5956</v>
      </c>
      <c r="C630" s="3223"/>
      <c r="D630" s="3223">
        <v>119</v>
      </c>
      <c r="E630" s="3223" t="s">
        <v>3851</v>
      </c>
      <c r="F630" s="3223">
        <v>62.27</v>
      </c>
      <c r="G630" s="3224">
        <f t="shared" si="23"/>
        <v>27.65</v>
      </c>
      <c r="H630" s="3224">
        <f t="shared" si="24"/>
        <v>0.44408023116547801</v>
      </c>
      <c r="I630" s="3227"/>
      <c r="J630" s="3316"/>
      <c r="K630" s="3317"/>
      <c r="L630" s="3210"/>
    </row>
    <row r="631" spans="1:12">
      <c r="A631" s="3222">
        <v>592</v>
      </c>
      <c r="B631" s="3223" t="s">
        <v>5956</v>
      </c>
      <c r="C631" s="3223"/>
      <c r="D631" s="3223">
        <v>120</v>
      </c>
      <c r="E631" s="3223" t="s">
        <v>3851</v>
      </c>
      <c r="F631" s="3223">
        <v>56.66</v>
      </c>
      <c r="G631" s="3224">
        <f t="shared" si="23"/>
        <v>25.16</v>
      </c>
      <c r="H631" s="3224">
        <f t="shared" si="24"/>
        <v>0.44408023116547801</v>
      </c>
      <c r="I631" s="3227"/>
      <c r="J631" s="3316"/>
      <c r="K631" s="3317"/>
      <c r="L631" s="3210"/>
    </row>
    <row r="632" spans="1:12">
      <c r="A632" s="3222">
        <v>593</v>
      </c>
      <c r="B632" s="3223" t="s">
        <v>5956</v>
      </c>
      <c r="C632" s="3223"/>
      <c r="D632" s="3223">
        <v>121</v>
      </c>
      <c r="E632" s="3223" t="s">
        <v>3851</v>
      </c>
      <c r="F632" s="3223">
        <v>30.56</v>
      </c>
      <c r="G632" s="3224">
        <f t="shared" si="23"/>
        <v>13.57</v>
      </c>
      <c r="H632" s="3224">
        <f t="shared" si="24"/>
        <v>0.44408023116547801</v>
      </c>
      <c r="I632" s="3227"/>
      <c r="J632" s="3316"/>
      <c r="K632" s="3317"/>
      <c r="L632" s="3210"/>
    </row>
    <row r="633" spans="1:12">
      <c r="A633" s="3222">
        <v>594</v>
      </c>
      <c r="B633" s="3223" t="s">
        <v>5956</v>
      </c>
      <c r="C633" s="3223"/>
      <c r="D633" s="3223">
        <v>122</v>
      </c>
      <c r="E633" s="3223" t="s">
        <v>3851</v>
      </c>
      <c r="F633" s="3223">
        <v>24.49</v>
      </c>
      <c r="G633" s="3224">
        <f t="shared" si="23"/>
        <v>10.88</v>
      </c>
      <c r="H633" s="3224">
        <f t="shared" si="24"/>
        <v>0.44408023116547801</v>
      </c>
      <c r="I633" s="3227"/>
      <c r="J633" s="3316"/>
      <c r="K633" s="3317"/>
      <c r="L633" s="3210"/>
    </row>
    <row r="634" spans="1:12">
      <c r="A634" s="3222">
        <v>595</v>
      </c>
      <c r="B634" s="3223" t="s">
        <v>5956</v>
      </c>
      <c r="C634" s="3223"/>
      <c r="D634" s="3223">
        <v>126</v>
      </c>
      <c r="E634" s="3223" t="s">
        <v>3851</v>
      </c>
      <c r="F634" s="3223">
        <v>42.81</v>
      </c>
      <c r="G634" s="3224">
        <f t="shared" si="23"/>
        <v>19.010000000000002</v>
      </c>
      <c r="H634" s="3224">
        <f t="shared" si="24"/>
        <v>0.44408023116547801</v>
      </c>
      <c r="I634" s="3227"/>
      <c r="J634" s="3305"/>
      <c r="K634" s="3306"/>
      <c r="L634" s="3208"/>
    </row>
    <row r="635" spans="1:12">
      <c r="A635" s="3222">
        <v>596</v>
      </c>
      <c r="B635" s="3223" t="s">
        <v>5956</v>
      </c>
      <c r="C635" s="3223"/>
      <c r="D635" s="3223">
        <v>201</v>
      </c>
      <c r="E635" s="3223" t="s">
        <v>3851</v>
      </c>
      <c r="F635" s="3223">
        <v>22.51</v>
      </c>
      <c r="G635" s="3224">
        <f t="shared" si="23"/>
        <v>10</v>
      </c>
      <c r="H635" s="3224">
        <f t="shared" si="24"/>
        <v>0.44408023116547801</v>
      </c>
      <c r="I635" s="3227"/>
      <c r="J635" s="3305"/>
      <c r="K635" s="3306"/>
      <c r="L635" s="3208"/>
    </row>
    <row r="636" spans="1:12">
      <c r="A636" s="3222">
        <v>597</v>
      </c>
      <c r="B636" s="3223" t="s">
        <v>5956</v>
      </c>
      <c r="C636" s="3223"/>
      <c r="D636" s="3223">
        <v>202</v>
      </c>
      <c r="E636" s="3223" t="s">
        <v>3851</v>
      </c>
      <c r="F636" s="3223">
        <v>25.39</v>
      </c>
      <c r="G636" s="3224">
        <f t="shared" si="23"/>
        <v>11.28</v>
      </c>
      <c r="H636" s="3224">
        <f t="shared" si="24"/>
        <v>0.44408023116547801</v>
      </c>
      <c r="I636" s="3227"/>
      <c r="J636" s="3305"/>
      <c r="K636" s="3306"/>
      <c r="L636" s="3208"/>
    </row>
    <row r="637" spans="1:12">
      <c r="A637" s="3222">
        <v>598</v>
      </c>
      <c r="B637" s="3223" t="s">
        <v>5956</v>
      </c>
      <c r="C637" s="3223"/>
      <c r="D637" s="3223">
        <v>203</v>
      </c>
      <c r="E637" s="3223" t="s">
        <v>3851</v>
      </c>
      <c r="F637" s="3223">
        <v>26.12</v>
      </c>
      <c r="G637" s="3224">
        <f t="shared" si="23"/>
        <v>11.6</v>
      </c>
      <c r="H637" s="3224">
        <f t="shared" si="24"/>
        <v>0.44408023116547801</v>
      </c>
      <c r="I637" s="3227"/>
      <c r="J637" s="3305"/>
      <c r="K637" s="3306"/>
      <c r="L637" s="3208"/>
    </row>
    <row r="638" spans="1:12">
      <c r="A638" s="3222">
        <v>599</v>
      </c>
      <c r="B638" s="3223" t="s">
        <v>5956</v>
      </c>
      <c r="C638" s="3223"/>
      <c r="D638" s="3223">
        <v>204</v>
      </c>
      <c r="E638" s="3223" t="s">
        <v>3851</v>
      </c>
      <c r="F638" s="3223">
        <v>24.28</v>
      </c>
      <c r="G638" s="3224">
        <f t="shared" si="23"/>
        <v>10.78</v>
      </c>
      <c r="H638" s="3224">
        <f t="shared" si="24"/>
        <v>0.44408023116547801</v>
      </c>
      <c r="I638" s="3227"/>
      <c r="J638" s="3314"/>
      <c r="K638" s="3315"/>
      <c r="L638" s="3208"/>
    </row>
    <row r="639" spans="1:12">
      <c r="A639" s="3222">
        <v>600</v>
      </c>
      <c r="B639" s="3223" t="s">
        <v>5956</v>
      </c>
      <c r="C639" s="3223"/>
      <c r="D639" s="3223">
        <v>208</v>
      </c>
      <c r="E639" s="3223" t="s">
        <v>3851</v>
      </c>
      <c r="F639" s="3223">
        <v>21.5</v>
      </c>
      <c r="G639" s="3224">
        <f t="shared" si="23"/>
        <v>9.5500000000000007</v>
      </c>
      <c r="H639" s="3224">
        <f t="shared" si="24"/>
        <v>0.44408023116547801</v>
      </c>
      <c r="I639" s="3227"/>
      <c r="J639" s="3305"/>
      <c r="K639" s="3306"/>
      <c r="L639" s="3208"/>
    </row>
    <row r="640" spans="1:12">
      <c r="A640" s="3222">
        <v>601</v>
      </c>
      <c r="B640" s="3223" t="s">
        <v>5956</v>
      </c>
      <c r="C640" s="3223"/>
      <c r="D640" s="3223">
        <v>209</v>
      </c>
      <c r="E640" s="3223" t="s">
        <v>3851</v>
      </c>
      <c r="F640" s="3223">
        <v>22.76</v>
      </c>
      <c r="G640" s="3224">
        <f t="shared" si="23"/>
        <v>10.11</v>
      </c>
      <c r="H640" s="3224">
        <f t="shared" si="24"/>
        <v>0.44408023116547801</v>
      </c>
      <c r="I640" s="3227"/>
      <c r="J640" s="3314"/>
      <c r="K640" s="3315"/>
      <c r="L640" s="3208"/>
    </row>
    <row r="641" spans="1:12">
      <c r="A641" s="3222">
        <v>602</v>
      </c>
      <c r="B641" s="3223" t="s">
        <v>5958</v>
      </c>
      <c r="C641" s="3223"/>
      <c r="D641" s="3223">
        <v>1001</v>
      </c>
      <c r="E641" s="3223" t="s">
        <v>4786</v>
      </c>
      <c r="F641" s="3223">
        <v>35.9</v>
      </c>
      <c r="G641" s="3224">
        <f t="shared" si="23"/>
        <v>15.94</v>
      </c>
      <c r="H641" s="3224">
        <f t="shared" si="24"/>
        <v>0.44408023116547801</v>
      </c>
      <c r="I641" s="3227"/>
      <c r="J641" s="3314"/>
      <c r="K641" s="3315"/>
      <c r="L641" s="3208"/>
    </row>
    <row r="642" spans="1:12">
      <c r="A642" s="3222">
        <v>603</v>
      </c>
      <c r="B642" s="3223" t="s">
        <v>5958</v>
      </c>
      <c r="C642" s="3223"/>
      <c r="D642" s="3223">
        <v>1002</v>
      </c>
      <c r="E642" s="3223" t="s">
        <v>4786</v>
      </c>
      <c r="F642" s="3223">
        <v>35.9</v>
      </c>
      <c r="G642" s="3224">
        <f t="shared" si="23"/>
        <v>15.94</v>
      </c>
      <c r="H642" s="3224">
        <f t="shared" si="24"/>
        <v>0.44408023116547801</v>
      </c>
      <c r="I642" s="3227"/>
      <c r="J642" s="3314"/>
      <c r="K642" s="3315"/>
      <c r="L642" s="3208"/>
    </row>
    <row r="643" spans="1:12">
      <c r="A643" s="3222">
        <v>604</v>
      </c>
      <c r="B643" s="3223" t="s">
        <v>5958</v>
      </c>
      <c r="C643" s="3223"/>
      <c r="D643" s="3223">
        <v>1003</v>
      </c>
      <c r="E643" s="3223" t="s">
        <v>4786</v>
      </c>
      <c r="F643" s="3223">
        <v>35.9</v>
      </c>
      <c r="G643" s="3224">
        <f t="shared" si="23"/>
        <v>15.94</v>
      </c>
      <c r="H643" s="3224">
        <f t="shared" si="24"/>
        <v>0.44408023116547801</v>
      </c>
      <c r="I643" s="3227"/>
      <c r="J643" s="3314"/>
      <c r="K643" s="3315"/>
      <c r="L643" s="3208"/>
    </row>
    <row r="644" spans="1:12">
      <c r="A644" s="3222">
        <v>605</v>
      </c>
      <c r="B644" s="3223" t="s">
        <v>5958</v>
      </c>
      <c r="C644" s="3223"/>
      <c r="D644" s="3223">
        <v>1004</v>
      </c>
      <c r="E644" s="3223" t="s">
        <v>4786</v>
      </c>
      <c r="F644" s="3223">
        <v>35.9</v>
      </c>
      <c r="G644" s="3224">
        <f t="shared" si="23"/>
        <v>15.94</v>
      </c>
      <c r="H644" s="3224">
        <f t="shared" si="24"/>
        <v>0.44408023116547801</v>
      </c>
      <c r="I644" s="3227"/>
      <c r="J644" s="3305"/>
      <c r="K644" s="3306"/>
      <c r="L644" s="3208"/>
    </row>
    <row r="645" spans="1:12">
      <c r="A645" s="3222">
        <v>606</v>
      </c>
      <c r="B645" s="3223" t="s">
        <v>5958</v>
      </c>
      <c r="C645" s="3223"/>
      <c r="D645" s="3223">
        <v>1005</v>
      </c>
      <c r="E645" s="3223" t="s">
        <v>4786</v>
      </c>
      <c r="F645" s="3223">
        <v>37.39</v>
      </c>
      <c r="G645" s="3224">
        <f t="shared" si="23"/>
        <v>16.600000000000001</v>
      </c>
      <c r="H645" s="3224">
        <f t="shared" si="24"/>
        <v>0.44408023116547801</v>
      </c>
      <c r="I645" s="3227"/>
      <c r="J645" s="3305"/>
      <c r="K645" s="3306"/>
      <c r="L645" s="3208"/>
    </row>
    <row r="646" spans="1:12">
      <c r="A646" s="3222">
        <v>607</v>
      </c>
      <c r="B646" s="3223" t="s">
        <v>5958</v>
      </c>
      <c r="C646" s="3223"/>
      <c r="D646" s="3223">
        <v>1006</v>
      </c>
      <c r="E646" s="3223" t="s">
        <v>4786</v>
      </c>
      <c r="F646" s="3223">
        <v>37.39</v>
      </c>
      <c r="G646" s="3224">
        <f t="shared" si="23"/>
        <v>16.600000000000001</v>
      </c>
      <c r="H646" s="3224">
        <f t="shared" si="24"/>
        <v>0.44408023116547801</v>
      </c>
      <c r="I646" s="3227"/>
      <c r="J646" s="3305"/>
      <c r="K646" s="3306"/>
      <c r="L646" s="3208"/>
    </row>
    <row r="647" spans="1:12">
      <c r="A647" s="3222">
        <v>608</v>
      </c>
      <c r="B647" s="3223" t="s">
        <v>5958</v>
      </c>
      <c r="C647" s="3223"/>
      <c r="D647" s="3223">
        <v>1007</v>
      </c>
      <c r="E647" s="3223" t="s">
        <v>4786</v>
      </c>
      <c r="F647" s="3223">
        <v>37.39</v>
      </c>
      <c r="G647" s="3224">
        <f t="shared" si="23"/>
        <v>16.600000000000001</v>
      </c>
      <c r="H647" s="3224">
        <f t="shared" si="24"/>
        <v>0.44408023116547801</v>
      </c>
      <c r="I647" s="3227"/>
      <c r="J647" s="3305"/>
      <c r="K647" s="3306"/>
      <c r="L647" s="3208"/>
    </row>
    <row r="648" spans="1:12">
      <c r="A648" s="3222">
        <v>609</v>
      </c>
      <c r="B648" s="3223" t="s">
        <v>5958</v>
      </c>
      <c r="C648" s="3223"/>
      <c r="D648" s="3223">
        <v>1008</v>
      </c>
      <c r="E648" s="3223" t="s">
        <v>4786</v>
      </c>
      <c r="F648" s="3223">
        <v>37.39</v>
      </c>
      <c r="G648" s="3224">
        <f t="shared" si="23"/>
        <v>16.600000000000001</v>
      </c>
      <c r="H648" s="3224">
        <f t="shared" si="24"/>
        <v>0.44408023116547801</v>
      </c>
      <c r="I648" s="3227"/>
      <c r="J648" s="3305"/>
      <c r="K648" s="3306"/>
      <c r="L648" s="3208"/>
    </row>
    <row r="649" spans="1:12">
      <c r="A649" s="3222">
        <v>610</v>
      </c>
      <c r="B649" s="3223" t="s">
        <v>5958</v>
      </c>
      <c r="C649" s="3223"/>
      <c r="D649" s="3223">
        <v>1009</v>
      </c>
      <c r="E649" s="3223" t="s">
        <v>4786</v>
      </c>
      <c r="F649" s="3223">
        <v>37.39</v>
      </c>
      <c r="G649" s="3224">
        <f t="shared" si="23"/>
        <v>16.600000000000001</v>
      </c>
      <c r="H649" s="3224">
        <f t="shared" si="24"/>
        <v>0.44408023116547801</v>
      </c>
      <c r="I649" s="3227"/>
      <c r="J649" s="3305"/>
      <c r="K649" s="3306"/>
      <c r="L649" s="3208"/>
    </row>
    <row r="650" spans="1:12">
      <c r="A650" s="3222">
        <v>611</v>
      </c>
      <c r="B650" s="3223" t="s">
        <v>5958</v>
      </c>
      <c r="C650" s="3223"/>
      <c r="D650" s="3223">
        <v>1010</v>
      </c>
      <c r="E650" s="3223" t="s">
        <v>4786</v>
      </c>
      <c r="F650" s="3223">
        <v>37.39</v>
      </c>
      <c r="G650" s="3224">
        <f t="shared" si="23"/>
        <v>16.600000000000001</v>
      </c>
      <c r="H650" s="3224">
        <f t="shared" si="24"/>
        <v>0.44408023116547801</v>
      </c>
      <c r="I650" s="3227"/>
      <c r="J650" s="3305"/>
      <c r="K650" s="3306"/>
      <c r="L650" s="3208"/>
    </row>
    <row r="651" spans="1:12">
      <c r="A651" s="3222">
        <v>612</v>
      </c>
      <c r="B651" s="3223" t="s">
        <v>5958</v>
      </c>
      <c r="C651" s="3223"/>
      <c r="D651" s="3223">
        <v>1011</v>
      </c>
      <c r="E651" s="3223" t="s">
        <v>4786</v>
      </c>
      <c r="F651" s="3223">
        <v>37.39</v>
      </c>
      <c r="G651" s="3224">
        <f t="shared" si="23"/>
        <v>16.600000000000001</v>
      </c>
      <c r="H651" s="3224">
        <f t="shared" si="24"/>
        <v>0.44408023116547801</v>
      </c>
      <c r="I651" s="3227"/>
      <c r="J651" s="3305"/>
      <c r="K651" s="3306"/>
      <c r="L651" s="3208"/>
    </row>
    <row r="652" spans="1:12">
      <c r="A652" s="3222">
        <v>613</v>
      </c>
      <c r="B652" s="3223" t="s">
        <v>5958</v>
      </c>
      <c r="C652" s="3223"/>
      <c r="D652" s="3223">
        <v>1012</v>
      </c>
      <c r="E652" s="3223" t="s">
        <v>4786</v>
      </c>
      <c r="F652" s="3223">
        <v>37.39</v>
      </c>
      <c r="G652" s="3224">
        <f t="shared" si="23"/>
        <v>16.600000000000001</v>
      </c>
      <c r="H652" s="3224">
        <f t="shared" si="24"/>
        <v>0.44408023116547801</v>
      </c>
      <c r="I652" s="3227"/>
      <c r="J652" s="3305"/>
      <c r="K652" s="3306"/>
      <c r="L652" s="3208"/>
    </row>
    <row r="653" spans="1:12">
      <c r="A653" s="3222">
        <v>614</v>
      </c>
      <c r="B653" s="3223" t="s">
        <v>5958</v>
      </c>
      <c r="C653" s="3223"/>
      <c r="D653" s="3223">
        <v>1013</v>
      </c>
      <c r="E653" s="3223" t="s">
        <v>4786</v>
      </c>
      <c r="F653" s="3223">
        <v>37.39</v>
      </c>
      <c r="G653" s="3224">
        <f t="shared" si="23"/>
        <v>16.600000000000001</v>
      </c>
      <c r="H653" s="3224">
        <f t="shared" si="24"/>
        <v>0.44408023116547801</v>
      </c>
      <c r="I653" s="3227"/>
      <c r="J653" s="3314"/>
      <c r="K653" s="3315"/>
      <c r="L653" s="3208"/>
    </row>
    <row r="654" spans="1:12">
      <c r="A654" s="3222">
        <v>615</v>
      </c>
      <c r="B654" s="3223" t="s">
        <v>5958</v>
      </c>
      <c r="C654" s="3223"/>
      <c r="D654" s="3223">
        <v>1014</v>
      </c>
      <c r="E654" s="3223" t="s">
        <v>4786</v>
      </c>
      <c r="F654" s="3223">
        <v>35.9</v>
      </c>
      <c r="G654" s="3224">
        <f t="shared" si="23"/>
        <v>15.94</v>
      </c>
      <c r="H654" s="3224">
        <f t="shared" si="24"/>
        <v>0.44408023116547801</v>
      </c>
      <c r="I654" s="3227"/>
      <c r="J654" s="3314"/>
      <c r="K654" s="3315"/>
      <c r="L654" s="3208"/>
    </row>
    <row r="655" spans="1:12">
      <c r="A655" s="3222">
        <v>616</v>
      </c>
      <c r="B655" s="3223" t="s">
        <v>5958</v>
      </c>
      <c r="C655" s="3223"/>
      <c r="D655" s="3223">
        <v>1015</v>
      </c>
      <c r="E655" s="3223" t="s">
        <v>4786</v>
      </c>
      <c r="F655" s="3223">
        <v>35.9</v>
      </c>
      <c r="G655" s="3224">
        <f t="shared" si="23"/>
        <v>15.94</v>
      </c>
      <c r="H655" s="3224">
        <f t="shared" si="24"/>
        <v>0.44408023116547801</v>
      </c>
      <c r="I655" s="3227"/>
      <c r="J655" s="3314"/>
      <c r="K655" s="3315"/>
      <c r="L655" s="3208"/>
    </row>
    <row r="656" spans="1:12">
      <c r="A656" s="3222">
        <v>617</v>
      </c>
      <c r="B656" s="3223" t="s">
        <v>5958</v>
      </c>
      <c r="C656" s="3223"/>
      <c r="D656" s="3223">
        <v>1016</v>
      </c>
      <c r="E656" s="3223" t="s">
        <v>4786</v>
      </c>
      <c r="F656" s="3223">
        <v>35.9</v>
      </c>
      <c r="G656" s="3224">
        <f t="shared" si="23"/>
        <v>15.94</v>
      </c>
      <c r="H656" s="3224">
        <f t="shared" si="24"/>
        <v>0.44408023116547801</v>
      </c>
      <c r="I656" s="3227"/>
      <c r="J656" s="3314"/>
      <c r="K656" s="3315"/>
      <c r="L656" s="3208"/>
    </row>
    <row r="657" spans="1:12">
      <c r="A657" s="3222">
        <v>618</v>
      </c>
      <c r="B657" s="3223" t="s">
        <v>5958</v>
      </c>
      <c r="C657" s="3223"/>
      <c r="D657" s="3223">
        <v>1017</v>
      </c>
      <c r="E657" s="3223" t="s">
        <v>4786</v>
      </c>
      <c r="F657" s="3223">
        <v>35.9</v>
      </c>
      <c r="G657" s="3224">
        <f t="shared" si="23"/>
        <v>15.94</v>
      </c>
      <c r="H657" s="3224">
        <f t="shared" si="24"/>
        <v>0.44408023116547801</v>
      </c>
      <c r="I657" s="3227"/>
      <c r="J657" s="3305"/>
      <c r="K657" s="3306"/>
      <c r="L657" s="3208"/>
    </row>
    <row r="658" spans="1:12">
      <c r="A658" s="3222">
        <v>619</v>
      </c>
      <c r="B658" s="3223" t="s">
        <v>5958</v>
      </c>
      <c r="C658" s="3223"/>
      <c r="D658" s="3223">
        <v>1018</v>
      </c>
      <c r="E658" s="3223" t="s">
        <v>4786</v>
      </c>
      <c r="F658" s="3223">
        <v>37.39</v>
      </c>
      <c r="G658" s="3224">
        <f t="shared" si="23"/>
        <v>16.600000000000001</v>
      </c>
      <c r="H658" s="3224">
        <f t="shared" si="24"/>
        <v>0.44408023116547801</v>
      </c>
      <c r="I658" s="3227"/>
      <c r="J658" s="3305"/>
      <c r="K658" s="3306"/>
      <c r="L658" s="3208"/>
    </row>
    <row r="659" spans="1:12">
      <c r="A659" s="3222">
        <v>620</v>
      </c>
      <c r="B659" s="3223" t="s">
        <v>5958</v>
      </c>
      <c r="C659" s="3223"/>
      <c r="D659" s="3223">
        <v>1019</v>
      </c>
      <c r="E659" s="3223" t="s">
        <v>4786</v>
      </c>
      <c r="F659" s="3223">
        <v>37.39</v>
      </c>
      <c r="G659" s="3224">
        <f t="shared" si="23"/>
        <v>16.600000000000001</v>
      </c>
      <c r="H659" s="3224">
        <f t="shared" si="24"/>
        <v>0.44408023116547801</v>
      </c>
      <c r="I659" s="3227"/>
      <c r="J659" s="3305"/>
      <c r="K659" s="3306"/>
      <c r="L659" s="3208"/>
    </row>
    <row r="660" spans="1:12">
      <c r="A660" s="3222">
        <v>621</v>
      </c>
      <c r="B660" s="3223" t="s">
        <v>5958</v>
      </c>
      <c r="C660" s="3223"/>
      <c r="D660" s="3223">
        <v>1020</v>
      </c>
      <c r="E660" s="3223" t="s">
        <v>4786</v>
      </c>
      <c r="F660" s="3223">
        <v>55.34</v>
      </c>
      <c r="G660" s="3224">
        <f t="shared" si="23"/>
        <v>24.58</v>
      </c>
      <c r="H660" s="3224">
        <f t="shared" si="24"/>
        <v>0.44408023116547801</v>
      </c>
      <c r="I660" s="3227"/>
      <c r="J660" s="3314"/>
      <c r="K660" s="3315"/>
      <c r="L660" s="3208"/>
    </row>
    <row r="661" spans="1:12">
      <c r="A661" s="3222">
        <v>622</v>
      </c>
      <c r="B661" s="3223" t="s">
        <v>5958</v>
      </c>
      <c r="C661" s="3223"/>
      <c r="D661" s="3223">
        <v>1021</v>
      </c>
      <c r="E661" s="3223" t="s">
        <v>4786</v>
      </c>
      <c r="F661" s="3223">
        <v>35.9</v>
      </c>
      <c r="G661" s="3224">
        <f t="shared" si="23"/>
        <v>15.94</v>
      </c>
      <c r="H661" s="3224">
        <f t="shared" si="24"/>
        <v>0.44408023116547801</v>
      </c>
      <c r="I661" s="3227"/>
      <c r="J661" s="3314"/>
      <c r="K661" s="3315"/>
      <c r="L661" s="3208"/>
    </row>
    <row r="662" spans="1:12">
      <c r="A662" s="3222">
        <v>623</v>
      </c>
      <c r="B662" s="3223" t="s">
        <v>5958</v>
      </c>
      <c r="C662" s="3223"/>
      <c r="D662" s="3223">
        <v>1022</v>
      </c>
      <c r="E662" s="3223" t="s">
        <v>4786</v>
      </c>
      <c r="F662" s="3223">
        <v>35.9</v>
      </c>
      <c r="G662" s="3224">
        <f t="shared" si="23"/>
        <v>15.94</v>
      </c>
      <c r="H662" s="3224">
        <f t="shared" si="24"/>
        <v>0.44408023116547801</v>
      </c>
      <c r="I662" s="3227"/>
      <c r="J662" s="3305"/>
      <c r="K662" s="3306"/>
      <c r="L662" s="3208"/>
    </row>
    <row r="663" spans="1:12">
      <c r="A663" s="3222">
        <v>624</v>
      </c>
      <c r="B663" s="3223" t="s">
        <v>5958</v>
      </c>
      <c r="C663" s="3223"/>
      <c r="D663" s="3223">
        <v>1023</v>
      </c>
      <c r="E663" s="3223" t="s">
        <v>4786</v>
      </c>
      <c r="F663" s="3223">
        <v>37.39</v>
      </c>
      <c r="G663" s="3224">
        <f t="shared" si="23"/>
        <v>16.600000000000001</v>
      </c>
      <c r="H663" s="3224">
        <f t="shared" si="24"/>
        <v>0.44408023116547801</v>
      </c>
      <c r="I663" s="3227"/>
      <c r="J663" s="3305"/>
      <c r="K663" s="3306"/>
      <c r="L663" s="3208"/>
    </row>
    <row r="664" spans="1:12">
      <c r="A664" s="3222">
        <v>625</v>
      </c>
      <c r="B664" s="3223" t="s">
        <v>5958</v>
      </c>
      <c r="C664" s="3223"/>
      <c r="D664" s="3223">
        <v>1024</v>
      </c>
      <c r="E664" s="3223" t="s">
        <v>4786</v>
      </c>
      <c r="F664" s="3223">
        <v>37.39</v>
      </c>
      <c r="G664" s="3224">
        <f t="shared" si="23"/>
        <v>16.600000000000001</v>
      </c>
      <c r="H664" s="3224">
        <f t="shared" si="24"/>
        <v>0.44408023116547801</v>
      </c>
      <c r="I664" s="3227"/>
      <c r="J664" s="3314"/>
      <c r="K664" s="3315"/>
      <c r="L664" s="3208"/>
    </row>
    <row r="665" spans="1:12">
      <c r="A665" s="3222">
        <v>626</v>
      </c>
      <c r="B665" s="3223" t="s">
        <v>5958</v>
      </c>
      <c r="C665" s="3223"/>
      <c r="D665" s="3223">
        <v>1027</v>
      </c>
      <c r="E665" s="3223" t="s">
        <v>4786</v>
      </c>
      <c r="F665" s="3223">
        <v>35.9</v>
      </c>
      <c r="G665" s="3224">
        <f t="shared" si="23"/>
        <v>15.94</v>
      </c>
      <c r="H665" s="3224">
        <f t="shared" si="24"/>
        <v>0.44408023116547801</v>
      </c>
      <c r="I665" s="3227"/>
      <c r="J665" s="3314"/>
      <c r="K665" s="3315"/>
      <c r="L665" s="3208"/>
    </row>
    <row r="666" spans="1:12">
      <c r="A666" s="3222">
        <v>627</v>
      </c>
      <c r="B666" s="3223" t="s">
        <v>5958</v>
      </c>
      <c r="C666" s="3223"/>
      <c r="D666" s="3223">
        <v>1028</v>
      </c>
      <c r="E666" s="3223" t="s">
        <v>4786</v>
      </c>
      <c r="F666" s="3223">
        <v>35.9</v>
      </c>
      <c r="G666" s="3224">
        <f t="shared" si="23"/>
        <v>15.94</v>
      </c>
      <c r="H666" s="3224">
        <f t="shared" si="24"/>
        <v>0.44408023116547801</v>
      </c>
      <c r="I666" s="3227"/>
      <c r="J666" s="3305"/>
      <c r="K666" s="3306"/>
      <c r="L666" s="3208"/>
    </row>
    <row r="667" spans="1:12">
      <c r="A667" s="3222">
        <v>628</v>
      </c>
      <c r="B667" s="3223" t="s">
        <v>5958</v>
      </c>
      <c r="C667" s="3223"/>
      <c r="D667" s="3223">
        <v>1031</v>
      </c>
      <c r="E667" s="3223" t="s">
        <v>4786</v>
      </c>
      <c r="F667" s="3223">
        <v>37.39</v>
      </c>
      <c r="G667" s="3224">
        <f t="shared" si="23"/>
        <v>16.600000000000001</v>
      </c>
      <c r="H667" s="3224">
        <f t="shared" si="24"/>
        <v>0.44408023116547801</v>
      </c>
      <c r="I667" s="3227"/>
      <c r="J667" s="3305"/>
      <c r="K667" s="3306"/>
      <c r="L667" s="3208"/>
    </row>
    <row r="668" spans="1:12">
      <c r="A668" s="3222">
        <v>629</v>
      </c>
      <c r="B668" s="3223" t="s">
        <v>5958</v>
      </c>
      <c r="C668" s="3223"/>
      <c r="D668" s="3223">
        <v>1032</v>
      </c>
      <c r="E668" s="3223" t="s">
        <v>4786</v>
      </c>
      <c r="F668" s="3223">
        <v>37.39</v>
      </c>
      <c r="G668" s="3224">
        <f t="shared" si="23"/>
        <v>16.600000000000001</v>
      </c>
      <c r="H668" s="3224">
        <f t="shared" si="24"/>
        <v>0.44408023116547801</v>
      </c>
      <c r="I668" s="3227"/>
      <c r="J668" s="3305"/>
      <c r="K668" s="3306"/>
      <c r="L668" s="3208"/>
    </row>
    <row r="669" spans="1:12">
      <c r="A669" s="3222">
        <v>630</v>
      </c>
      <c r="B669" s="3223" t="s">
        <v>5958</v>
      </c>
      <c r="C669" s="3223"/>
      <c r="D669" s="3223">
        <v>1034</v>
      </c>
      <c r="E669" s="3223" t="s">
        <v>4786</v>
      </c>
      <c r="F669" s="3223">
        <v>37.39</v>
      </c>
      <c r="G669" s="3224">
        <f t="shared" si="23"/>
        <v>16.600000000000001</v>
      </c>
      <c r="H669" s="3224">
        <f t="shared" si="24"/>
        <v>0.44408023116547801</v>
      </c>
      <c r="I669" s="3227"/>
      <c r="J669" s="3305"/>
      <c r="K669" s="3306"/>
      <c r="L669" s="3208"/>
    </row>
    <row r="670" spans="1:12">
      <c r="A670" s="3222">
        <v>631</v>
      </c>
      <c r="B670" s="3223" t="s">
        <v>5958</v>
      </c>
      <c r="C670" s="3223"/>
      <c r="D670" s="3223">
        <v>1035</v>
      </c>
      <c r="E670" s="3223" t="s">
        <v>4786</v>
      </c>
      <c r="F670" s="3223">
        <v>37.39</v>
      </c>
      <c r="G670" s="3224">
        <f t="shared" si="23"/>
        <v>16.600000000000001</v>
      </c>
      <c r="H670" s="3224">
        <f t="shared" si="24"/>
        <v>0.44408023116547801</v>
      </c>
      <c r="I670" s="3227"/>
      <c r="J670" s="3305"/>
      <c r="K670" s="3306"/>
      <c r="L670" s="3208"/>
    </row>
    <row r="671" spans="1:12">
      <c r="A671" s="3222">
        <v>632</v>
      </c>
      <c r="B671" s="3223" t="s">
        <v>5958</v>
      </c>
      <c r="C671" s="3223"/>
      <c r="D671" s="3223">
        <v>1036</v>
      </c>
      <c r="E671" s="3223" t="s">
        <v>4786</v>
      </c>
      <c r="F671" s="3223">
        <v>37.39</v>
      </c>
      <c r="G671" s="3224">
        <f t="shared" si="23"/>
        <v>16.600000000000001</v>
      </c>
      <c r="H671" s="3224">
        <f t="shared" si="24"/>
        <v>0.44408023116547801</v>
      </c>
      <c r="I671" s="3227"/>
      <c r="J671" s="3305"/>
      <c r="K671" s="3306"/>
      <c r="L671" s="3208"/>
    </row>
    <row r="672" spans="1:12">
      <c r="A672" s="3222">
        <v>633</v>
      </c>
      <c r="B672" s="3223" t="s">
        <v>5958</v>
      </c>
      <c r="C672" s="3223"/>
      <c r="D672" s="3223">
        <v>1037</v>
      </c>
      <c r="E672" s="3223" t="s">
        <v>4786</v>
      </c>
      <c r="F672" s="3223">
        <v>37.39</v>
      </c>
      <c r="G672" s="3224">
        <f t="shared" si="23"/>
        <v>16.600000000000001</v>
      </c>
      <c r="H672" s="3224">
        <f t="shared" si="24"/>
        <v>0.44408023116547801</v>
      </c>
      <c r="I672" s="3227"/>
      <c r="J672" s="3305"/>
      <c r="K672" s="3306"/>
      <c r="L672" s="3208"/>
    </row>
    <row r="673" spans="1:12">
      <c r="A673" s="3222">
        <v>634</v>
      </c>
      <c r="B673" s="3223" t="s">
        <v>5958</v>
      </c>
      <c r="C673" s="3223"/>
      <c r="D673" s="3223">
        <v>1038</v>
      </c>
      <c r="E673" s="3223" t="s">
        <v>4786</v>
      </c>
      <c r="F673" s="3223">
        <v>37.39</v>
      </c>
      <c r="G673" s="3224">
        <f t="shared" si="23"/>
        <v>16.600000000000001</v>
      </c>
      <c r="H673" s="3224">
        <f t="shared" si="24"/>
        <v>0.44408023116547801</v>
      </c>
      <c r="I673" s="3227"/>
      <c r="J673" s="3305"/>
      <c r="K673" s="3306"/>
      <c r="L673" s="3208"/>
    </row>
    <row r="674" spans="1:12">
      <c r="A674" s="3222">
        <v>635</v>
      </c>
      <c r="B674" s="3223" t="s">
        <v>5958</v>
      </c>
      <c r="C674" s="3223"/>
      <c r="D674" s="3223">
        <v>1040</v>
      </c>
      <c r="E674" s="3223" t="s">
        <v>4786</v>
      </c>
      <c r="F674" s="3223">
        <v>37.39</v>
      </c>
      <c r="G674" s="3224">
        <f t="shared" si="23"/>
        <v>16.600000000000001</v>
      </c>
      <c r="H674" s="3224">
        <f t="shared" si="24"/>
        <v>0.44408023116547801</v>
      </c>
      <c r="I674" s="3227"/>
      <c r="J674" s="3305"/>
      <c r="K674" s="3306"/>
      <c r="L674" s="3208"/>
    </row>
    <row r="675" spans="1:12">
      <c r="A675" s="3222">
        <v>636</v>
      </c>
      <c r="B675" s="3223" t="s">
        <v>5958</v>
      </c>
      <c r="C675" s="3223"/>
      <c r="D675" s="3223">
        <v>1041</v>
      </c>
      <c r="E675" s="3223" t="s">
        <v>4786</v>
      </c>
      <c r="F675" s="3223">
        <v>37.39</v>
      </c>
      <c r="G675" s="3224">
        <f t="shared" si="23"/>
        <v>16.600000000000001</v>
      </c>
      <c r="H675" s="3224">
        <f t="shared" si="24"/>
        <v>0.44408023116547801</v>
      </c>
      <c r="I675" s="3227"/>
      <c r="J675" s="3305"/>
      <c r="K675" s="3306"/>
      <c r="L675" s="3208"/>
    </row>
    <row r="676" spans="1:12">
      <c r="A676" s="3222">
        <v>637</v>
      </c>
      <c r="B676" s="3223" t="s">
        <v>5958</v>
      </c>
      <c r="C676" s="3223"/>
      <c r="D676" s="3223">
        <v>1044</v>
      </c>
      <c r="E676" s="3223" t="s">
        <v>4786</v>
      </c>
      <c r="F676" s="3223">
        <v>37.39</v>
      </c>
      <c r="G676" s="3224">
        <f t="shared" si="23"/>
        <v>16.600000000000001</v>
      </c>
      <c r="H676" s="3224">
        <f t="shared" si="24"/>
        <v>0.44408023116547801</v>
      </c>
      <c r="I676" s="3227"/>
      <c r="J676" s="3305"/>
      <c r="K676" s="3306"/>
      <c r="L676" s="3208"/>
    </row>
    <row r="677" spans="1:12">
      <c r="A677" s="3222">
        <v>638</v>
      </c>
      <c r="B677" s="3223" t="s">
        <v>5958</v>
      </c>
      <c r="C677" s="3223"/>
      <c r="D677" s="3223">
        <v>1045</v>
      </c>
      <c r="E677" s="3223" t="s">
        <v>4786</v>
      </c>
      <c r="F677" s="3223">
        <v>37.39</v>
      </c>
      <c r="G677" s="3224">
        <f t="shared" si="23"/>
        <v>16.600000000000001</v>
      </c>
      <c r="H677" s="3224">
        <f t="shared" si="24"/>
        <v>0.44408023116547801</v>
      </c>
      <c r="I677" s="3227"/>
      <c r="J677" s="3305"/>
      <c r="K677" s="3306"/>
      <c r="L677" s="3208"/>
    </row>
    <row r="678" spans="1:12">
      <c r="A678" s="3222">
        <v>639</v>
      </c>
      <c r="B678" s="3223" t="s">
        <v>5958</v>
      </c>
      <c r="C678" s="3223"/>
      <c r="D678" s="3223">
        <v>1046</v>
      </c>
      <c r="E678" s="3223" t="s">
        <v>4786</v>
      </c>
      <c r="F678" s="3223">
        <v>37.39</v>
      </c>
      <c r="G678" s="3224">
        <f t="shared" si="23"/>
        <v>16.600000000000001</v>
      </c>
      <c r="H678" s="3224">
        <f t="shared" si="24"/>
        <v>0.44408023116547801</v>
      </c>
      <c r="I678" s="3227"/>
      <c r="J678" s="3305"/>
      <c r="K678" s="3306"/>
      <c r="L678" s="3208"/>
    </row>
    <row r="679" spans="1:12">
      <c r="A679" s="3222">
        <v>640</v>
      </c>
      <c r="B679" s="3223" t="s">
        <v>5958</v>
      </c>
      <c r="C679" s="3223"/>
      <c r="D679" s="3223">
        <v>1047</v>
      </c>
      <c r="E679" s="3223" t="s">
        <v>4786</v>
      </c>
      <c r="F679" s="3223">
        <v>37.39</v>
      </c>
      <c r="G679" s="3224">
        <f t="shared" si="23"/>
        <v>16.600000000000001</v>
      </c>
      <c r="H679" s="3224">
        <f t="shared" si="24"/>
        <v>0.44408023116547801</v>
      </c>
      <c r="I679" s="3227"/>
      <c r="J679" s="3305"/>
      <c r="K679" s="3306"/>
      <c r="L679" s="3208"/>
    </row>
    <row r="680" spans="1:12">
      <c r="A680" s="3222">
        <v>641</v>
      </c>
      <c r="B680" s="3223" t="s">
        <v>5958</v>
      </c>
      <c r="C680" s="3223"/>
      <c r="D680" s="3223">
        <v>1048</v>
      </c>
      <c r="E680" s="3223" t="s">
        <v>4786</v>
      </c>
      <c r="F680" s="3223">
        <v>37.39</v>
      </c>
      <c r="G680" s="3224">
        <f t="shared" si="23"/>
        <v>16.600000000000001</v>
      </c>
      <c r="H680" s="3224">
        <f t="shared" si="24"/>
        <v>0.44408023116547801</v>
      </c>
      <c r="I680" s="3227"/>
      <c r="J680" s="3305"/>
      <c r="K680" s="3306"/>
      <c r="L680" s="3208"/>
    </row>
    <row r="681" spans="1:12">
      <c r="A681" s="3222">
        <v>642</v>
      </c>
      <c r="B681" s="3223" t="s">
        <v>5958</v>
      </c>
      <c r="C681" s="3223"/>
      <c r="D681" s="3223">
        <v>1049</v>
      </c>
      <c r="E681" s="3223" t="s">
        <v>4786</v>
      </c>
      <c r="F681" s="3223">
        <v>37.39</v>
      </c>
      <c r="G681" s="3224">
        <f t="shared" ref="G681:G744" si="25">ROUND(F681*H681,2)</f>
        <v>16.600000000000001</v>
      </c>
      <c r="H681" s="3224">
        <f t="shared" si="24"/>
        <v>0.44408023116547801</v>
      </c>
      <c r="I681" s="3227"/>
      <c r="J681" s="3305"/>
      <c r="K681" s="3306"/>
      <c r="L681" s="3208"/>
    </row>
    <row r="682" spans="1:12">
      <c r="A682" s="3222">
        <v>643</v>
      </c>
      <c r="B682" s="3223" t="s">
        <v>5958</v>
      </c>
      <c r="C682" s="3223"/>
      <c r="D682" s="3223">
        <v>1050</v>
      </c>
      <c r="E682" s="3223" t="s">
        <v>4786</v>
      </c>
      <c r="F682" s="3223">
        <v>37.39</v>
      </c>
      <c r="G682" s="3224">
        <f t="shared" si="25"/>
        <v>16.600000000000001</v>
      </c>
      <c r="H682" s="3224">
        <f t="shared" si="24"/>
        <v>0.44408023116547801</v>
      </c>
      <c r="I682" s="3227"/>
      <c r="J682" s="3305"/>
      <c r="K682" s="3306"/>
      <c r="L682" s="3208"/>
    </row>
    <row r="683" spans="1:12">
      <c r="A683" s="3222">
        <v>644</v>
      </c>
      <c r="B683" s="3223" t="s">
        <v>5958</v>
      </c>
      <c r="C683" s="3223"/>
      <c r="D683" s="3223">
        <v>1057</v>
      </c>
      <c r="E683" s="3223" t="s">
        <v>4786</v>
      </c>
      <c r="F683" s="3223">
        <v>37.39</v>
      </c>
      <c r="G683" s="3224">
        <f t="shared" si="25"/>
        <v>16.600000000000001</v>
      </c>
      <c r="H683" s="3224">
        <f t="shared" si="24"/>
        <v>0.44408023116547801</v>
      </c>
      <c r="I683" s="3227"/>
      <c r="J683" s="3305"/>
      <c r="K683" s="3306"/>
      <c r="L683" s="3208"/>
    </row>
    <row r="684" spans="1:12">
      <c r="A684" s="3222">
        <v>645</v>
      </c>
      <c r="B684" s="3223" t="s">
        <v>5958</v>
      </c>
      <c r="C684" s="3223"/>
      <c r="D684" s="3223">
        <v>1058</v>
      </c>
      <c r="E684" s="3223" t="s">
        <v>4786</v>
      </c>
      <c r="F684" s="3223">
        <v>37.39</v>
      </c>
      <c r="G684" s="3224">
        <f t="shared" si="25"/>
        <v>16.600000000000001</v>
      </c>
      <c r="H684" s="3224">
        <f t="shared" si="24"/>
        <v>0.44408023116547801</v>
      </c>
      <c r="I684" s="3227"/>
      <c r="J684" s="3305"/>
      <c r="K684" s="3306"/>
      <c r="L684" s="3208"/>
    </row>
    <row r="685" spans="1:12">
      <c r="A685" s="3222">
        <v>646</v>
      </c>
      <c r="B685" s="3223" t="s">
        <v>5958</v>
      </c>
      <c r="C685" s="3223"/>
      <c r="D685" s="3223">
        <v>1059</v>
      </c>
      <c r="E685" s="3223" t="s">
        <v>4786</v>
      </c>
      <c r="F685" s="3223">
        <v>37.39</v>
      </c>
      <c r="G685" s="3224">
        <f t="shared" si="25"/>
        <v>16.600000000000001</v>
      </c>
      <c r="H685" s="3224">
        <f t="shared" si="24"/>
        <v>0.44408023116547801</v>
      </c>
      <c r="I685" s="3227"/>
      <c r="J685" s="3305"/>
      <c r="K685" s="3306"/>
      <c r="L685" s="3208"/>
    </row>
    <row r="686" spans="1:12">
      <c r="A686" s="3222">
        <v>647</v>
      </c>
      <c r="B686" s="3223" t="s">
        <v>5958</v>
      </c>
      <c r="C686" s="3223"/>
      <c r="D686" s="3223">
        <v>1060</v>
      </c>
      <c r="E686" s="3223" t="s">
        <v>4786</v>
      </c>
      <c r="F686" s="3223">
        <v>37.39</v>
      </c>
      <c r="G686" s="3224">
        <f t="shared" si="25"/>
        <v>16.600000000000001</v>
      </c>
      <c r="H686" s="3224">
        <f t="shared" si="24"/>
        <v>0.44408023116547801</v>
      </c>
      <c r="I686" s="3227"/>
      <c r="J686" s="3305"/>
      <c r="K686" s="3306"/>
      <c r="L686" s="3208"/>
    </row>
    <row r="687" spans="1:12">
      <c r="A687" s="3222">
        <v>648</v>
      </c>
      <c r="B687" s="3223" t="s">
        <v>5958</v>
      </c>
      <c r="C687" s="3223"/>
      <c r="D687" s="3223">
        <v>1061</v>
      </c>
      <c r="E687" s="3223" t="s">
        <v>4786</v>
      </c>
      <c r="F687" s="3223">
        <v>37.39</v>
      </c>
      <c r="G687" s="3224">
        <f t="shared" si="25"/>
        <v>16.600000000000001</v>
      </c>
      <c r="H687" s="3224">
        <f t="shared" si="24"/>
        <v>0.44408023116547801</v>
      </c>
      <c r="I687" s="3227"/>
      <c r="J687" s="3305"/>
      <c r="K687" s="3306"/>
      <c r="L687" s="3208"/>
    </row>
    <row r="688" spans="1:12">
      <c r="A688" s="3222">
        <v>649</v>
      </c>
      <c r="B688" s="3223" t="s">
        <v>5958</v>
      </c>
      <c r="C688" s="3223"/>
      <c r="D688" s="3223">
        <v>1062</v>
      </c>
      <c r="E688" s="3223" t="s">
        <v>4786</v>
      </c>
      <c r="F688" s="3223">
        <v>37.39</v>
      </c>
      <c r="G688" s="3224">
        <f t="shared" si="25"/>
        <v>16.600000000000001</v>
      </c>
      <c r="H688" s="3224">
        <f t="shared" si="24"/>
        <v>0.44408023116547801</v>
      </c>
      <c r="I688" s="3227"/>
      <c r="J688" s="3305"/>
      <c r="K688" s="3306"/>
      <c r="L688" s="3208"/>
    </row>
    <row r="689" spans="1:12">
      <c r="A689" s="3222">
        <v>650</v>
      </c>
      <c r="B689" s="3223" t="s">
        <v>5958</v>
      </c>
      <c r="C689" s="3223"/>
      <c r="D689" s="3223">
        <v>1063</v>
      </c>
      <c r="E689" s="3223" t="s">
        <v>4786</v>
      </c>
      <c r="F689" s="3223">
        <v>37.39</v>
      </c>
      <c r="G689" s="3224">
        <f t="shared" si="25"/>
        <v>16.600000000000001</v>
      </c>
      <c r="H689" s="3224">
        <f t="shared" si="24"/>
        <v>0.44408023116547801</v>
      </c>
      <c r="I689" s="3227"/>
      <c r="J689" s="3305"/>
      <c r="K689" s="3306"/>
      <c r="L689" s="3208"/>
    </row>
    <row r="690" spans="1:12">
      <c r="A690" s="3222">
        <v>651</v>
      </c>
      <c r="B690" s="3223" t="s">
        <v>5958</v>
      </c>
      <c r="C690" s="3223"/>
      <c r="D690" s="3223">
        <v>1064</v>
      </c>
      <c r="E690" s="3223" t="s">
        <v>4786</v>
      </c>
      <c r="F690" s="3223">
        <v>37.39</v>
      </c>
      <c r="G690" s="3224">
        <f t="shared" si="25"/>
        <v>16.600000000000001</v>
      </c>
      <c r="H690" s="3224">
        <f t="shared" si="24"/>
        <v>0.44408023116547801</v>
      </c>
      <c r="I690" s="3227"/>
      <c r="J690" s="3305"/>
      <c r="K690" s="3306"/>
      <c r="L690" s="3208"/>
    </row>
    <row r="691" spans="1:12">
      <c r="A691" s="3222">
        <v>652</v>
      </c>
      <c r="B691" s="3223" t="s">
        <v>5958</v>
      </c>
      <c r="C691" s="3223"/>
      <c r="D691" s="3223">
        <v>1065</v>
      </c>
      <c r="E691" s="3223" t="s">
        <v>4786</v>
      </c>
      <c r="F691" s="3223">
        <v>37.39</v>
      </c>
      <c r="G691" s="3224">
        <f t="shared" si="25"/>
        <v>16.600000000000001</v>
      </c>
      <c r="H691" s="3224">
        <f t="shared" si="24"/>
        <v>0.44408023116547801</v>
      </c>
      <c r="I691" s="3227"/>
      <c r="J691" s="3305"/>
      <c r="K691" s="3306"/>
      <c r="L691" s="3208"/>
    </row>
    <row r="692" spans="1:12">
      <c r="A692" s="3222">
        <v>653</v>
      </c>
      <c r="B692" s="3223" t="s">
        <v>5958</v>
      </c>
      <c r="C692" s="3223"/>
      <c r="D692" s="3223">
        <v>1067</v>
      </c>
      <c r="E692" s="3223" t="s">
        <v>4786</v>
      </c>
      <c r="F692" s="3223">
        <v>37.39</v>
      </c>
      <c r="G692" s="3224">
        <f t="shared" si="25"/>
        <v>16.600000000000001</v>
      </c>
      <c r="H692" s="3224">
        <f t="shared" si="24"/>
        <v>0.44408023116547801</v>
      </c>
      <c r="I692" s="3227"/>
      <c r="J692" s="3305"/>
      <c r="K692" s="3306"/>
      <c r="L692" s="3208"/>
    </row>
    <row r="693" spans="1:12">
      <c r="A693" s="3222">
        <v>654</v>
      </c>
      <c r="B693" s="3223" t="s">
        <v>5958</v>
      </c>
      <c r="C693" s="3223"/>
      <c r="D693" s="3223">
        <v>1069</v>
      </c>
      <c r="E693" s="3223" t="s">
        <v>4786</v>
      </c>
      <c r="F693" s="3223">
        <v>37.39</v>
      </c>
      <c r="G693" s="3224">
        <f t="shared" si="25"/>
        <v>16.600000000000001</v>
      </c>
      <c r="H693" s="3224">
        <f t="shared" ref="H693:H756" si="26">H692</f>
        <v>0.44408023116547801</v>
      </c>
      <c r="I693" s="3227"/>
      <c r="J693" s="3305"/>
      <c r="K693" s="3306"/>
      <c r="L693" s="3208"/>
    </row>
    <row r="694" spans="1:12">
      <c r="A694" s="3222">
        <v>655</v>
      </c>
      <c r="B694" s="3223" t="s">
        <v>5958</v>
      </c>
      <c r="C694" s="3223"/>
      <c r="D694" s="3223">
        <v>1070</v>
      </c>
      <c r="E694" s="3223" t="s">
        <v>4786</v>
      </c>
      <c r="F694" s="3223">
        <v>37.39</v>
      </c>
      <c r="G694" s="3224">
        <f t="shared" si="25"/>
        <v>16.600000000000001</v>
      </c>
      <c r="H694" s="3224">
        <f t="shared" si="26"/>
        <v>0.44408023116547801</v>
      </c>
      <c r="I694" s="3227"/>
      <c r="J694" s="3305"/>
      <c r="K694" s="3306"/>
      <c r="L694" s="3208"/>
    </row>
    <row r="695" spans="1:12">
      <c r="A695" s="3222">
        <v>656</v>
      </c>
      <c r="B695" s="3223" t="s">
        <v>5958</v>
      </c>
      <c r="C695" s="3223"/>
      <c r="D695" s="3223">
        <v>1074</v>
      </c>
      <c r="E695" s="3223" t="s">
        <v>4786</v>
      </c>
      <c r="F695" s="3223">
        <v>37.39</v>
      </c>
      <c r="G695" s="3224">
        <f t="shared" si="25"/>
        <v>16.600000000000001</v>
      </c>
      <c r="H695" s="3224">
        <f t="shared" si="26"/>
        <v>0.44408023116547801</v>
      </c>
      <c r="I695" s="3227"/>
      <c r="J695" s="3305"/>
      <c r="K695" s="3306"/>
      <c r="L695" s="3208"/>
    </row>
    <row r="696" spans="1:12">
      <c r="A696" s="3222">
        <v>657</v>
      </c>
      <c r="B696" s="3223" t="s">
        <v>5958</v>
      </c>
      <c r="C696" s="3223"/>
      <c r="D696" s="3223">
        <v>1075</v>
      </c>
      <c r="E696" s="3223" t="s">
        <v>4786</v>
      </c>
      <c r="F696" s="3223">
        <v>37.39</v>
      </c>
      <c r="G696" s="3224">
        <f t="shared" si="25"/>
        <v>16.600000000000001</v>
      </c>
      <c r="H696" s="3224">
        <f t="shared" si="26"/>
        <v>0.44408023116547801</v>
      </c>
      <c r="I696" s="3227"/>
      <c r="J696" s="3305"/>
      <c r="K696" s="3306"/>
      <c r="L696" s="3208"/>
    </row>
    <row r="697" spans="1:12">
      <c r="A697" s="3222">
        <v>658</v>
      </c>
      <c r="B697" s="3223" t="s">
        <v>5958</v>
      </c>
      <c r="C697" s="3223"/>
      <c r="D697" s="3223">
        <v>1076</v>
      </c>
      <c r="E697" s="3223" t="s">
        <v>4786</v>
      </c>
      <c r="F697" s="3223">
        <v>37.39</v>
      </c>
      <c r="G697" s="3224">
        <f t="shared" si="25"/>
        <v>16.600000000000001</v>
      </c>
      <c r="H697" s="3224">
        <f t="shared" si="26"/>
        <v>0.44408023116547801</v>
      </c>
      <c r="I697" s="3227"/>
      <c r="J697" s="3305"/>
      <c r="K697" s="3306"/>
      <c r="L697" s="3208"/>
    </row>
    <row r="698" spans="1:12">
      <c r="A698" s="3222">
        <v>659</v>
      </c>
      <c r="B698" s="3223" t="s">
        <v>5958</v>
      </c>
      <c r="C698" s="3223"/>
      <c r="D698" s="3223">
        <v>1077</v>
      </c>
      <c r="E698" s="3223" t="s">
        <v>4786</v>
      </c>
      <c r="F698" s="3223">
        <v>37.39</v>
      </c>
      <c r="G698" s="3224">
        <f t="shared" si="25"/>
        <v>16.600000000000001</v>
      </c>
      <c r="H698" s="3224">
        <f t="shared" si="26"/>
        <v>0.44408023116547801</v>
      </c>
      <c r="I698" s="3227"/>
      <c r="J698" s="3305"/>
      <c r="K698" s="3306"/>
      <c r="L698" s="3208"/>
    </row>
    <row r="699" spans="1:12">
      <c r="A699" s="3222">
        <v>660</v>
      </c>
      <c r="B699" s="3223" t="s">
        <v>5958</v>
      </c>
      <c r="C699" s="3223"/>
      <c r="D699" s="3223">
        <v>1080</v>
      </c>
      <c r="E699" s="3223" t="s">
        <v>4786</v>
      </c>
      <c r="F699" s="3223">
        <v>37.39</v>
      </c>
      <c r="G699" s="3224">
        <f t="shared" si="25"/>
        <v>16.600000000000001</v>
      </c>
      <c r="H699" s="3224">
        <f t="shared" si="26"/>
        <v>0.44408023116547801</v>
      </c>
      <c r="I699" s="3227"/>
      <c r="J699" s="3305"/>
      <c r="K699" s="3306"/>
      <c r="L699" s="3208"/>
    </row>
    <row r="700" spans="1:12">
      <c r="A700" s="3222">
        <v>661</v>
      </c>
      <c r="B700" s="3223" t="s">
        <v>5958</v>
      </c>
      <c r="C700" s="3223"/>
      <c r="D700" s="3223">
        <v>1081</v>
      </c>
      <c r="E700" s="3223" t="s">
        <v>4786</v>
      </c>
      <c r="F700" s="3223">
        <v>37.39</v>
      </c>
      <c r="G700" s="3224">
        <f t="shared" si="25"/>
        <v>16.600000000000001</v>
      </c>
      <c r="H700" s="3224">
        <f t="shared" si="26"/>
        <v>0.44408023116547801</v>
      </c>
      <c r="I700" s="3227"/>
      <c r="J700" s="3305"/>
      <c r="K700" s="3306"/>
      <c r="L700" s="3208"/>
    </row>
    <row r="701" spans="1:12">
      <c r="A701" s="3222">
        <v>662</v>
      </c>
      <c r="B701" s="3223" t="s">
        <v>5958</v>
      </c>
      <c r="C701" s="3223"/>
      <c r="D701" s="3223">
        <v>1082</v>
      </c>
      <c r="E701" s="3223" t="s">
        <v>4786</v>
      </c>
      <c r="F701" s="3223">
        <v>37.39</v>
      </c>
      <c r="G701" s="3224">
        <f t="shared" si="25"/>
        <v>16.600000000000001</v>
      </c>
      <c r="H701" s="3224">
        <f t="shared" si="26"/>
        <v>0.44408023116547801</v>
      </c>
      <c r="I701" s="3227"/>
      <c r="J701" s="3305"/>
      <c r="K701" s="3306"/>
      <c r="L701" s="3208"/>
    </row>
    <row r="702" spans="1:12">
      <c r="A702" s="3222">
        <v>663</v>
      </c>
      <c r="B702" s="3223" t="s">
        <v>5958</v>
      </c>
      <c r="C702" s="3223"/>
      <c r="D702" s="3223">
        <v>1083</v>
      </c>
      <c r="E702" s="3223" t="s">
        <v>4786</v>
      </c>
      <c r="F702" s="3223">
        <v>37.39</v>
      </c>
      <c r="G702" s="3224">
        <f t="shared" si="25"/>
        <v>16.600000000000001</v>
      </c>
      <c r="H702" s="3224">
        <f t="shared" si="26"/>
        <v>0.44408023116547801</v>
      </c>
      <c r="I702" s="3227"/>
      <c r="J702" s="3305"/>
      <c r="K702" s="3306"/>
      <c r="L702" s="3208"/>
    </row>
    <row r="703" spans="1:12">
      <c r="A703" s="3222">
        <v>664</v>
      </c>
      <c r="B703" s="3223" t="s">
        <v>5958</v>
      </c>
      <c r="C703" s="3223"/>
      <c r="D703" s="3223">
        <v>1084</v>
      </c>
      <c r="E703" s="3223" t="s">
        <v>4786</v>
      </c>
      <c r="F703" s="3223">
        <v>37.39</v>
      </c>
      <c r="G703" s="3224">
        <f t="shared" si="25"/>
        <v>16.600000000000001</v>
      </c>
      <c r="H703" s="3224">
        <f t="shared" si="26"/>
        <v>0.44408023116547801</v>
      </c>
      <c r="I703" s="3227"/>
      <c r="J703" s="3305"/>
      <c r="K703" s="3306"/>
      <c r="L703" s="3208"/>
    </row>
    <row r="704" spans="1:12">
      <c r="A704" s="3222">
        <v>665</v>
      </c>
      <c r="B704" s="3223" t="s">
        <v>5958</v>
      </c>
      <c r="C704" s="3223"/>
      <c r="D704" s="3223">
        <v>1086</v>
      </c>
      <c r="E704" s="3223" t="s">
        <v>4786</v>
      </c>
      <c r="F704" s="3223">
        <v>37.39</v>
      </c>
      <c r="G704" s="3224">
        <f t="shared" si="25"/>
        <v>16.600000000000001</v>
      </c>
      <c r="H704" s="3224">
        <f t="shared" si="26"/>
        <v>0.44408023116547801</v>
      </c>
      <c r="I704" s="3227"/>
      <c r="J704" s="3314"/>
      <c r="K704" s="3315"/>
      <c r="L704" s="3208"/>
    </row>
    <row r="705" spans="1:12">
      <c r="A705" s="3222">
        <v>666</v>
      </c>
      <c r="B705" s="3223" t="s">
        <v>5958</v>
      </c>
      <c r="C705" s="3223"/>
      <c r="D705" s="3223">
        <v>1087</v>
      </c>
      <c r="E705" s="3223" t="s">
        <v>4786</v>
      </c>
      <c r="F705" s="3223">
        <v>35.9</v>
      </c>
      <c r="G705" s="3224">
        <f t="shared" si="25"/>
        <v>15.94</v>
      </c>
      <c r="H705" s="3224">
        <f t="shared" si="26"/>
        <v>0.44408023116547801</v>
      </c>
      <c r="I705" s="3227"/>
      <c r="J705" s="3314"/>
      <c r="K705" s="3315"/>
      <c r="L705" s="3208"/>
    </row>
    <row r="706" spans="1:12">
      <c r="A706" s="3222">
        <v>667</v>
      </c>
      <c r="B706" s="3223" t="s">
        <v>5958</v>
      </c>
      <c r="C706" s="3223"/>
      <c r="D706" s="3223">
        <v>1088</v>
      </c>
      <c r="E706" s="3223" t="s">
        <v>4786</v>
      </c>
      <c r="F706" s="3223">
        <v>35.9</v>
      </c>
      <c r="G706" s="3224">
        <f t="shared" si="25"/>
        <v>15.94</v>
      </c>
      <c r="H706" s="3224">
        <f t="shared" si="26"/>
        <v>0.44408023116547801</v>
      </c>
      <c r="I706" s="3227"/>
      <c r="J706" s="3314"/>
      <c r="K706" s="3315"/>
      <c r="L706" s="3208"/>
    </row>
    <row r="707" spans="1:12">
      <c r="A707" s="3222">
        <v>668</v>
      </c>
      <c r="B707" s="3223" t="s">
        <v>5958</v>
      </c>
      <c r="C707" s="3223"/>
      <c r="D707" s="3223">
        <v>1089</v>
      </c>
      <c r="E707" s="3223" t="s">
        <v>4786</v>
      </c>
      <c r="F707" s="3223">
        <v>35.9</v>
      </c>
      <c r="G707" s="3224">
        <f t="shared" si="25"/>
        <v>15.94</v>
      </c>
      <c r="H707" s="3224">
        <f t="shared" si="26"/>
        <v>0.44408023116547801</v>
      </c>
      <c r="I707" s="3227"/>
      <c r="J707" s="3314"/>
      <c r="K707" s="3315"/>
      <c r="L707" s="3208"/>
    </row>
    <row r="708" spans="1:12">
      <c r="A708" s="3222">
        <v>669</v>
      </c>
      <c r="B708" s="3223" t="s">
        <v>5958</v>
      </c>
      <c r="C708" s="3223"/>
      <c r="D708" s="3223">
        <v>1090</v>
      </c>
      <c r="E708" s="3223" t="s">
        <v>4786</v>
      </c>
      <c r="F708" s="3223">
        <v>35.9</v>
      </c>
      <c r="G708" s="3224">
        <f t="shared" si="25"/>
        <v>15.94</v>
      </c>
      <c r="H708" s="3224">
        <f t="shared" si="26"/>
        <v>0.44408023116547801</v>
      </c>
      <c r="I708" s="3227"/>
      <c r="J708" s="3305"/>
      <c r="K708" s="3306"/>
      <c r="L708" s="3208"/>
    </row>
    <row r="709" spans="1:12">
      <c r="A709" s="3222">
        <v>670</v>
      </c>
      <c r="B709" s="3223" t="s">
        <v>5958</v>
      </c>
      <c r="C709" s="3223"/>
      <c r="D709" s="3223">
        <v>1091</v>
      </c>
      <c r="E709" s="3223" t="s">
        <v>4786</v>
      </c>
      <c r="F709" s="3223">
        <v>37.39</v>
      </c>
      <c r="G709" s="3224">
        <f t="shared" si="25"/>
        <v>16.600000000000001</v>
      </c>
      <c r="H709" s="3224">
        <f t="shared" si="26"/>
        <v>0.44408023116547801</v>
      </c>
      <c r="I709" s="3227"/>
      <c r="J709" s="3305"/>
      <c r="K709" s="3306"/>
      <c r="L709" s="3208"/>
    </row>
    <row r="710" spans="1:12">
      <c r="A710" s="3222">
        <v>671</v>
      </c>
      <c r="B710" s="3223" t="s">
        <v>5958</v>
      </c>
      <c r="C710" s="3223"/>
      <c r="D710" s="3223">
        <v>1092</v>
      </c>
      <c r="E710" s="3223" t="s">
        <v>4786</v>
      </c>
      <c r="F710" s="3223">
        <v>37.39</v>
      </c>
      <c r="G710" s="3224">
        <f t="shared" si="25"/>
        <v>16.600000000000001</v>
      </c>
      <c r="H710" s="3224">
        <f t="shared" si="26"/>
        <v>0.44408023116547801</v>
      </c>
      <c r="I710" s="3227"/>
      <c r="J710" s="3305"/>
      <c r="K710" s="3306"/>
      <c r="L710" s="3208"/>
    </row>
    <row r="711" spans="1:12">
      <c r="A711" s="3222">
        <v>672</v>
      </c>
      <c r="B711" s="3223" t="s">
        <v>5958</v>
      </c>
      <c r="C711" s="3223"/>
      <c r="D711" s="3223">
        <v>1093</v>
      </c>
      <c r="E711" s="3223" t="s">
        <v>4786</v>
      </c>
      <c r="F711" s="3223">
        <v>37.39</v>
      </c>
      <c r="G711" s="3224">
        <f t="shared" si="25"/>
        <v>16.600000000000001</v>
      </c>
      <c r="H711" s="3224">
        <f t="shared" si="26"/>
        <v>0.44408023116547801</v>
      </c>
      <c r="I711" s="3227"/>
      <c r="J711" s="3314"/>
      <c r="K711" s="3315"/>
      <c r="L711" s="3208"/>
    </row>
    <row r="712" spans="1:12">
      <c r="A712" s="3222">
        <v>673</v>
      </c>
      <c r="B712" s="3223" t="s">
        <v>5958</v>
      </c>
      <c r="C712" s="3223"/>
      <c r="D712" s="3223">
        <v>1094</v>
      </c>
      <c r="E712" s="3223" t="s">
        <v>4786</v>
      </c>
      <c r="F712" s="3223">
        <v>35.9</v>
      </c>
      <c r="G712" s="3224">
        <f t="shared" si="25"/>
        <v>15.94</v>
      </c>
      <c r="H712" s="3224">
        <f t="shared" si="26"/>
        <v>0.44408023116547801</v>
      </c>
      <c r="I712" s="3227"/>
      <c r="J712" s="3314"/>
      <c r="K712" s="3315"/>
      <c r="L712" s="3208"/>
    </row>
    <row r="713" spans="1:12">
      <c r="A713" s="3222">
        <v>674</v>
      </c>
      <c r="B713" s="3223" t="s">
        <v>5958</v>
      </c>
      <c r="C713" s="3223"/>
      <c r="D713" s="3223">
        <v>1095</v>
      </c>
      <c r="E713" s="3223" t="s">
        <v>4786</v>
      </c>
      <c r="F713" s="3223">
        <v>35.9</v>
      </c>
      <c r="G713" s="3224">
        <f t="shared" si="25"/>
        <v>15.94</v>
      </c>
      <c r="H713" s="3224">
        <f t="shared" si="26"/>
        <v>0.44408023116547801</v>
      </c>
      <c r="I713" s="3227"/>
      <c r="J713" s="3305"/>
      <c r="K713" s="3306"/>
      <c r="L713" s="3208"/>
    </row>
    <row r="714" spans="1:12">
      <c r="A714" s="3222">
        <v>675</v>
      </c>
      <c r="B714" s="3223" t="s">
        <v>5958</v>
      </c>
      <c r="C714" s="3223"/>
      <c r="D714" s="3223">
        <v>1096</v>
      </c>
      <c r="E714" s="3223" t="s">
        <v>4786</v>
      </c>
      <c r="F714" s="3223">
        <v>37.39</v>
      </c>
      <c r="G714" s="3224">
        <f t="shared" si="25"/>
        <v>16.600000000000001</v>
      </c>
      <c r="H714" s="3224">
        <f t="shared" si="26"/>
        <v>0.44408023116547801</v>
      </c>
      <c r="I714" s="3227"/>
      <c r="J714" s="3305"/>
      <c r="K714" s="3306"/>
      <c r="L714" s="3208"/>
    </row>
    <row r="715" spans="1:12">
      <c r="A715" s="3222">
        <v>676</v>
      </c>
      <c r="B715" s="3223" t="s">
        <v>5958</v>
      </c>
      <c r="C715" s="3223"/>
      <c r="D715" s="3223">
        <v>1097</v>
      </c>
      <c r="E715" s="3223" t="s">
        <v>4786</v>
      </c>
      <c r="F715" s="3223">
        <v>37.39</v>
      </c>
      <c r="G715" s="3224">
        <f t="shared" si="25"/>
        <v>16.600000000000001</v>
      </c>
      <c r="H715" s="3224">
        <f t="shared" si="26"/>
        <v>0.44408023116547801</v>
      </c>
      <c r="I715" s="3227"/>
      <c r="J715" s="3314"/>
      <c r="K715" s="3315"/>
      <c r="L715" s="3208"/>
    </row>
    <row r="716" spans="1:12">
      <c r="A716" s="3222">
        <v>677</v>
      </c>
      <c r="B716" s="3223" t="s">
        <v>5958</v>
      </c>
      <c r="C716" s="3223"/>
      <c r="D716" s="3223">
        <v>1100</v>
      </c>
      <c r="E716" s="3223" t="s">
        <v>4786</v>
      </c>
      <c r="F716" s="3223">
        <v>35.9</v>
      </c>
      <c r="G716" s="3224">
        <f t="shared" si="25"/>
        <v>15.94</v>
      </c>
      <c r="H716" s="3224">
        <f t="shared" si="26"/>
        <v>0.44408023116547801</v>
      </c>
      <c r="I716" s="3227"/>
      <c r="J716" s="3314"/>
      <c r="K716" s="3315"/>
      <c r="L716" s="3208"/>
    </row>
    <row r="717" spans="1:12">
      <c r="A717" s="3222">
        <v>678</v>
      </c>
      <c r="B717" s="3223" t="s">
        <v>5958</v>
      </c>
      <c r="C717" s="3223"/>
      <c r="D717" s="3223">
        <v>1101</v>
      </c>
      <c r="E717" s="3223" t="s">
        <v>4786</v>
      </c>
      <c r="F717" s="3223">
        <v>35.9</v>
      </c>
      <c r="G717" s="3224">
        <f t="shared" si="25"/>
        <v>15.94</v>
      </c>
      <c r="H717" s="3224">
        <f t="shared" si="26"/>
        <v>0.44408023116547801</v>
      </c>
      <c r="I717" s="3227"/>
      <c r="J717" s="3305"/>
      <c r="K717" s="3306"/>
      <c r="L717" s="3208"/>
    </row>
    <row r="718" spans="1:12">
      <c r="A718" s="3222">
        <v>679</v>
      </c>
      <c r="B718" s="3223" t="s">
        <v>5958</v>
      </c>
      <c r="C718" s="3223"/>
      <c r="D718" s="3223">
        <v>1102</v>
      </c>
      <c r="E718" s="3223" t="s">
        <v>4786</v>
      </c>
      <c r="F718" s="3223">
        <v>37.39</v>
      </c>
      <c r="G718" s="3224">
        <f t="shared" si="25"/>
        <v>16.600000000000001</v>
      </c>
      <c r="H718" s="3224">
        <f t="shared" si="26"/>
        <v>0.44408023116547801</v>
      </c>
      <c r="I718" s="3227"/>
      <c r="J718" s="3305"/>
      <c r="K718" s="3306"/>
      <c r="L718" s="3208"/>
    </row>
    <row r="719" spans="1:12">
      <c r="A719" s="3222">
        <v>680</v>
      </c>
      <c r="B719" s="3223" t="s">
        <v>5958</v>
      </c>
      <c r="C719" s="3223"/>
      <c r="D719" s="3223">
        <v>1103</v>
      </c>
      <c r="E719" s="3223" t="s">
        <v>4786</v>
      </c>
      <c r="F719" s="3223">
        <v>37.39</v>
      </c>
      <c r="G719" s="3224">
        <f t="shared" si="25"/>
        <v>16.600000000000001</v>
      </c>
      <c r="H719" s="3224">
        <f t="shared" si="26"/>
        <v>0.44408023116547801</v>
      </c>
      <c r="I719" s="3227"/>
      <c r="J719" s="3305"/>
      <c r="K719" s="3306"/>
      <c r="L719" s="3208"/>
    </row>
    <row r="720" spans="1:12">
      <c r="A720" s="3222">
        <v>681</v>
      </c>
      <c r="B720" s="3223" t="s">
        <v>5958</v>
      </c>
      <c r="C720" s="3223"/>
      <c r="D720" s="3223">
        <v>1104</v>
      </c>
      <c r="E720" s="3223" t="s">
        <v>4786</v>
      </c>
      <c r="F720" s="3223">
        <v>55.34</v>
      </c>
      <c r="G720" s="3224">
        <f t="shared" si="25"/>
        <v>24.58</v>
      </c>
      <c r="H720" s="3224">
        <f t="shared" si="26"/>
        <v>0.44408023116547801</v>
      </c>
      <c r="I720" s="3227"/>
      <c r="J720" s="3314"/>
      <c r="K720" s="3315"/>
      <c r="L720" s="3208"/>
    </row>
    <row r="721" spans="1:12">
      <c r="A721" s="3222">
        <v>682</v>
      </c>
      <c r="B721" s="3223" t="s">
        <v>5958</v>
      </c>
      <c r="C721" s="3223"/>
      <c r="D721" s="3223">
        <v>1105</v>
      </c>
      <c r="E721" s="3223" t="s">
        <v>4786</v>
      </c>
      <c r="F721" s="3223">
        <v>35.9</v>
      </c>
      <c r="G721" s="3224">
        <f t="shared" si="25"/>
        <v>15.94</v>
      </c>
      <c r="H721" s="3224">
        <f t="shared" si="26"/>
        <v>0.44408023116547801</v>
      </c>
      <c r="I721" s="3227"/>
      <c r="J721" s="3314"/>
      <c r="K721" s="3315"/>
      <c r="L721" s="3208"/>
    </row>
    <row r="722" spans="1:12">
      <c r="A722" s="3222">
        <v>683</v>
      </c>
      <c r="B722" s="3223" t="s">
        <v>5958</v>
      </c>
      <c r="C722" s="3223"/>
      <c r="D722" s="3223">
        <v>1106</v>
      </c>
      <c r="E722" s="3223" t="s">
        <v>4786</v>
      </c>
      <c r="F722" s="3223">
        <v>35.9</v>
      </c>
      <c r="G722" s="3224">
        <f t="shared" si="25"/>
        <v>15.94</v>
      </c>
      <c r="H722" s="3224">
        <f t="shared" si="26"/>
        <v>0.44408023116547801</v>
      </c>
      <c r="I722" s="3227"/>
      <c r="J722" s="3305"/>
      <c r="K722" s="3306"/>
      <c r="L722" s="3208"/>
    </row>
    <row r="723" spans="1:12">
      <c r="A723" s="3222">
        <v>684</v>
      </c>
      <c r="B723" s="3223" t="s">
        <v>5958</v>
      </c>
      <c r="C723" s="3223"/>
      <c r="D723" s="3223">
        <v>1107</v>
      </c>
      <c r="E723" s="3223" t="s">
        <v>4786</v>
      </c>
      <c r="F723" s="3223">
        <v>37.39</v>
      </c>
      <c r="G723" s="3224">
        <f t="shared" si="25"/>
        <v>16.600000000000001</v>
      </c>
      <c r="H723" s="3224">
        <f t="shared" si="26"/>
        <v>0.44408023116547801</v>
      </c>
      <c r="I723" s="3227"/>
      <c r="J723" s="3305"/>
      <c r="K723" s="3306"/>
      <c r="L723" s="3208"/>
    </row>
    <row r="724" spans="1:12">
      <c r="A724" s="3222">
        <v>685</v>
      </c>
      <c r="B724" s="3223" t="s">
        <v>5958</v>
      </c>
      <c r="C724" s="3223"/>
      <c r="D724" s="3223">
        <v>1108</v>
      </c>
      <c r="E724" s="3223" t="s">
        <v>4786</v>
      </c>
      <c r="F724" s="3223">
        <v>37.39</v>
      </c>
      <c r="G724" s="3224">
        <f t="shared" si="25"/>
        <v>16.600000000000001</v>
      </c>
      <c r="H724" s="3224">
        <f t="shared" si="26"/>
        <v>0.44408023116547801</v>
      </c>
      <c r="I724" s="3227"/>
      <c r="J724" s="3314"/>
      <c r="K724" s="3315"/>
      <c r="L724" s="3208"/>
    </row>
    <row r="725" spans="1:12">
      <c r="A725" s="3222">
        <v>686</v>
      </c>
      <c r="B725" s="3223" t="s">
        <v>5958</v>
      </c>
      <c r="C725" s="3223"/>
      <c r="D725" s="3223">
        <v>1109</v>
      </c>
      <c r="E725" s="3223" t="s">
        <v>4786</v>
      </c>
      <c r="F725" s="3223">
        <v>35.9</v>
      </c>
      <c r="G725" s="3224">
        <f t="shared" si="25"/>
        <v>15.94</v>
      </c>
      <c r="H725" s="3224">
        <f t="shared" si="26"/>
        <v>0.44408023116547801</v>
      </c>
      <c r="I725" s="3227"/>
      <c r="J725" s="3314"/>
      <c r="K725" s="3315"/>
      <c r="L725" s="3208"/>
    </row>
    <row r="726" spans="1:12">
      <c r="A726" s="3222">
        <v>687</v>
      </c>
      <c r="B726" s="3223" t="s">
        <v>5958</v>
      </c>
      <c r="C726" s="3223"/>
      <c r="D726" s="3223">
        <v>1110</v>
      </c>
      <c r="E726" s="3223" t="s">
        <v>4786</v>
      </c>
      <c r="F726" s="3223">
        <v>35.9</v>
      </c>
      <c r="G726" s="3224">
        <f t="shared" si="25"/>
        <v>15.94</v>
      </c>
      <c r="H726" s="3224">
        <f t="shared" si="26"/>
        <v>0.44408023116547801</v>
      </c>
      <c r="I726" s="3227"/>
      <c r="J726" s="3314"/>
      <c r="K726" s="3315"/>
      <c r="L726" s="3208"/>
    </row>
    <row r="727" spans="1:12">
      <c r="A727" s="3222">
        <v>688</v>
      </c>
      <c r="B727" s="3223" t="s">
        <v>5958</v>
      </c>
      <c r="C727" s="3223"/>
      <c r="D727" s="3223">
        <v>1112</v>
      </c>
      <c r="E727" s="3223" t="s">
        <v>4786</v>
      </c>
      <c r="F727" s="3223">
        <v>35.9</v>
      </c>
      <c r="G727" s="3224">
        <f t="shared" si="25"/>
        <v>15.94</v>
      </c>
      <c r="H727" s="3224">
        <f t="shared" si="26"/>
        <v>0.44408023116547801</v>
      </c>
      <c r="I727" s="3227"/>
      <c r="J727" s="3314"/>
      <c r="K727" s="3315"/>
      <c r="L727" s="3208"/>
    </row>
    <row r="728" spans="1:12">
      <c r="A728" s="3222">
        <v>689</v>
      </c>
      <c r="B728" s="3223" t="s">
        <v>5958</v>
      </c>
      <c r="C728" s="3223"/>
      <c r="D728" s="3223">
        <v>1115</v>
      </c>
      <c r="E728" s="3223" t="s">
        <v>4786</v>
      </c>
      <c r="F728" s="3223">
        <v>37.39</v>
      </c>
      <c r="G728" s="3224">
        <f t="shared" si="25"/>
        <v>16.600000000000001</v>
      </c>
      <c r="H728" s="3224">
        <f t="shared" si="26"/>
        <v>0.44408023116547801</v>
      </c>
      <c r="I728" s="3227"/>
      <c r="J728" s="3305"/>
      <c r="K728" s="3306"/>
      <c r="L728" s="3208"/>
    </row>
    <row r="729" spans="1:12">
      <c r="A729" s="3222">
        <v>690</v>
      </c>
      <c r="B729" s="3223" t="s">
        <v>5958</v>
      </c>
      <c r="C729" s="3223"/>
      <c r="D729" s="3223">
        <v>1116</v>
      </c>
      <c r="E729" s="3223" t="s">
        <v>4786</v>
      </c>
      <c r="F729" s="3223">
        <v>37.39</v>
      </c>
      <c r="G729" s="3224">
        <f t="shared" si="25"/>
        <v>16.600000000000001</v>
      </c>
      <c r="H729" s="3224">
        <f t="shared" si="26"/>
        <v>0.44408023116547801</v>
      </c>
      <c r="I729" s="3227"/>
      <c r="J729" s="3305"/>
      <c r="K729" s="3306"/>
      <c r="L729" s="3208"/>
    </row>
    <row r="730" spans="1:12">
      <c r="A730" s="3222">
        <v>691</v>
      </c>
      <c r="B730" s="3223" t="s">
        <v>5958</v>
      </c>
      <c r="C730" s="3223"/>
      <c r="D730" s="3223">
        <v>1119</v>
      </c>
      <c r="E730" s="3223" t="s">
        <v>4786</v>
      </c>
      <c r="F730" s="3223">
        <v>37.39</v>
      </c>
      <c r="G730" s="3224">
        <f t="shared" si="25"/>
        <v>16.600000000000001</v>
      </c>
      <c r="H730" s="3224">
        <f t="shared" si="26"/>
        <v>0.44408023116547801</v>
      </c>
      <c r="I730" s="3227"/>
      <c r="J730" s="3305"/>
      <c r="K730" s="3306"/>
      <c r="L730" s="3208"/>
    </row>
    <row r="731" spans="1:12">
      <c r="A731" s="3222">
        <v>692</v>
      </c>
      <c r="B731" s="3223" t="s">
        <v>5958</v>
      </c>
      <c r="C731" s="3223"/>
      <c r="D731" s="3223">
        <v>1120</v>
      </c>
      <c r="E731" s="3223" t="s">
        <v>4786</v>
      </c>
      <c r="F731" s="3223">
        <v>37.39</v>
      </c>
      <c r="G731" s="3224">
        <f t="shared" si="25"/>
        <v>16.600000000000001</v>
      </c>
      <c r="H731" s="3224">
        <f t="shared" si="26"/>
        <v>0.44408023116547801</v>
      </c>
      <c r="I731" s="3227"/>
      <c r="J731" s="3305"/>
      <c r="K731" s="3306"/>
      <c r="L731" s="3208"/>
    </row>
    <row r="732" spans="1:12">
      <c r="A732" s="3222">
        <v>693</v>
      </c>
      <c r="B732" s="3223" t="s">
        <v>5958</v>
      </c>
      <c r="C732" s="3223"/>
      <c r="D732" s="3223">
        <v>1121</v>
      </c>
      <c r="E732" s="3223" t="s">
        <v>4786</v>
      </c>
      <c r="F732" s="3223">
        <v>37.39</v>
      </c>
      <c r="G732" s="3224">
        <f t="shared" si="25"/>
        <v>16.600000000000001</v>
      </c>
      <c r="H732" s="3224">
        <f t="shared" si="26"/>
        <v>0.44408023116547801</v>
      </c>
      <c r="I732" s="3227"/>
      <c r="J732" s="3305"/>
      <c r="K732" s="3306"/>
      <c r="L732" s="3208"/>
    </row>
    <row r="733" spans="1:12">
      <c r="A733" s="3222">
        <v>694</v>
      </c>
      <c r="B733" s="3223" t="s">
        <v>5958</v>
      </c>
      <c r="C733" s="3223"/>
      <c r="D733" s="3223">
        <v>1123</v>
      </c>
      <c r="E733" s="3223" t="s">
        <v>4786</v>
      </c>
      <c r="F733" s="3223">
        <v>37.39</v>
      </c>
      <c r="G733" s="3224">
        <f t="shared" si="25"/>
        <v>16.600000000000001</v>
      </c>
      <c r="H733" s="3224">
        <f t="shared" si="26"/>
        <v>0.44408023116547801</v>
      </c>
      <c r="I733" s="3227"/>
      <c r="J733" s="3305"/>
      <c r="K733" s="3306"/>
      <c r="L733" s="3208"/>
    </row>
    <row r="734" spans="1:12">
      <c r="A734" s="3222">
        <v>695</v>
      </c>
      <c r="B734" s="3223" t="s">
        <v>5958</v>
      </c>
      <c r="C734" s="3223"/>
      <c r="D734" s="3223">
        <v>1124</v>
      </c>
      <c r="E734" s="3223" t="s">
        <v>4786</v>
      </c>
      <c r="F734" s="3223">
        <v>37.39</v>
      </c>
      <c r="G734" s="3224">
        <f t="shared" si="25"/>
        <v>16.600000000000001</v>
      </c>
      <c r="H734" s="3224">
        <f t="shared" si="26"/>
        <v>0.44408023116547801</v>
      </c>
      <c r="I734" s="3227"/>
      <c r="J734" s="3305"/>
      <c r="K734" s="3306"/>
      <c r="L734" s="3208"/>
    </row>
    <row r="735" spans="1:12">
      <c r="A735" s="3222">
        <v>696</v>
      </c>
      <c r="B735" s="3223" t="s">
        <v>5958</v>
      </c>
      <c r="C735" s="3223"/>
      <c r="D735" s="3223">
        <v>1127</v>
      </c>
      <c r="E735" s="3223" t="s">
        <v>4786</v>
      </c>
      <c r="F735" s="3223">
        <v>37.39</v>
      </c>
      <c r="G735" s="3224">
        <f t="shared" si="25"/>
        <v>16.600000000000001</v>
      </c>
      <c r="H735" s="3224">
        <f t="shared" si="26"/>
        <v>0.44408023116547801</v>
      </c>
      <c r="I735" s="3227"/>
      <c r="J735" s="3305"/>
      <c r="K735" s="3306"/>
      <c r="L735" s="3208"/>
    </row>
    <row r="736" spans="1:12">
      <c r="A736" s="3222">
        <v>697</v>
      </c>
      <c r="B736" s="3223" t="s">
        <v>5958</v>
      </c>
      <c r="C736" s="3223"/>
      <c r="D736" s="3223">
        <v>1128</v>
      </c>
      <c r="E736" s="3223" t="s">
        <v>4786</v>
      </c>
      <c r="F736" s="3223">
        <v>37.39</v>
      </c>
      <c r="G736" s="3224">
        <f t="shared" si="25"/>
        <v>16.600000000000001</v>
      </c>
      <c r="H736" s="3224">
        <f t="shared" si="26"/>
        <v>0.44408023116547801</v>
      </c>
      <c r="I736" s="3227"/>
      <c r="J736" s="3305"/>
      <c r="K736" s="3306"/>
      <c r="L736" s="3208"/>
    </row>
    <row r="737" spans="1:12">
      <c r="A737" s="3222">
        <v>698</v>
      </c>
      <c r="B737" s="3223" t="s">
        <v>5958</v>
      </c>
      <c r="C737" s="3223"/>
      <c r="D737" s="3223">
        <v>1129</v>
      </c>
      <c r="E737" s="3223" t="s">
        <v>4786</v>
      </c>
      <c r="F737" s="3223">
        <v>37.39</v>
      </c>
      <c r="G737" s="3224">
        <f t="shared" si="25"/>
        <v>16.600000000000001</v>
      </c>
      <c r="H737" s="3224">
        <f t="shared" si="26"/>
        <v>0.44408023116547801</v>
      </c>
      <c r="I737" s="3227"/>
      <c r="J737" s="3305"/>
      <c r="K737" s="3306"/>
      <c r="L737" s="3208"/>
    </row>
    <row r="738" spans="1:12">
      <c r="A738" s="3222">
        <v>699</v>
      </c>
      <c r="B738" s="3223" t="s">
        <v>5958</v>
      </c>
      <c r="C738" s="3223"/>
      <c r="D738" s="3223">
        <v>1130</v>
      </c>
      <c r="E738" s="3223" t="s">
        <v>4786</v>
      </c>
      <c r="F738" s="3223">
        <v>37.39</v>
      </c>
      <c r="G738" s="3224">
        <f t="shared" si="25"/>
        <v>16.600000000000001</v>
      </c>
      <c r="H738" s="3224">
        <f t="shared" si="26"/>
        <v>0.44408023116547801</v>
      </c>
      <c r="I738" s="3227"/>
      <c r="J738" s="3305"/>
      <c r="K738" s="3306"/>
      <c r="L738" s="3208"/>
    </row>
    <row r="739" spans="1:12">
      <c r="A739" s="3222">
        <v>700</v>
      </c>
      <c r="B739" s="3223" t="s">
        <v>5958</v>
      </c>
      <c r="C739" s="3223"/>
      <c r="D739" s="3223">
        <v>1131</v>
      </c>
      <c r="E739" s="3223" t="s">
        <v>4786</v>
      </c>
      <c r="F739" s="3223">
        <v>37.39</v>
      </c>
      <c r="G739" s="3224">
        <f t="shared" si="25"/>
        <v>16.600000000000001</v>
      </c>
      <c r="H739" s="3224">
        <f t="shared" si="26"/>
        <v>0.44408023116547801</v>
      </c>
      <c r="I739" s="3227"/>
      <c r="J739" s="3305"/>
      <c r="K739" s="3306"/>
      <c r="L739" s="3208"/>
    </row>
    <row r="740" spans="1:12">
      <c r="A740" s="3222">
        <v>701</v>
      </c>
      <c r="B740" s="3223" t="s">
        <v>5958</v>
      </c>
      <c r="C740" s="3223"/>
      <c r="D740" s="3223">
        <v>1134</v>
      </c>
      <c r="E740" s="3223" t="s">
        <v>4786</v>
      </c>
      <c r="F740" s="3223">
        <v>37.39</v>
      </c>
      <c r="G740" s="3224">
        <f t="shared" si="25"/>
        <v>16.600000000000001</v>
      </c>
      <c r="H740" s="3224">
        <f t="shared" si="26"/>
        <v>0.44408023116547801</v>
      </c>
      <c r="I740" s="3227"/>
      <c r="J740" s="3305"/>
      <c r="K740" s="3306"/>
      <c r="L740" s="3208"/>
    </row>
    <row r="741" spans="1:12">
      <c r="A741" s="3222">
        <v>702</v>
      </c>
      <c r="B741" s="3223" t="s">
        <v>5958</v>
      </c>
      <c r="C741" s="3223"/>
      <c r="D741" s="3223">
        <v>1141</v>
      </c>
      <c r="E741" s="3223" t="s">
        <v>4786</v>
      </c>
      <c r="F741" s="3223">
        <v>37.39</v>
      </c>
      <c r="G741" s="3224">
        <f t="shared" si="25"/>
        <v>16.600000000000001</v>
      </c>
      <c r="H741" s="3224">
        <f t="shared" si="26"/>
        <v>0.44408023116547801</v>
      </c>
      <c r="I741" s="3227"/>
      <c r="J741" s="3305"/>
      <c r="K741" s="3306"/>
      <c r="L741" s="3208"/>
    </row>
    <row r="742" spans="1:12">
      <c r="A742" s="3222">
        <v>703</v>
      </c>
      <c r="B742" s="3223" t="s">
        <v>5958</v>
      </c>
      <c r="C742" s="3223"/>
      <c r="D742" s="3223">
        <v>1142</v>
      </c>
      <c r="E742" s="3223" t="s">
        <v>4786</v>
      </c>
      <c r="F742" s="3223">
        <v>37.39</v>
      </c>
      <c r="G742" s="3224">
        <f t="shared" si="25"/>
        <v>16.600000000000001</v>
      </c>
      <c r="H742" s="3224">
        <f t="shared" si="26"/>
        <v>0.44408023116547801</v>
      </c>
      <c r="I742" s="3227"/>
      <c r="J742" s="3305"/>
      <c r="K742" s="3306"/>
      <c r="L742" s="3208"/>
    </row>
    <row r="743" spans="1:12">
      <c r="A743" s="3222">
        <v>704</v>
      </c>
      <c r="B743" s="3223" t="s">
        <v>5958</v>
      </c>
      <c r="C743" s="3223"/>
      <c r="D743" s="3223">
        <v>1146</v>
      </c>
      <c r="E743" s="3223" t="s">
        <v>4786</v>
      </c>
      <c r="F743" s="3223">
        <v>37.39</v>
      </c>
      <c r="G743" s="3224">
        <f t="shared" si="25"/>
        <v>16.600000000000001</v>
      </c>
      <c r="H743" s="3224">
        <f t="shared" si="26"/>
        <v>0.44408023116547801</v>
      </c>
      <c r="I743" s="3227"/>
      <c r="J743" s="3305"/>
      <c r="K743" s="3306"/>
      <c r="L743" s="3208"/>
    </row>
    <row r="744" spans="1:12">
      <c r="A744" s="3222">
        <v>705</v>
      </c>
      <c r="B744" s="3223" t="s">
        <v>5958</v>
      </c>
      <c r="C744" s="3223"/>
      <c r="D744" s="3223">
        <v>1147</v>
      </c>
      <c r="E744" s="3223" t="s">
        <v>4786</v>
      </c>
      <c r="F744" s="3223">
        <v>37.39</v>
      </c>
      <c r="G744" s="3224">
        <f t="shared" si="25"/>
        <v>16.600000000000001</v>
      </c>
      <c r="H744" s="3224">
        <f t="shared" si="26"/>
        <v>0.44408023116547801</v>
      </c>
      <c r="I744" s="3227"/>
      <c r="J744" s="3305"/>
      <c r="K744" s="3306"/>
      <c r="L744" s="3208"/>
    </row>
    <row r="745" spans="1:12">
      <c r="A745" s="3222">
        <v>706</v>
      </c>
      <c r="B745" s="3223" t="s">
        <v>5958</v>
      </c>
      <c r="C745" s="3223"/>
      <c r="D745" s="3223">
        <v>1148</v>
      </c>
      <c r="E745" s="3223" t="s">
        <v>4786</v>
      </c>
      <c r="F745" s="3223">
        <v>37.39</v>
      </c>
      <c r="G745" s="3224">
        <f t="shared" ref="G745:G808" si="27">ROUND(F745*H745,2)</f>
        <v>16.600000000000001</v>
      </c>
      <c r="H745" s="3224">
        <f t="shared" si="26"/>
        <v>0.44408023116547801</v>
      </c>
      <c r="I745" s="3227"/>
      <c r="J745" s="3305"/>
      <c r="K745" s="3306"/>
      <c r="L745" s="3208"/>
    </row>
    <row r="746" spans="1:12">
      <c r="A746" s="3222">
        <v>707</v>
      </c>
      <c r="B746" s="3223" t="s">
        <v>5958</v>
      </c>
      <c r="C746" s="3223"/>
      <c r="D746" s="3223">
        <v>1152</v>
      </c>
      <c r="E746" s="3223" t="s">
        <v>4786</v>
      </c>
      <c r="F746" s="3223">
        <v>37.39</v>
      </c>
      <c r="G746" s="3224">
        <f t="shared" si="27"/>
        <v>16.600000000000001</v>
      </c>
      <c r="H746" s="3224">
        <f t="shared" si="26"/>
        <v>0.44408023116547801</v>
      </c>
      <c r="I746" s="3227"/>
      <c r="J746" s="3305"/>
      <c r="K746" s="3306"/>
      <c r="L746" s="3208"/>
    </row>
    <row r="747" spans="1:12">
      <c r="A747" s="3222">
        <v>708</v>
      </c>
      <c r="B747" s="3223" t="s">
        <v>5958</v>
      </c>
      <c r="C747" s="3223"/>
      <c r="D747" s="3223">
        <v>1154</v>
      </c>
      <c r="E747" s="3223" t="s">
        <v>4786</v>
      </c>
      <c r="F747" s="3223">
        <v>37.39</v>
      </c>
      <c r="G747" s="3224">
        <f t="shared" si="27"/>
        <v>16.600000000000001</v>
      </c>
      <c r="H747" s="3224">
        <f t="shared" si="26"/>
        <v>0.44408023116547801</v>
      </c>
      <c r="I747" s="3227"/>
      <c r="J747" s="3305"/>
      <c r="K747" s="3306"/>
      <c r="L747" s="3208"/>
    </row>
    <row r="748" spans="1:12">
      <c r="A748" s="3222">
        <v>709</v>
      </c>
      <c r="B748" s="3223" t="s">
        <v>5958</v>
      </c>
      <c r="C748" s="3223"/>
      <c r="D748" s="3223">
        <v>1155</v>
      </c>
      <c r="E748" s="3223" t="s">
        <v>4786</v>
      </c>
      <c r="F748" s="3223">
        <v>37.39</v>
      </c>
      <c r="G748" s="3224">
        <f t="shared" si="27"/>
        <v>16.600000000000001</v>
      </c>
      <c r="H748" s="3224">
        <f t="shared" si="26"/>
        <v>0.44408023116547801</v>
      </c>
      <c r="I748" s="3227"/>
      <c r="J748" s="3305"/>
      <c r="K748" s="3306"/>
      <c r="L748" s="3208"/>
    </row>
    <row r="749" spans="1:12">
      <c r="A749" s="3222">
        <v>710</v>
      </c>
      <c r="B749" s="3223" t="s">
        <v>5958</v>
      </c>
      <c r="C749" s="3223"/>
      <c r="D749" s="3223">
        <v>1157</v>
      </c>
      <c r="E749" s="3223" t="s">
        <v>4786</v>
      </c>
      <c r="F749" s="3223">
        <v>37.39</v>
      </c>
      <c r="G749" s="3224">
        <f t="shared" si="27"/>
        <v>16.600000000000001</v>
      </c>
      <c r="H749" s="3224">
        <f t="shared" si="26"/>
        <v>0.44408023116547801</v>
      </c>
      <c r="I749" s="3227"/>
      <c r="J749" s="3305"/>
      <c r="K749" s="3306"/>
      <c r="L749" s="3208"/>
    </row>
    <row r="750" spans="1:12">
      <c r="A750" s="3222">
        <v>711</v>
      </c>
      <c r="B750" s="3223" t="s">
        <v>5958</v>
      </c>
      <c r="C750" s="3223"/>
      <c r="D750" s="3223">
        <v>1158</v>
      </c>
      <c r="E750" s="3223" t="s">
        <v>4786</v>
      </c>
      <c r="F750" s="3223">
        <v>37.39</v>
      </c>
      <c r="G750" s="3224">
        <f t="shared" si="27"/>
        <v>16.600000000000001</v>
      </c>
      <c r="H750" s="3224">
        <f t="shared" si="26"/>
        <v>0.44408023116547801</v>
      </c>
      <c r="I750" s="3227"/>
      <c r="J750" s="3305"/>
      <c r="K750" s="3306"/>
      <c r="L750" s="3208"/>
    </row>
    <row r="751" spans="1:12">
      <c r="A751" s="3222">
        <v>712</v>
      </c>
      <c r="B751" s="3223" t="s">
        <v>5958</v>
      </c>
      <c r="C751" s="3223"/>
      <c r="D751" s="3223">
        <v>1159</v>
      </c>
      <c r="E751" s="3223" t="s">
        <v>4786</v>
      </c>
      <c r="F751" s="3223">
        <v>37.39</v>
      </c>
      <c r="G751" s="3224">
        <f t="shared" si="27"/>
        <v>16.600000000000001</v>
      </c>
      <c r="H751" s="3224">
        <f t="shared" si="26"/>
        <v>0.44408023116547801</v>
      </c>
      <c r="I751" s="3227"/>
      <c r="J751" s="3305"/>
      <c r="K751" s="3306"/>
      <c r="L751" s="3208"/>
    </row>
    <row r="752" spans="1:12">
      <c r="A752" s="3222">
        <v>713</v>
      </c>
      <c r="B752" s="3223" t="s">
        <v>5958</v>
      </c>
      <c r="C752" s="3223"/>
      <c r="D752" s="3223">
        <v>1160</v>
      </c>
      <c r="E752" s="3223" t="s">
        <v>4786</v>
      </c>
      <c r="F752" s="3223">
        <v>35.9</v>
      </c>
      <c r="G752" s="3224">
        <f t="shared" si="27"/>
        <v>15.94</v>
      </c>
      <c r="H752" s="3224">
        <f t="shared" si="26"/>
        <v>0.44408023116547801</v>
      </c>
      <c r="I752" s="3227"/>
      <c r="J752" s="3314"/>
      <c r="K752" s="3315"/>
      <c r="L752" s="3208"/>
    </row>
    <row r="753" spans="1:12">
      <c r="A753" s="3222">
        <v>714</v>
      </c>
      <c r="B753" s="3223" t="s">
        <v>5958</v>
      </c>
      <c r="C753" s="3223"/>
      <c r="D753" s="3223">
        <v>1161</v>
      </c>
      <c r="E753" s="3223" t="s">
        <v>4786</v>
      </c>
      <c r="F753" s="3223">
        <v>35.9</v>
      </c>
      <c r="G753" s="3224">
        <f t="shared" si="27"/>
        <v>15.94</v>
      </c>
      <c r="H753" s="3224">
        <f t="shared" si="26"/>
        <v>0.44408023116547801</v>
      </c>
      <c r="I753" s="3227"/>
      <c r="J753" s="3314"/>
      <c r="K753" s="3315"/>
      <c r="L753" s="3208"/>
    </row>
    <row r="754" spans="1:12">
      <c r="A754" s="3222">
        <v>715</v>
      </c>
      <c r="B754" s="3223" t="s">
        <v>5958</v>
      </c>
      <c r="C754" s="3223"/>
      <c r="D754" s="3223">
        <v>1162</v>
      </c>
      <c r="E754" s="3223" t="s">
        <v>4786</v>
      </c>
      <c r="F754" s="3223">
        <v>37.39</v>
      </c>
      <c r="G754" s="3224">
        <f t="shared" si="27"/>
        <v>16.600000000000001</v>
      </c>
      <c r="H754" s="3224">
        <f t="shared" si="26"/>
        <v>0.44408023116547801</v>
      </c>
      <c r="I754" s="3227"/>
      <c r="J754" s="3305"/>
      <c r="K754" s="3306"/>
      <c r="L754" s="3208"/>
    </row>
    <row r="755" spans="1:12">
      <c r="A755" s="3222">
        <v>716</v>
      </c>
      <c r="B755" s="3223" t="s">
        <v>5958</v>
      </c>
      <c r="C755" s="3223"/>
      <c r="D755" s="3223">
        <v>1163</v>
      </c>
      <c r="E755" s="3223" t="s">
        <v>4786</v>
      </c>
      <c r="F755" s="3223">
        <v>37.39</v>
      </c>
      <c r="G755" s="3224">
        <f t="shared" si="27"/>
        <v>16.600000000000001</v>
      </c>
      <c r="H755" s="3224">
        <f t="shared" si="26"/>
        <v>0.44408023116547801</v>
      </c>
      <c r="I755" s="3227"/>
      <c r="J755" s="3305"/>
      <c r="K755" s="3306"/>
      <c r="L755" s="3208"/>
    </row>
    <row r="756" spans="1:12">
      <c r="A756" s="3222">
        <v>717</v>
      </c>
      <c r="B756" s="3223" t="s">
        <v>5958</v>
      </c>
      <c r="C756" s="3223"/>
      <c r="D756" s="3223">
        <v>1164</v>
      </c>
      <c r="E756" s="3223" t="s">
        <v>4786</v>
      </c>
      <c r="F756" s="3223">
        <v>55.34</v>
      </c>
      <c r="G756" s="3224">
        <f t="shared" si="27"/>
        <v>24.58</v>
      </c>
      <c r="H756" s="3224">
        <f t="shared" si="26"/>
        <v>0.44408023116547801</v>
      </c>
      <c r="I756" s="3227"/>
      <c r="J756" s="3305"/>
      <c r="K756" s="3306"/>
      <c r="L756" s="3208"/>
    </row>
    <row r="757" spans="1:12">
      <c r="A757" s="3222">
        <v>718</v>
      </c>
      <c r="B757" s="3223" t="s">
        <v>5958</v>
      </c>
      <c r="C757" s="3223"/>
      <c r="D757" s="3223">
        <v>1165</v>
      </c>
      <c r="E757" s="3223" t="s">
        <v>4786</v>
      </c>
      <c r="F757" s="3223">
        <v>35.9</v>
      </c>
      <c r="G757" s="3224">
        <f t="shared" si="27"/>
        <v>15.94</v>
      </c>
      <c r="H757" s="3224">
        <f t="shared" ref="H757:H820" si="28">H756</f>
        <v>0.44408023116547801</v>
      </c>
      <c r="I757" s="3227"/>
      <c r="J757" s="3314"/>
      <c r="K757" s="3315"/>
      <c r="L757" s="3208"/>
    </row>
    <row r="758" spans="1:12">
      <c r="A758" s="3222">
        <v>719</v>
      </c>
      <c r="B758" s="3223" t="s">
        <v>5958</v>
      </c>
      <c r="C758" s="3223"/>
      <c r="D758" s="3223">
        <v>1166</v>
      </c>
      <c r="E758" s="3223" t="s">
        <v>4786</v>
      </c>
      <c r="F758" s="3223">
        <v>35.9</v>
      </c>
      <c r="G758" s="3224">
        <f t="shared" si="27"/>
        <v>15.94</v>
      </c>
      <c r="H758" s="3224">
        <f t="shared" si="28"/>
        <v>0.44408023116547801</v>
      </c>
      <c r="I758" s="3227"/>
      <c r="J758" s="3314"/>
      <c r="K758" s="3315"/>
      <c r="L758" s="3208"/>
    </row>
    <row r="759" spans="1:12">
      <c r="A759" s="3222">
        <v>720</v>
      </c>
      <c r="B759" s="3223" t="s">
        <v>5958</v>
      </c>
      <c r="C759" s="3223"/>
      <c r="D759" s="3223">
        <v>1168</v>
      </c>
      <c r="E759" s="3223" t="s">
        <v>4786</v>
      </c>
      <c r="F759" s="3223">
        <v>37.39</v>
      </c>
      <c r="G759" s="3224">
        <f t="shared" si="27"/>
        <v>16.600000000000001</v>
      </c>
      <c r="H759" s="3224">
        <f t="shared" si="28"/>
        <v>0.44408023116547801</v>
      </c>
      <c r="I759" s="3227"/>
      <c r="J759" s="3305"/>
      <c r="K759" s="3306"/>
      <c r="L759" s="3208"/>
    </row>
    <row r="760" spans="1:12">
      <c r="A760" s="3222">
        <v>721</v>
      </c>
      <c r="B760" s="3223" t="s">
        <v>5958</v>
      </c>
      <c r="C760" s="3223"/>
      <c r="D760" s="3223">
        <v>1169</v>
      </c>
      <c r="E760" s="3223" t="s">
        <v>4786</v>
      </c>
      <c r="F760" s="3223">
        <v>37.39</v>
      </c>
      <c r="G760" s="3224">
        <f t="shared" si="27"/>
        <v>16.600000000000001</v>
      </c>
      <c r="H760" s="3224">
        <f t="shared" si="28"/>
        <v>0.44408023116547801</v>
      </c>
      <c r="I760" s="3227"/>
      <c r="J760" s="3305"/>
      <c r="K760" s="3306"/>
      <c r="L760" s="3208"/>
    </row>
    <row r="761" spans="1:12">
      <c r="A761" s="3222">
        <v>722</v>
      </c>
      <c r="B761" s="3223" t="s">
        <v>5958</v>
      </c>
      <c r="C761" s="3223"/>
      <c r="D761" s="3223">
        <v>1170</v>
      </c>
      <c r="E761" s="3223" t="s">
        <v>4786</v>
      </c>
      <c r="F761" s="3223">
        <v>35.9</v>
      </c>
      <c r="G761" s="3224">
        <f t="shared" si="27"/>
        <v>15.94</v>
      </c>
      <c r="H761" s="3224">
        <f t="shared" si="28"/>
        <v>0.44408023116547801</v>
      </c>
      <c r="I761" s="3227"/>
      <c r="J761" s="3314"/>
      <c r="K761" s="3315"/>
      <c r="L761" s="3208"/>
    </row>
    <row r="762" spans="1:12">
      <c r="A762" s="3222">
        <v>723</v>
      </c>
      <c r="B762" s="3223" t="s">
        <v>5958</v>
      </c>
      <c r="C762" s="3223"/>
      <c r="D762" s="3223">
        <v>1171</v>
      </c>
      <c r="E762" s="3223" t="s">
        <v>4786</v>
      </c>
      <c r="F762" s="3223">
        <v>35.9</v>
      </c>
      <c r="G762" s="3224">
        <f t="shared" si="27"/>
        <v>15.94</v>
      </c>
      <c r="H762" s="3224">
        <f t="shared" si="28"/>
        <v>0.44408023116547801</v>
      </c>
      <c r="I762" s="3227"/>
      <c r="J762" s="3314"/>
      <c r="K762" s="3315"/>
      <c r="L762" s="3208"/>
    </row>
    <row r="763" spans="1:12">
      <c r="A763" s="3222">
        <v>724</v>
      </c>
      <c r="B763" s="3223" t="s">
        <v>5958</v>
      </c>
      <c r="C763" s="3223"/>
      <c r="D763" s="3223">
        <v>1174</v>
      </c>
      <c r="E763" s="3223" t="s">
        <v>4786</v>
      </c>
      <c r="F763" s="3223">
        <v>37.39</v>
      </c>
      <c r="G763" s="3224">
        <f t="shared" si="27"/>
        <v>16.600000000000001</v>
      </c>
      <c r="H763" s="3224">
        <f t="shared" si="28"/>
        <v>0.44408023116547801</v>
      </c>
      <c r="I763" s="3227"/>
      <c r="J763" s="3305"/>
      <c r="K763" s="3306"/>
      <c r="L763" s="3208"/>
    </row>
    <row r="764" spans="1:12">
      <c r="A764" s="3222">
        <v>725</v>
      </c>
      <c r="B764" s="3223" t="s">
        <v>5958</v>
      </c>
      <c r="C764" s="3223"/>
      <c r="D764" s="3223">
        <v>1175</v>
      </c>
      <c r="E764" s="3223" t="s">
        <v>4786</v>
      </c>
      <c r="F764" s="3223">
        <v>37.39</v>
      </c>
      <c r="G764" s="3224">
        <f t="shared" si="27"/>
        <v>16.600000000000001</v>
      </c>
      <c r="H764" s="3224">
        <f t="shared" si="28"/>
        <v>0.44408023116547801</v>
      </c>
      <c r="I764" s="3227"/>
      <c r="J764" s="3305"/>
      <c r="K764" s="3306"/>
      <c r="L764" s="3208"/>
    </row>
    <row r="765" spans="1:12">
      <c r="A765" s="3222">
        <v>726</v>
      </c>
      <c r="B765" s="3223" t="s">
        <v>5958</v>
      </c>
      <c r="C765" s="3223"/>
      <c r="D765" s="3223">
        <v>1177</v>
      </c>
      <c r="E765" s="3223" t="s">
        <v>4786</v>
      </c>
      <c r="F765" s="3223">
        <v>37.39</v>
      </c>
      <c r="G765" s="3224">
        <f t="shared" si="27"/>
        <v>16.600000000000001</v>
      </c>
      <c r="H765" s="3224">
        <f t="shared" si="28"/>
        <v>0.44408023116547801</v>
      </c>
      <c r="I765" s="3227"/>
      <c r="J765" s="3305"/>
      <c r="K765" s="3306"/>
      <c r="L765" s="3208"/>
    </row>
    <row r="766" spans="1:12">
      <c r="A766" s="3222">
        <v>727</v>
      </c>
      <c r="B766" s="3223" t="s">
        <v>5958</v>
      </c>
      <c r="C766" s="3223"/>
      <c r="D766" s="3223">
        <v>1180</v>
      </c>
      <c r="E766" s="3223" t="s">
        <v>4786</v>
      </c>
      <c r="F766" s="3223">
        <v>37.39</v>
      </c>
      <c r="G766" s="3224">
        <f t="shared" si="27"/>
        <v>16.600000000000001</v>
      </c>
      <c r="H766" s="3224">
        <f t="shared" si="28"/>
        <v>0.44408023116547801</v>
      </c>
      <c r="I766" s="3227"/>
      <c r="J766" s="3305"/>
      <c r="K766" s="3306"/>
      <c r="L766" s="3208"/>
    </row>
    <row r="767" spans="1:12">
      <c r="A767" s="3222">
        <v>728</v>
      </c>
      <c r="B767" s="3223" t="s">
        <v>5958</v>
      </c>
      <c r="C767" s="3223"/>
      <c r="D767" s="3223">
        <v>1181</v>
      </c>
      <c r="E767" s="3223" t="s">
        <v>4786</v>
      </c>
      <c r="F767" s="3223">
        <v>37.39</v>
      </c>
      <c r="G767" s="3224">
        <f t="shared" si="27"/>
        <v>16.600000000000001</v>
      </c>
      <c r="H767" s="3224">
        <f t="shared" si="28"/>
        <v>0.44408023116547801</v>
      </c>
      <c r="I767" s="3227"/>
      <c r="J767" s="3305"/>
      <c r="K767" s="3306"/>
      <c r="L767" s="3208"/>
    </row>
    <row r="768" spans="1:12">
      <c r="A768" s="3222">
        <v>729</v>
      </c>
      <c r="B768" s="3223" t="s">
        <v>5958</v>
      </c>
      <c r="C768" s="3223"/>
      <c r="D768" s="3223">
        <v>1182</v>
      </c>
      <c r="E768" s="3223" t="s">
        <v>4786</v>
      </c>
      <c r="F768" s="3223">
        <v>37.39</v>
      </c>
      <c r="G768" s="3224">
        <f t="shared" si="27"/>
        <v>16.600000000000001</v>
      </c>
      <c r="H768" s="3224">
        <f t="shared" si="28"/>
        <v>0.44408023116547801</v>
      </c>
      <c r="I768" s="3227"/>
      <c r="J768" s="3305"/>
      <c r="K768" s="3306"/>
      <c r="L768" s="3208"/>
    </row>
    <row r="769" spans="1:12">
      <c r="A769" s="3222">
        <v>730</v>
      </c>
      <c r="B769" s="3223" t="s">
        <v>5958</v>
      </c>
      <c r="C769" s="3223"/>
      <c r="D769" s="3223">
        <v>1183</v>
      </c>
      <c r="E769" s="3223" t="s">
        <v>4786</v>
      </c>
      <c r="F769" s="3223">
        <v>37.39</v>
      </c>
      <c r="G769" s="3224">
        <f t="shared" si="27"/>
        <v>16.600000000000001</v>
      </c>
      <c r="H769" s="3224">
        <f t="shared" si="28"/>
        <v>0.44408023116547801</v>
      </c>
      <c r="I769" s="3227"/>
      <c r="J769" s="3305"/>
      <c r="K769" s="3306"/>
      <c r="L769" s="3208"/>
    </row>
    <row r="770" spans="1:12">
      <c r="A770" s="3222">
        <v>731</v>
      </c>
      <c r="B770" s="3223" t="s">
        <v>5958</v>
      </c>
      <c r="C770" s="3223"/>
      <c r="D770" s="3223">
        <v>1184</v>
      </c>
      <c r="E770" s="3223" t="s">
        <v>4786</v>
      </c>
      <c r="F770" s="3223">
        <v>37.39</v>
      </c>
      <c r="G770" s="3224">
        <f t="shared" si="27"/>
        <v>16.600000000000001</v>
      </c>
      <c r="H770" s="3224">
        <f t="shared" si="28"/>
        <v>0.44408023116547801</v>
      </c>
      <c r="I770" s="3227"/>
      <c r="J770" s="3305"/>
      <c r="K770" s="3306"/>
      <c r="L770" s="3208"/>
    </row>
    <row r="771" spans="1:12">
      <c r="A771" s="3222">
        <v>732</v>
      </c>
      <c r="B771" s="3223" t="s">
        <v>5958</v>
      </c>
      <c r="C771" s="3223"/>
      <c r="D771" s="3223">
        <v>1186</v>
      </c>
      <c r="E771" s="3223" t="s">
        <v>4786</v>
      </c>
      <c r="F771" s="3223">
        <v>37.39</v>
      </c>
      <c r="G771" s="3224">
        <f t="shared" si="27"/>
        <v>16.600000000000001</v>
      </c>
      <c r="H771" s="3224">
        <f t="shared" si="28"/>
        <v>0.44408023116547801</v>
      </c>
      <c r="I771" s="3227"/>
      <c r="J771" s="3305"/>
      <c r="K771" s="3306"/>
      <c r="L771" s="3208"/>
    </row>
    <row r="772" spans="1:12">
      <c r="A772" s="3222">
        <v>733</v>
      </c>
      <c r="B772" s="3223" t="s">
        <v>5958</v>
      </c>
      <c r="C772" s="3223"/>
      <c r="D772" s="3223">
        <v>1187</v>
      </c>
      <c r="E772" s="3223" t="s">
        <v>4786</v>
      </c>
      <c r="F772" s="3223">
        <v>37.39</v>
      </c>
      <c r="G772" s="3224">
        <f t="shared" si="27"/>
        <v>16.600000000000001</v>
      </c>
      <c r="H772" s="3224">
        <f t="shared" si="28"/>
        <v>0.44408023116547801</v>
      </c>
      <c r="I772" s="3227"/>
      <c r="J772" s="3305"/>
      <c r="K772" s="3306"/>
      <c r="L772" s="3208"/>
    </row>
    <row r="773" spans="1:12">
      <c r="A773" s="3222">
        <v>734</v>
      </c>
      <c r="B773" s="3223" t="s">
        <v>5958</v>
      </c>
      <c r="C773" s="3223"/>
      <c r="D773" s="3223">
        <v>1196</v>
      </c>
      <c r="E773" s="3223" t="s">
        <v>4786</v>
      </c>
      <c r="F773" s="3223">
        <v>37.39</v>
      </c>
      <c r="G773" s="3224">
        <f t="shared" si="27"/>
        <v>16.600000000000001</v>
      </c>
      <c r="H773" s="3224">
        <f t="shared" si="28"/>
        <v>0.44408023116547801</v>
      </c>
      <c r="I773" s="3227"/>
      <c r="J773" s="3305"/>
      <c r="K773" s="3306"/>
      <c r="L773" s="3208"/>
    </row>
    <row r="774" spans="1:12">
      <c r="A774" s="3222">
        <v>735</v>
      </c>
      <c r="B774" s="3223" t="s">
        <v>5958</v>
      </c>
      <c r="C774" s="3223"/>
      <c r="D774" s="3223">
        <v>1197</v>
      </c>
      <c r="E774" s="3223" t="s">
        <v>4786</v>
      </c>
      <c r="F774" s="3223">
        <v>37.39</v>
      </c>
      <c r="G774" s="3224">
        <f t="shared" si="27"/>
        <v>16.600000000000001</v>
      </c>
      <c r="H774" s="3224">
        <f t="shared" si="28"/>
        <v>0.44408023116547801</v>
      </c>
      <c r="I774" s="3227"/>
      <c r="J774" s="3305"/>
      <c r="K774" s="3306"/>
      <c r="L774" s="3208"/>
    </row>
    <row r="775" spans="1:12">
      <c r="A775" s="3222">
        <v>736</v>
      </c>
      <c r="B775" s="3223" t="s">
        <v>5958</v>
      </c>
      <c r="C775" s="3223"/>
      <c r="D775" s="3223">
        <v>1198</v>
      </c>
      <c r="E775" s="3223" t="s">
        <v>4786</v>
      </c>
      <c r="F775" s="3223">
        <v>35.9</v>
      </c>
      <c r="G775" s="3224">
        <f t="shared" si="27"/>
        <v>15.94</v>
      </c>
      <c r="H775" s="3224">
        <f t="shared" si="28"/>
        <v>0.44408023116547801</v>
      </c>
      <c r="I775" s="3227"/>
      <c r="J775" s="3314"/>
      <c r="K775" s="3315"/>
      <c r="L775" s="3208"/>
    </row>
    <row r="776" spans="1:12">
      <c r="A776" s="3222">
        <v>737</v>
      </c>
      <c r="B776" s="3223" t="s">
        <v>5958</v>
      </c>
      <c r="C776" s="3223"/>
      <c r="D776" s="3223">
        <v>1199</v>
      </c>
      <c r="E776" s="3223" t="s">
        <v>4786</v>
      </c>
      <c r="F776" s="3223">
        <v>35.9</v>
      </c>
      <c r="G776" s="3224">
        <f t="shared" si="27"/>
        <v>15.94</v>
      </c>
      <c r="H776" s="3224">
        <f t="shared" si="28"/>
        <v>0.44408023116547801</v>
      </c>
      <c r="I776" s="3227"/>
      <c r="J776" s="3314"/>
      <c r="K776" s="3315"/>
      <c r="L776" s="3208"/>
    </row>
    <row r="777" spans="1:12">
      <c r="A777" s="3222">
        <v>738</v>
      </c>
      <c r="B777" s="3223" t="s">
        <v>5958</v>
      </c>
      <c r="C777" s="3223"/>
      <c r="D777" s="3223">
        <v>1200</v>
      </c>
      <c r="E777" s="3223" t="s">
        <v>4786</v>
      </c>
      <c r="F777" s="3223">
        <v>37.39</v>
      </c>
      <c r="G777" s="3224">
        <f t="shared" si="27"/>
        <v>16.600000000000001</v>
      </c>
      <c r="H777" s="3224">
        <f t="shared" si="28"/>
        <v>0.44408023116547801</v>
      </c>
      <c r="I777" s="3227"/>
      <c r="J777" s="3305"/>
      <c r="K777" s="3306"/>
      <c r="L777" s="3208"/>
    </row>
    <row r="778" spans="1:12">
      <c r="A778" s="3222">
        <v>739</v>
      </c>
      <c r="B778" s="3223" t="s">
        <v>5958</v>
      </c>
      <c r="C778" s="3223"/>
      <c r="D778" s="3223">
        <v>1201</v>
      </c>
      <c r="E778" s="3223" t="s">
        <v>4786</v>
      </c>
      <c r="F778" s="3223">
        <v>37.39</v>
      </c>
      <c r="G778" s="3224">
        <f t="shared" si="27"/>
        <v>16.600000000000001</v>
      </c>
      <c r="H778" s="3224">
        <f t="shared" si="28"/>
        <v>0.44408023116547801</v>
      </c>
      <c r="I778" s="3227"/>
      <c r="J778" s="3305"/>
      <c r="K778" s="3306"/>
      <c r="L778" s="3208"/>
    </row>
    <row r="779" spans="1:12">
      <c r="A779" s="3222">
        <v>740</v>
      </c>
      <c r="B779" s="3223" t="s">
        <v>5958</v>
      </c>
      <c r="C779" s="3223"/>
      <c r="D779" s="3223">
        <v>1202</v>
      </c>
      <c r="E779" s="3223" t="s">
        <v>4786</v>
      </c>
      <c r="F779" s="3223">
        <v>55.34</v>
      </c>
      <c r="G779" s="3224">
        <f t="shared" si="27"/>
        <v>24.58</v>
      </c>
      <c r="H779" s="3224">
        <f t="shared" si="28"/>
        <v>0.44408023116547801</v>
      </c>
      <c r="I779" s="3227"/>
      <c r="J779" s="3305"/>
      <c r="K779" s="3306"/>
      <c r="L779" s="3208"/>
    </row>
    <row r="780" spans="1:12">
      <c r="A780" s="3222">
        <v>741</v>
      </c>
      <c r="B780" s="3223" t="s">
        <v>5958</v>
      </c>
      <c r="C780" s="3223"/>
      <c r="D780" s="3223">
        <v>1204</v>
      </c>
      <c r="E780" s="3223" t="s">
        <v>4786</v>
      </c>
      <c r="F780" s="3223">
        <v>35.9</v>
      </c>
      <c r="G780" s="3224">
        <f t="shared" si="27"/>
        <v>15.94</v>
      </c>
      <c r="H780" s="3224">
        <f t="shared" si="28"/>
        <v>0.44408023116547801</v>
      </c>
      <c r="I780" s="3227"/>
      <c r="J780" s="3314"/>
      <c r="K780" s="3315"/>
      <c r="L780" s="3208"/>
    </row>
    <row r="781" spans="1:12">
      <c r="A781" s="3222">
        <v>742</v>
      </c>
      <c r="B781" s="3223" t="s">
        <v>5958</v>
      </c>
      <c r="C781" s="3223"/>
      <c r="D781" s="3223">
        <v>1205</v>
      </c>
      <c r="E781" s="3223" t="s">
        <v>4786</v>
      </c>
      <c r="F781" s="3223">
        <v>37.39</v>
      </c>
      <c r="G781" s="3224">
        <f t="shared" si="27"/>
        <v>16.600000000000001</v>
      </c>
      <c r="H781" s="3224">
        <f t="shared" si="28"/>
        <v>0.44408023116547801</v>
      </c>
      <c r="I781" s="3227"/>
      <c r="J781" s="3305"/>
      <c r="K781" s="3306"/>
      <c r="L781" s="3208"/>
    </row>
    <row r="782" spans="1:12">
      <c r="A782" s="3222">
        <v>743</v>
      </c>
      <c r="B782" s="3223" t="s">
        <v>5958</v>
      </c>
      <c r="C782" s="3223"/>
      <c r="D782" s="3223">
        <v>1206</v>
      </c>
      <c r="E782" s="3223" t="s">
        <v>4786</v>
      </c>
      <c r="F782" s="3223">
        <v>37.39</v>
      </c>
      <c r="G782" s="3224">
        <f t="shared" si="27"/>
        <v>16.600000000000001</v>
      </c>
      <c r="H782" s="3224">
        <f t="shared" si="28"/>
        <v>0.44408023116547801</v>
      </c>
      <c r="I782" s="3227"/>
      <c r="J782" s="3305"/>
      <c r="K782" s="3306"/>
      <c r="L782" s="3208"/>
    </row>
    <row r="783" spans="1:12">
      <c r="A783" s="3222">
        <v>744</v>
      </c>
      <c r="B783" s="3223" t="s">
        <v>5958</v>
      </c>
      <c r="C783" s="3223"/>
      <c r="D783" s="3223">
        <v>1207</v>
      </c>
      <c r="E783" s="3223" t="s">
        <v>4786</v>
      </c>
      <c r="F783" s="3223">
        <v>35.9</v>
      </c>
      <c r="G783" s="3224">
        <f t="shared" si="27"/>
        <v>15.94</v>
      </c>
      <c r="H783" s="3224">
        <f t="shared" si="28"/>
        <v>0.44408023116547801</v>
      </c>
      <c r="I783" s="3227"/>
      <c r="J783" s="3314"/>
      <c r="K783" s="3315"/>
      <c r="L783" s="3208"/>
    </row>
    <row r="784" spans="1:12">
      <c r="A784" s="3222">
        <v>745</v>
      </c>
      <c r="B784" s="3223" t="s">
        <v>5958</v>
      </c>
      <c r="C784" s="3223"/>
      <c r="D784" s="3223">
        <v>1208</v>
      </c>
      <c r="E784" s="3223" t="s">
        <v>4786</v>
      </c>
      <c r="F784" s="3223">
        <v>35.9</v>
      </c>
      <c r="G784" s="3224">
        <f t="shared" si="27"/>
        <v>15.94</v>
      </c>
      <c r="H784" s="3224">
        <f t="shared" si="28"/>
        <v>0.44408023116547801</v>
      </c>
      <c r="I784" s="3227"/>
      <c r="J784" s="3314"/>
      <c r="K784" s="3315"/>
      <c r="L784" s="3208"/>
    </row>
    <row r="785" spans="1:12">
      <c r="A785" s="3222">
        <v>746</v>
      </c>
      <c r="B785" s="3223" t="s">
        <v>5958</v>
      </c>
      <c r="C785" s="3223"/>
      <c r="D785" s="3223">
        <v>1213</v>
      </c>
      <c r="E785" s="3223" t="s">
        <v>4786</v>
      </c>
      <c r="F785" s="3223">
        <v>37.39</v>
      </c>
      <c r="G785" s="3224">
        <f t="shared" si="27"/>
        <v>16.600000000000001</v>
      </c>
      <c r="H785" s="3224">
        <f t="shared" si="28"/>
        <v>0.44408023116547801</v>
      </c>
      <c r="I785" s="3227"/>
      <c r="J785" s="3305"/>
      <c r="K785" s="3306"/>
      <c r="L785" s="3208"/>
    </row>
    <row r="786" spans="1:12">
      <c r="A786" s="3222">
        <v>747</v>
      </c>
      <c r="B786" s="3223" t="s">
        <v>5958</v>
      </c>
      <c r="C786" s="3223"/>
      <c r="D786" s="3223">
        <v>1214</v>
      </c>
      <c r="E786" s="3223" t="s">
        <v>4786</v>
      </c>
      <c r="F786" s="3223">
        <v>37.39</v>
      </c>
      <c r="G786" s="3224">
        <f t="shared" si="27"/>
        <v>16.600000000000001</v>
      </c>
      <c r="H786" s="3224">
        <f t="shared" si="28"/>
        <v>0.44408023116547801</v>
      </c>
      <c r="I786" s="3227"/>
      <c r="J786" s="3305"/>
      <c r="K786" s="3306"/>
      <c r="L786" s="3208"/>
    </row>
    <row r="787" spans="1:12">
      <c r="A787" s="3222">
        <v>748</v>
      </c>
      <c r="B787" s="3223" t="s">
        <v>5958</v>
      </c>
      <c r="C787" s="3223"/>
      <c r="D787" s="3223">
        <v>1216</v>
      </c>
      <c r="E787" s="3223" t="s">
        <v>4786</v>
      </c>
      <c r="F787" s="3223">
        <v>37.39</v>
      </c>
      <c r="G787" s="3224">
        <f t="shared" si="27"/>
        <v>16.600000000000001</v>
      </c>
      <c r="H787" s="3224">
        <f t="shared" si="28"/>
        <v>0.44408023116547801</v>
      </c>
      <c r="I787" s="3227"/>
      <c r="J787" s="3305"/>
      <c r="K787" s="3306"/>
      <c r="L787" s="3208"/>
    </row>
    <row r="788" spans="1:12">
      <c r="A788" s="3222">
        <v>749</v>
      </c>
      <c r="B788" s="3223" t="s">
        <v>5958</v>
      </c>
      <c r="C788" s="3223"/>
      <c r="D788" s="3223">
        <v>1219</v>
      </c>
      <c r="E788" s="3223" t="s">
        <v>4786</v>
      </c>
      <c r="F788" s="3223">
        <v>37.39</v>
      </c>
      <c r="G788" s="3224">
        <f t="shared" si="27"/>
        <v>16.600000000000001</v>
      </c>
      <c r="H788" s="3224">
        <f t="shared" si="28"/>
        <v>0.44408023116547801</v>
      </c>
      <c r="I788" s="3227"/>
      <c r="J788" s="3305"/>
      <c r="K788" s="3306"/>
      <c r="L788" s="3208"/>
    </row>
    <row r="789" spans="1:12">
      <c r="A789" s="3222">
        <v>750</v>
      </c>
      <c r="B789" s="3223" t="s">
        <v>5958</v>
      </c>
      <c r="C789" s="3223"/>
      <c r="D789" s="3223">
        <v>1220</v>
      </c>
      <c r="E789" s="3223" t="s">
        <v>4786</v>
      </c>
      <c r="F789" s="3223">
        <v>37.39</v>
      </c>
      <c r="G789" s="3224">
        <f t="shared" si="27"/>
        <v>16.600000000000001</v>
      </c>
      <c r="H789" s="3224">
        <f t="shared" si="28"/>
        <v>0.44408023116547801</v>
      </c>
      <c r="I789" s="3227"/>
      <c r="J789" s="3305"/>
      <c r="K789" s="3306"/>
      <c r="L789" s="3208"/>
    </row>
    <row r="790" spans="1:12">
      <c r="A790" s="3222">
        <v>751</v>
      </c>
      <c r="B790" s="3223" t="s">
        <v>5958</v>
      </c>
      <c r="C790" s="3223"/>
      <c r="D790" s="3223">
        <v>1221</v>
      </c>
      <c r="E790" s="3223" t="s">
        <v>4786</v>
      </c>
      <c r="F790" s="3223">
        <v>37.39</v>
      </c>
      <c r="G790" s="3224">
        <f t="shared" si="27"/>
        <v>16.600000000000001</v>
      </c>
      <c r="H790" s="3224">
        <f t="shared" si="28"/>
        <v>0.44408023116547801</v>
      </c>
      <c r="I790" s="3227"/>
      <c r="J790" s="3305"/>
      <c r="K790" s="3306"/>
      <c r="L790" s="3208"/>
    </row>
    <row r="791" spans="1:12">
      <c r="A791" s="3222">
        <v>752</v>
      </c>
      <c r="B791" s="3223" t="s">
        <v>5958</v>
      </c>
      <c r="C791" s="3223"/>
      <c r="D791" s="3223">
        <v>1223</v>
      </c>
      <c r="E791" s="3223" t="s">
        <v>4786</v>
      </c>
      <c r="F791" s="3223">
        <v>37.39</v>
      </c>
      <c r="G791" s="3224">
        <f t="shared" si="27"/>
        <v>16.600000000000001</v>
      </c>
      <c r="H791" s="3224">
        <f t="shared" si="28"/>
        <v>0.44408023116547801</v>
      </c>
      <c r="I791" s="3227"/>
      <c r="J791" s="3305"/>
      <c r="K791" s="3306"/>
      <c r="L791" s="3208"/>
    </row>
    <row r="792" spans="1:12">
      <c r="A792" s="3222">
        <v>753</v>
      </c>
      <c r="B792" s="3223" t="s">
        <v>5958</v>
      </c>
      <c r="C792" s="3223"/>
      <c r="D792" s="3223">
        <v>1224</v>
      </c>
      <c r="E792" s="3223" t="s">
        <v>4786</v>
      </c>
      <c r="F792" s="3223">
        <v>37.39</v>
      </c>
      <c r="G792" s="3224">
        <f t="shared" si="27"/>
        <v>16.600000000000001</v>
      </c>
      <c r="H792" s="3224">
        <f t="shared" si="28"/>
        <v>0.44408023116547801</v>
      </c>
      <c r="I792" s="3227"/>
      <c r="J792" s="3305"/>
      <c r="K792" s="3306"/>
      <c r="L792" s="3208"/>
    </row>
    <row r="793" spans="1:12">
      <c r="A793" s="3222">
        <v>754</v>
      </c>
      <c r="B793" s="3223" t="s">
        <v>5958</v>
      </c>
      <c r="C793" s="3223"/>
      <c r="D793" s="3223">
        <v>1231</v>
      </c>
      <c r="E793" s="3223" t="s">
        <v>4786</v>
      </c>
      <c r="F793" s="3223">
        <v>37.39</v>
      </c>
      <c r="G793" s="3224">
        <f t="shared" si="27"/>
        <v>16.600000000000001</v>
      </c>
      <c r="H793" s="3224">
        <f t="shared" si="28"/>
        <v>0.44408023116547801</v>
      </c>
      <c r="I793" s="3227"/>
      <c r="J793" s="3305"/>
      <c r="K793" s="3306"/>
      <c r="L793" s="3208"/>
    </row>
    <row r="794" spans="1:12">
      <c r="A794" s="3222">
        <v>755</v>
      </c>
      <c r="B794" s="3223" t="s">
        <v>5958</v>
      </c>
      <c r="C794" s="3223"/>
      <c r="D794" s="3223">
        <v>1237</v>
      </c>
      <c r="E794" s="3223" t="s">
        <v>4786</v>
      </c>
      <c r="F794" s="3223">
        <v>55.34</v>
      </c>
      <c r="G794" s="3224">
        <f t="shared" si="27"/>
        <v>24.58</v>
      </c>
      <c r="H794" s="3224">
        <f t="shared" si="28"/>
        <v>0.44408023116547801</v>
      </c>
      <c r="I794" s="3227"/>
      <c r="J794" s="3305"/>
      <c r="K794" s="3306"/>
      <c r="L794" s="3208"/>
    </row>
    <row r="795" spans="1:12">
      <c r="A795" s="3222">
        <v>756</v>
      </c>
      <c r="B795" s="3223" t="s">
        <v>5958</v>
      </c>
      <c r="C795" s="3223"/>
      <c r="D795" s="3223">
        <v>1238</v>
      </c>
      <c r="E795" s="3223" t="s">
        <v>4786</v>
      </c>
      <c r="F795" s="3223">
        <v>35.9</v>
      </c>
      <c r="G795" s="3224">
        <f t="shared" si="27"/>
        <v>15.94</v>
      </c>
      <c r="H795" s="3224">
        <f t="shared" si="28"/>
        <v>0.44408023116547801</v>
      </c>
      <c r="I795" s="3227"/>
      <c r="J795" s="3314"/>
      <c r="K795" s="3315"/>
      <c r="L795" s="3208"/>
    </row>
    <row r="796" spans="1:12">
      <c r="A796" s="3222">
        <v>757</v>
      </c>
      <c r="B796" s="3223" t="s">
        <v>5958</v>
      </c>
      <c r="C796" s="3223"/>
      <c r="D796" s="3223">
        <v>1239</v>
      </c>
      <c r="E796" s="3223" t="s">
        <v>4786</v>
      </c>
      <c r="F796" s="3223">
        <v>35.9</v>
      </c>
      <c r="G796" s="3224">
        <f t="shared" si="27"/>
        <v>15.94</v>
      </c>
      <c r="H796" s="3224">
        <f t="shared" si="28"/>
        <v>0.44408023116547801</v>
      </c>
      <c r="I796" s="3227"/>
      <c r="J796" s="3314"/>
      <c r="K796" s="3315"/>
      <c r="L796" s="3208"/>
    </row>
    <row r="797" spans="1:12">
      <c r="A797" s="3222">
        <v>758</v>
      </c>
      <c r="B797" s="3223" t="s">
        <v>5958</v>
      </c>
      <c r="C797" s="3223"/>
      <c r="D797" s="3223">
        <v>1240</v>
      </c>
      <c r="E797" s="3223" t="s">
        <v>4786</v>
      </c>
      <c r="F797" s="3223">
        <v>37.39</v>
      </c>
      <c r="G797" s="3224">
        <f t="shared" si="27"/>
        <v>16.600000000000001</v>
      </c>
      <c r="H797" s="3224">
        <f t="shared" si="28"/>
        <v>0.44408023116547801</v>
      </c>
      <c r="I797" s="3227"/>
      <c r="J797" s="3305"/>
      <c r="K797" s="3306"/>
      <c r="L797" s="3208"/>
    </row>
    <row r="798" spans="1:12">
      <c r="A798" s="3222">
        <v>759</v>
      </c>
      <c r="B798" s="3223" t="s">
        <v>5958</v>
      </c>
      <c r="C798" s="3223"/>
      <c r="D798" s="3223">
        <v>1242</v>
      </c>
      <c r="E798" s="3223" t="s">
        <v>4786</v>
      </c>
      <c r="F798" s="3223">
        <v>37.39</v>
      </c>
      <c r="G798" s="3224">
        <f t="shared" si="27"/>
        <v>16.600000000000001</v>
      </c>
      <c r="H798" s="3224">
        <f t="shared" si="28"/>
        <v>0.44408023116547801</v>
      </c>
      <c r="I798" s="3227"/>
      <c r="J798" s="3305"/>
      <c r="K798" s="3306"/>
      <c r="L798" s="3208"/>
    </row>
    <row r="799" spans="1:12">
      <c r="A799" s="3222">
        <v>760</v>
      </c>
      <c r="B799" s="3223" t="s">
        <v>5958</v>
      </c>
      <c r="C799" s="3223"/>
      <c r="D799" s="3223">
        <v>1243</v>
      </c>
      <c r="E799" s="3223" t="s">
        <v>4786</v>
      </c>
      <c r="F799" s="3223">
        <v>35.9</v>
      </c>
      <c r="G799" s="3224">
        <f t="shared" si="27"/>
        <v>15.94</v>
      </c>
      <c r="H799" s="3224">
        <f t="shared" si="28"/>
        <v>0.44408023116547801</v>
      </c>
      <c r="I799" s="3227"/>
      <c r="J799" s="3314"/>
      <c r="K799" s="3315"/>
      <c r="L799" s="3208"/>
    </row>
    <row r="800" spans="1:12">
      <c r="A800" s="3222">
        <v>761</v>
      </c>
      <c r="B800" s="3223" t="s">
        <v>5958</v>
      </c>
      <c r="C800" s="3223"/>
      <c r="D800" s="3223">
        <v>1244</v>
      </c>
      <c r="E800" s="3223" t="s">
        <v>4786</v>
      </c>
      <c r="F800" s="3223">
        <v>35.9</v>
      </c>
      <c r="G800" s="3224">
        <f t="shared" si="27"/>
        <v>15.94</v>
      </c>
      <c r="H800" s="3224">
        <f t="shared" si="28"/>
        <v>0.44408023116547801</v>
      </c>
      <c r="I800" s="3227"/>
      <c r="J800" s="3314"/>
      <c r="K800" s="3315"/>
      <c r="L800" s="3208"/>
    </row>
    <row r="801" spans="1:12">
      <c r="A801" s="3222">
        <v>762</v>
      </c>
      <c r="B801" s="3223" t="s">
        <v>5958</v>
      </c>
      <c r="C801" s="3223"/>
      <c r="D801" s="3223">
        <v>1245</v>
      </c>
      <c r="E801" s="3223" t="s">
        <v>4786</v>
      </c>
      <c r="F801" s="3223">
        <v>35.9</v>
      </c>
      <c r="G801" s="3224">
        <f t="shared" si="27"/>
        <v>15.94</v>
      </c>
      <c r="H801" s="3224">
        <f t="shared" si="28"/>
        <v>0.44408023116547801</v>
      </c>
      <c r="I801" s="3227"/>
      <c r="J801" s="3314"/>
      <c r="K801" s="3315"/>
      <c r="L801" s="3208"/>
    </row>
    <row r="802" spans="1:12">
      <c r="A802" s="3222">
        <v>763</v>
      </c>
      <c r="B802" s="3223" t="s">
        <v>5958</v>
      </c>
      <c r="C802" s="3223"/>
      <c r="D802" s="3223">
        <v>1246</v>
      </c>
      <c r="E802" s="3223" t="s">
        <v>4786</v>
      </c>
      <c r="F802" s="3223">
        <v>35.9</v>
      </c>
      <c r="G802" s="3224">
        <f t="shared" si="27"/>
        <v>15.94</v>
      </c>
      <c r="H802" s="3224">
        <f t="shared" si="28"/>
        <v>0.44408023116547801</v>
      </c>
      <c r="I802" s="3227"/>
      <c r="J802" s="3314"/>
      <c r="K802" s="3315"/>
      <c r="L802" s="3208"/>
    </row>
    <row r="803" spans="1:12">
      <c r="A803" s="3222">
        <v>764</v>
      </c>
      <c r="B803" s="3223" t="s">
        <v>5958</v>
      </c>
      <c r="C803" s="3223"/>
      <c r="D803" s="3223">
        <v>1247</v>
      </c>
      <c r="E803" s="3223" t="s">
        <v>4786</v>
      </c>
      <c r="F803" s="3223">
        <v>37.39</v>
      </c>
      <c r="G803" s="3224">
        <f t="shared" si="27"/>
        <v>16.600000000000001</v>
      </c>
      <c r="H803" s="3224">
        <f t="shared" si="28"/>
        <v>0.44408023116547801</v>
      </c>
      <c r="I803" s="3227"/>
      <c r="J803" s="3305"/>
      <c r="K803" s="3306"/>
      <c r="L803" s="3208"/>
    </row>
    <row r="804" spans="1:12">
      <c r="A804" s="3222">
        <v>765</v>
      </c>
      <c r="B804" s="3223" t="s">
        <v>5958</v>
      </c>
      <c r="C804" s="3223"/>
      <c r="D804" s="3223">
        <v>1248</v>
      </c>
      <c r="E804" s="3223" t="s">
        <v>4786</v>
      </c>
      <c r="F804" s="3223">
        <v>37.39</v>
      </c>
      <c r="G804" s="3224">
        <f t="shared" si="27"/>
        <v>16.600000000000001</v>
      </c>
      <c r="H804" s="3224">
        <f t="shared" si="28"/>
        <v>0.44408023116547801</v>
      </c>
      <c r="I804" s="3227"/>
      <c r="J804" s="3305"/>
      <c r="K804" s="3306"/>
      <c r="L804" s="3208"/>
    </row>
    <row r="805" spans="1:12">
      <c r="A805" s="3222">
        <v>766</v>
      </c>
      <c r="B805" s="3223" t="s">
        <v>5958</v>
      </c>
      <c r="C805" s="3223"/>
      <c r="D805" s="3223">
        <v>1249</v>
      </c>
      <c r="E805" s="3223" t="s">
        <v>4786</v>
      </c>
      <c r="F805" s="3223">
        <v>35.9</v>
      </c>
      <c r="G805" s="3224">
        <f t="shared" si="27"/>
        <v>15.94</v>
      </c>
      <c r="H805" s="3224">
        <f t="shared" si="28"/>
        <v>0.44408023116547801</v>
      </c>
      <c r="I805" s="3227"/>
      <c r="J805" s="3314"/>
      <c r="K805" s="3315"/>
      <c r="L805" s="3208"/>
    </row>
    <row r="806" spans="1:12">
      <c r="A806" s="3222">
        <v>767</v>
      </c>
      <c r="B806" s="3223" t="s">
        <v>5958</v>
      </c>
      <c r="C806" s="3223"/>
      <c r="D806" s="3223">
        <v>1250</v>
      </c>
      <c r="E806" s="3223" t="s">
        <v>4786</v>
      </c>
      <c r="F806" s="3223">
        <v>35.9</v>
      </c>
      <c r="G806" s="3224">
        <f t="shared" si="27"/>
        <v>15.94</v>
      </c>
      <c r="H806" s="3224">
        <f t="shared" si="28"/>
        <v>0.44408023116547801</v>
      </c>
      <c r="I806" s="3227"/>
      <c r="J806" s="3314"/>
      <c r="K806" s="3315"/>
      <c r="L806" s="3208"/>
    </row>
    <row r="807" spans="1:12">
      <c r="A807" s="3222">
        <v>768</v>
      </c>
      <c r="B807" s="3223" t="s">
        <v>5958</v>
      </c>
      <c r="C807" s="3223"/>
      <c r="D807" s="3223">
        <v>1251</v>
      </c>
      <c r="E807" s="3223" t="s">
        <v>4786</v>
      </c>
      <c r="F807" s="3223">
        <v>35.9</v>
      </c>
      <c r="G807" s="3224">
        <f t="shared" si="27"/>
        <v>15.94</v>
      </c>
      <c r="H807" s="3224">
        <f t="shared" si="28"/>
        <v>0.44408023116547801</v>
      </c>
      <c r="I807" s="3227"/>
      <c r="J807" s="3314"/>
      <c r="K807" s="3315"/>
      <c r="L807" s="3208"/>
    </row>
    <row r="808" spans="1:12">
      <c r="A808" s="3222">
        <v>769</v>
      </c>
      <c r="B808" s="3223" t="s">
        <v>5958</v>
      </c>
      <c r="C808" s="3223"/>
      <c r="D808" s="3223">
        <v>1252</v>
      </c>
      <c r="E808" s="3223" t="s">
        <v>4786</v>
      </c>
      <c r="F808" s="3223">
        <v>35.9</v>
      </c>
      <c r="G808" s="3224">
        <f t="shared" si="27"/>
        <v>15.94</v>
      </c>
      <c r="H808" s="3224">
        <f t="shared" si="28"/>
        <v>0.44408023116547801</v>
      </c>
      <c r="I808" s="3227"/>
      <c r="J808" s="3314"/>
      <c r="K808" s="3315"/>
      <c r="L808" s="3208"/>
    </row>
    <row r="809" spans="1:12">
      <c r="A809" s="3222">
        <v>770</v>
      </c>
      <c r="B809" s="3223" t="s">
        <v>5958</v>
      </c>
      <c r="C809" s="3223"/>
      <c r="D809" s="3223">
        <v>1253</v>
      </c>
      <c r="E809" s="3223" t="s">
        <v>4786</v>
      </c>
      <c r="F809" s="3223">
        <v>37.39</v>
      </c>
      <c r="G809" s="3224">
        <f t="shared" ref="G809:G872" si="29">ROUND(F809*H809,2)</f>
        <v>16.600000000000001</v>
      </c>
      <c r="H809" s="3224">
        <f t="shared" si="28"/>
        <v>0.44408023116547801</v>
      </c>
      <c r="I809" s="3227"/>
      <c r="J809" s="3305"/>
      <c r="K809" s="3306"/>
      <c r="L809" s="3208"/>
    </row>
    <row r="810" spans="1:12">
      <c r="A810" s="3222">
        <v>771</v>
      </c>
      <c r="B810" s="3223" t="s">
        <v>5958</v>
      </c>
      <c r="C810" s="3223"/>
      <c r="D810" s="3223">
        <v>1255</v>
      </c>
      <c r="E810" s="3223" t="s">
        <v>4786</v>
      </c>
      <c r="F810" s="3223">
        <v>37.39</v>
      </c>
      <c r="G810" s="3224">
        <f t="shared" si="29"/>
        <v>16.600000000000001</v>
      </c>
      <c r="H810" s="3224">
        <f t="shared" si="28"/>
        <v>0.44408023116547801</v>
      </c>
      <c r="I810" s="3227"/>
      <c r="J810" s="3305"/>
      <c r="K810" s="3306"/>
      <c r="L810" s="3208"/>
    </row>
    <row r="811" spans="1:12">
      <c r="A811" s="3222">
        <v>772</v>
      </c>
      <c r="B811" s="3223" t="s">
        <v>5958</v>
      </c>
      <c r="C811" s="3223"/>
      <c r="D811" s="3223">
        <v>1256</v>
      </c>
      <c r="E811" s="3223" t="s">
        <v>4786</v>
      </c>
      <c r="F811" s="3223">
        <v>37.39</v>
      </c>
      <c r="G811" s="3224">
        <f t="shared" si="29"/>
        <v>16.600000000000001</v>
      </c>
      <c r="H811" s="3224">
        <f t="shared" si="28"/>
        <v>0.44408023116547801</v>
      </c>
      <c r="I811" s="3227"/>
      <c r="J811" s="3305"/>
      <c r="K811" s="3306"/>
      <c r="L811" s="3208"/>
    </row>
    <row r="812" spans="1:12">
      <c r="A812" s="3222">
        <v>773</v>
      </c>
      <c r="B812" s="3223" t="s">
        <v>5958</v>
      </c>
      <c r="C812" s="3223"/>
      <c r="D812" s="3223">
        <v>1260</v>
      </c>
      <c r="E812" s="3223" t="s">
        <v>4786</v>
      </c>
      <c r="F812" s="3223">
        <v>37.39</v>
      </c>
      <c r="G812" s="3224">
        <f t="shared" si="29"/>
        <v>16.600000000000001</v>
      </c>
      <c r="H812" s="3224">
        <f t="shared" si="28"/>
        <v>0.44408023116547801</v>
      </c>
      <c r="I812" s="3227"/>
      <c r="J812" s="3305"/>
      <c r="K812" s="3306"/>
      <c r="L812" s="3208"/>
    </row>
    <row r="813" spans="1:12">
      <c r="A813" s="3222">
        <v>774</v>
      </c>
      <c r="B813" s="3223" t="s">
        <v>5958</v>
      </c>
      <c r="C813" s="3223"/>
      <c r="D813" s="3223">
        <v>1269</v>
      </c>
      <c r="E813" s="3223" t="s">
        <v>4786</v>
      </c>
      <c r="F813" s="3223">
        <v>37.39</v>
      </c>
      <c r="G813" s="3224">
        <f t="shared" si="29"/>
        <v>16.600000000000001</v>
      </c>
      <c r="H813" s="3224">
        <f t="shared" si="28"/>
        <v>0.44408023116547801</v>
      </c>
      <c r="I813" s="3227"/>
      <c r="J813" s="3305"/>
      <c r="K813" s="3306"/>
      <c r="L813" s="3208"/>
    </row>
    <row r="814" spans="1:12">
      <c r="A814" s="3222">
        <v>775</v>
      </c>
      <c r="B814" s="3223" t="s">
        <v>5958</v>
      </c>
      <c r="C814" s="3223"/>
      <c r="D814" s="3223">
        <v>1270</v>
      </c>
      <c r="E814" s="3223" t="s">
        <v>4786</v>
      </c>
      <c r="F814" s="3223">
        <v>37.39</v>
      </c>
      <c r="G814" s="3224">
        <f t="shared" si="29"/>
        <v>16.600000000000001</v>
      </c>
      <c r="H814" s="3224">
        <f t="shared" si="28"/>
        <v>0.44408023116547801</v>
      </c>
      <c r="I814" s="3227"/>
      <c r="J814" s="3305"/>
      <c r="K814" s="3306"/>
      <c r="L814" s="3208"/>
    </row>
    <row r="815" spans="1:12">
      <c r="A815" s="3222">
        <v>776</v>
      </c>
      <c r="B815" s="3223" t="s">
        <v>5958</v>
      </c>
      <c r="C815" s="3223"/>
      <c r="D815" s="3223">
        <v>1271</v>
      </c>
      <c r="E815" s="3223" t="s">
        <v>4786</v>
      </c>
      <c r="F815" s="3223">
        <v>37.39</v>
      </c>
      <c r="G815" s="3224">
        <f t="shared" si="29"/>
        <v>16.600000000000001</v>
      </c>
      <c r="H815" s="3224">
        <f t="shared" si="28"/>
        <v>0.44408023116547801</v>
      </c>
      <c r="I815" s="3227"/>
      <c r="J815" s="3305"/>
      <c r="K815" s="3306"/>
      <c r="L815" s="3208"/>
    </row>
    <row r="816" spans="1:12">
      <c r="A816" s="3222">
        <v>777</v>
      </c>
      <c r="B816" s="3223" t="s">
        <v>5958</v>
      </c>
      <c r="C816" s="3223"/>
      <c r="D816" s="3223">
        <v>1272</v>
      </c>
      <c r="E816" s="3223" t="s">
        <v>4786</v>
      </c>
      <c r="F816" s="3223">
        <v>37.39</v>
      </c>
      <c r="G816" s="3224">
        <f t="shared" si="29"/>
        <v>16.600000000000001</v>
      </c>
      <c r="H816" s="3224">
        <f t="shared" si="28"/>
        <v>0.44408023116547801</v>
      </c>
      <c r="I816" s="3227"/>
      <c r="J816" s="3305"/>
      <c r="K816" s="3306"/>
      <c r="L816" s="3208"/>
    </row>
    <row r="817" spans="1:12">
      <c r="A817" s="3222">
        <v>778</v>
      </c>
      <c r="B817" s="3223" t="s">
        <v>5958</v>
      </c>
      <c r="C817" s="3223"/>
      <c r="D817" s="3223">
        <v>1273</v>
      </c>
      <c r="E817" s="3223" t="s">
        <v>4786</v>
      </c>
      <c r="F817" s="3223">
        <v>37.39</v>
      </c>
      <c r="G817" s="3224">
        <f t="shared" si="29"/>
        <v>16.600000000000001</v>
      </c>
      <c r="H817" s="3224">
        <f t="shared" si="28"/>
        <v>0.44408023116547801</v>
      </c>
      <c r="I817" s="3227"/>
      <c r="J817" s="3305"/>
      <c r="K817" s="3306"/>
      <c r="L817" s="3208"/>
    </row>
    <row r="818" spans="1:12">
      <c r="A818" s="3222">
        <v>779</v>
      </c>
      <c r="B818" s="3223" t="s">
        <v>5958</v>
      </c>
      <c r="C818" s="3223"/>
      <c r="D818" s="3223">
        <v>1274</v>
      </c>
      <c r="E818" s="3223" t="s">
        <v>4786</v>
      </c>
      <c r="F818" s="3223">
        <v>37.39</v>
      </c>
      <c r="G818" s="3224">
        <f t="shared" si="29"/>
        <v>16.600000000000001</v>
      </c>
      <c r="H818" s="3224">
        <f t="shared" si="28"/>
        <v>0.44408023116547801</v>
      </c>
      <c r="I818" s="3227"/>
      <c r="J818" s="3305"/>
      <c r="K818" s="3306"/>
      <c r="L818" s="3208"/>
    </row>
    <row r="819" spans="1:12">
      <c r="A819" s="3222">
        <v>780</v>
      </c>
      <c r="B819" s="3223" t="s">
        <v>5958</v>
      </c>
      <c r="C819" s="3223"/>
      <c r="D819" s="3223">
        <v>1277</v>
      </c>
      <c r="E819" s="3223" t="s">
        <v>4786</v>
      </c>
      <c r="F819" s="3223">
        <v>37.39</v>
      </c>
      <c r="G819" s="3224">
        <f t="shared" si="29"/>
        <v>16.600000000000001</v>
      </c>
      <c r="H819" s="3224">
        <f t="shared" si="28"/>
        <v>0.44408023116547801</v>
      </c>
      <c r="I819" s="3227"/>
      <c r="J819" s="3305"/>
      <c r="K819" s="3306"/>
      <c r="L819" s="3208"/>
    </row>
    <row r="820" spans="1:12">
      <c r="A820" s="3222">
        <v>781</v>
      </c>
      <c r="B820" s="3223" t="s">
        <v>5958</v>
      </c>
      <c r="C820" s="3223"/>
      <c r="D820" s="3223">
        <v>1278</v>
      </c>
      <c r="E820" s="3223" t="s">
        <v>4786</v>
      </c>
      <c r="F820" s="3223">
        <v>37.39</v>
      </c>
      <c r="G820" s="3224">
        <f t="shared" si="29"/>
        <v>16.600000000000001</v>
      </c>
      <c r="H820" s="3224">
        <f t="shared" si="28"/>
        <v>0.44408023116547801</v>
      </c>
      <c r="I820" s="3227"/>
      <c r="J820" s="3305"/>
      <c r="K820" s="3306"/>
      <c r="L820" s="3208"/>
    </row>
    <row r="821" spans="1:12">
      <c r="A821" s="3222">
        <v>782</v>
      </c>
      <c r="B821" s="3223" t="s">
        <v>5958</v>
      </c>
      <c r="C821" s="3223"/>
      <c r="D821" s="3223">
        <v>1279</v>
      </c>
      <c r="E821" s="3223" t="s">
        <v>4786</v>
      </c>
      <c r="F821" s="3223">
        <v>37.39</v>
      </c>
      <c r="G821" s="3224">
        <f t="shared" si="29"/>
        <v>16.600000000000001</v>
      </c>
      <c r="H821" s="3224">
        <f t="shared" ref="H821:H884" si="30">H820</f>
        <v>0.44408023116547801</v>
      </c>
      <c r="I821" s="3227"/>
      <c r="J821" s="3305"/>
      <c r="K821" s="3306"/>
      <c r="L821" s="3208"/>
    </row>
    <row r="822" spans="1:12">
      <c r="A822" s="3222">
        <v>783</v>
      </c>
      <c r="B822" s="3223" t="s">
        <v>5958</v>
      </c>
      <c r="C822" s="3223"/>
      <c r="D822" s="3223">
        <v>1281</v>
      </c>
      <c r="E822" s="3223" t="s">
        <v>4786</v>
      </c>
      <c r="F822" s="3223">
        <v>37.39</v>
      </c>
      <c r="G822" s="3224">
        <f t="shared" si="29"/>
        <v>16.600000000000001</v>
      </c>
      <c r="H822" s="3224">
        <f t="shared" si="30"/>
        <v>0.44408023116547801</v>
      </c>
      <c r="I822" s="3227"/>
      <c r="J822" s="3305"/>
      <c r="K822" s="3306"/>
      <c r="L822" s="3208"/>
    </row>
    <row r="823" spans="1:12">
      <c r="A823" s="3222">
        <v>784</v>
      </c>
      <c r="B823" s="3223" t="s">
        <v>5958</v>
      </c>
      <c r="C823" s="3223"/>
      <c r="D823" s="3223">
        <v>1283</v>
      </c>
      <c r="E823" s="3223" t="s">
        <v>4786</v>
      </c>
      <c r="F823" s="3223">
        <v>37.39</v>
      </c>
      <c r="G823" s="3224">
        <f t="shared" si="29"/>
        <v>16.600000000000001</v>
      </c>
      <c r="H823" s="3224">
        <f t="shared" si="30"/>
        <v>0.44408023116547801</v>
      </c>
      <c r="I823" s="3227"/>
      <c r="J823" s="3305"/>
      <c r="K823" s="3306"/>
      <c r="L823" s="3208"/>
    </row>
    <row r="824" spans="1:12">
      <c r="A824" s="3222">
        <v>785</v>
      </c>
      <c r="B824" s="3223" t="s">
        <v>5958</v>
      </c>
      <c r="C824" s="3223"/>
      <c r="D824" s="3223">
        <v>1284</v>
      </c>
      <c r="E824" s="3223" t="s">
        <v>4786</v>
      </c>
      <c r="F824" s="3223">
        <v>37.39</v>
      </c>
      <c r="G824" s="3224">
        <f t="shared" si="29"/>
        <v>16.600000000000001</v>
      </c>
      <c r="H824" s="3224">
        <f t="shared" si="30"/>
        <v>0.44408023116547801</v>
      </c>
      <c r="I824" s="3227"/>
      <c r="J824" s="3305"/>
      <c r="K824" s="3306"/>
      <c r="L824" s="3208"/>
    </row>
    <row r="825" spans="1:12">
      <c r="A825" s="3222">
        <v>786</v>
      </c>
      <c r="B825" s="3223" t="s">
        <v>5958</v>
      </c>
      <c r="C825" s="3223"/>
      <c r="D825" s="3223">
        <v>1287</v>
      </c>
      <c r="E825" s="3223" t="s">
        <v>4786</v>
      </c>
      <c r="F825" s="3223">
        <v>37.39</v>
      </c>
      <c r="G825" s="3224">
        <f t="shared" si="29"/>
        <v>16.600000000000001</v>
      </c>
      <c r="H825" s="3224">
        <f t="shared" si="30"/>
        <v>0.44408023116547801</v>
      </c>
      <c r="I825" s="3227"/>
      <c r="J825" s="3305"/>
      <c r="K825" s="3306"/>
      <c r="L825" s="3208"/>
    </row>
    <row r="826" spans="1:12">
      <c r="A826" s="3222">
        <v>787</v>
      </c>
      <c r="B826" s="3223" t="s">
        <v>5958</v>
      </c>
      <c r="C826" s="3223"/>
      <c r="D826" s="3223">
        <v>1288</v>
      </c>
      <c r="E826" s="3223" t="s">
        <v>4786</v>
      </c>
      <c r="F826" s="3223">
        <v>37.39</v>
      </c>
      <c r="G826" s="3224">
        <f t="shared" si="29"/>
        <v>16.600000000000001</v>
      </c>
      <c r="H826" s="3224">
        <f t="shared" si="30"/>
        <v>0.44408023116547801</v>
      </c>
      <c r="I826" s="3227"/>
      <c r="J826" s="3305"/>
      <c r="K826" s="3306"/>
      <c r="L826" s="3208"/>
    </row>
    <row r="827" spans="1:12">
      <c r="A827" s="3222">
        <v>788</v>
      </c>
      <c r="B827" s="3223" t="s">
        <v>5958</v>
      </c>
      <c r="C827" s="3223"/>
      <c r="D827" s="3223">
        <v>1293</v>
      </c>
      <c r="E827" s="3223" t="s">
        <v>4786</v>
      </c>
      <c r="F827" s="3223">
        <v>37.39</v>
      </c>
      <c r="G827" s="3224">
        <f t="shared" si="29"/>
        <v>16.600000000000001</v>
      </c>
      <c r="H827" s="3224">
        <f t="shared" si="30"/>
        <v>0.44408023116547801</v>
      </c>
      <c r="I827" s="3227"/>
      <c r="J827" s="3305"/>
      <c r="K827" s="3306"/>
      <c r="L827" s="3208"/>
    </row>
    <row r="828" spans="1:12">
      <c r="A828" s="3222">
        <v>789</v>
      </c>
      <c r="B828" s="3223" t="s">
        <v>5958</v>
      </c>
      <c r="C828" s="3223"/>
      <c r="D828" s="3223">
        <v>1294</v>
      </c>
      <c r="E828" s="3223" t="s">
        <v>4786</v>
      </c>
      <c r="F828" s="3223">
        <v>37.39</v>
      </c>
      <c r="G828" s="3224">
        <f t="shared" si="29"/>
        <v>16.600000000000001</v>
      </c>
      <c r="H828" s="3224">
        <f t="shared" si="30"/>
        <v>0.44408023116547801</v>
      </c>
      <c r="I828" s="3227"/>
      <c r="J828" s="3305"/>
      <c r="K828" s="3306"/>
      <c r="L828" s="3208"/>
    </row>
    <row r="829" spans="1:12">
      <c r="A829" s="3222">
        <v>790</v>
      </c>
      <c r="B829" s="3223" t="s">
        <v>5958</v>
      </c>
      <c r="C829" s="3223"/>
      <c r="D829" s="3223">
        <v>1295</v>
      </c>
      <c r="E829" s="3223" t="s">
        <v>4786</v>
      </c>
      <c r="F829" s="3223">
        <v>37.39</v>
      </c>
      <c r="G829" s="3224">
        <f t="shared" si="29"/>
        <v>16.600000000000001</v>
      </c>
      <c r="H829" s="3224">
        <f t="shared" si="30"/>
        <v>0.44408023116547801</v>
      </c>
      <c r="I829" s="3227"/>
      <c r="J829" s="3305"/>
      <c r="K829" s="3306"/>
      <c r="L829" s="3208"/>
    </row>
    <row r="830" spans="1:12">
      <c r="A830" s="3222">
        <v>791</v>
      </c>
      <c r="B830" s="3223" t="s">
        <v>5958</v>
      </c>
      <c r="C830" s="3223"/>
      <c r="D830" s="3223">
        <v>1296</v>
      </c>
      <c r="E830" s="3223" t="s">
        <v>4786</v>
      </c>
      <c r="F830" s="3223">
        <v>37.39</v>
      </c>
      <c r="G830" s="3224">
        <f t="shared" si="29"/>
        <v>16.600000000000001</v>
      </c>
      <c r="H830" s="3224">
        <f t="shared" si="30"/>
        <v>0.44408023116547801</v>
      </c>
      <c r="I830" s="3227"/>
      <c r="J830" s="3305"/>
      <c r="K830" s="3306"/>
      <c r="L830" s="3208"/>
    </row>
    <row r="831" spans="1:12">
      <c r="A831" s="3222">
        <v>792</v>
      </c>
      <c r="B831" s="3223" t="s">
        <v>5958</v>
      </c>
      <c r="C831" s="3223"/>
      <c r="D831" s="3223">
        <v>1297</v>
      </c>
      <c r="E831" s="3223" t="s">
        <v>4786</v>
      </c>
      <c r="F831" s="3223">
        <v>37.39</v>
      </c>
      <c r="G831" s="3224">
        <f t="shared" si="29"/>
        <v>16.600000000000001</v>
      </c>
      <c r="H831" s="3224">
        <f t="shared" si="30"/>
        <v>0.44408023116547801</v>
      </c>
      <c r="I831" s="3227"/>
      <c r="J831" s="3305"/>
      <c r="K831" s="3306"/>
      <c r="L831" s="3208"/>
    </row>
    <row r="832" spans="1:12">
      <c r="A832" s="3222">
        <v>793</v>
      </c>
      <c r="B832" s="3223" t="s">
        <v>5958</v>
      </c>
      <c r="C832" s="3223"/>
      <c r="D832" s="3223">
        <v>1298</v>
      </c>
      <c r="E832" s="3223" t="s">
        <v>4786</v>
      </c>
      <c r="F832" s="3223">
        <v>37.39</v>
      </c>
      <c r="G832" s="3224">
        <f t="shared" si="29"/>
        <v>16.600000000000001</v>
      </c>
      <c r="H832" s="3224">
        <f t="shared" si="30"/>
        <v>0.44408023116547801</v>
      </c>
      <c r="I832" s="3227"/>
      <c r="J832" s="3305"/>
      <c r="K832" s="3306"/>
      <c r="L832" s="3208"/>
    </row>
    <row r="833" spans="1:12">
      <c r="A833" s="3222">
        <v>794</v>
      </c>
      <c r="B833" s="3223" t="s">
        <v>5958</v>
      </c>
      <c r="C833" s="3223"/>
      <c r="D833" s="3223">
        <v>1299</v>
      </c>
      <c r="E833" s="3223" t="s">
        <v>4786</v>
      </c>
      <c r="F833" s="3223">
        <v>37.39</v>
      </c>
      <c r="G833" s="3224">
        <f t="shared" si="29"/>
        <v>16.600000000000001</v>
      </c>
      <c r="H833" s="3224">
        <f t="shared" si="30"/>
        <v>0.44408023116547801</v>
      </c>
      <c r="I833" s="3227"/>
      <c r="J833" s="3305"/>
      <c r="K833" s="3306"/>
      <c r="L833" s="3208"/>
    </row>
    <row r="834" spans="1:12">
      <c r="A834" s="3222">
        <v>795</v>
      </c>
      <c r="B834" s="3223" t="s">
        <v>5958</v>
      </c>
      <c r="C834" s="3223"/>
      <c r="D834" s="3223">
        <v>1300</v>
      </c>
      <c r="E834" s="3223" t="s">
        <v>4786</v>
      </c>
      <c r="F834" s="3223">
        <v>37.39</v>
      </c>
      <c r="G834" s="3224">
        <f t="shared" si="29"/>
        <v>16.600000000000001</v>
      </c>
      <c r="H834" s="3224">
        <f t="shared" si="30"/>
        <v>0.44408023116547801</v>
      </c>
      <c r="I834" s="3227"/>
      <c r="J834" s="3305"/>
      <c r="K834" s="3306"/>
      <c r="L834" s="3208"/>
    </row>
    <row r="835" spans="1:12">
      <c r="A835" s="3222">
        <v>796</v>
      </c>
      <c r="B835" s="3223" t="s">
        <v>5958</v>
      </c>
      <c r="C835" s="3223"/>
      <c r="D835" s="3223">
        <v>1301</v>
      </c>
      <c r="E835" s="3223" t="s">
        <v>4786</v>
      </c>
      <c r="F835" s="3223">
        <v>37.39</v>
      </c>
      <c r="G835" s="3224">
        <f t="shared" si="29"/>
        <v>16.600000000000001</v>
      </c>
      <c r="H835" s="3224">
        <f t="shared" si="30"/>
        <v>0.44408023116547801</v>
      </c>
      <c r="I835" s="3227"/>
      <c r="J835" s="3305"/>
      <c r="K835" s="3306"/>
      <c r="L835" s="3208"/>
    </row>
    <row r="836" spans="1:12">
      <c r="A836" s="3222">
        <v>797</v>
      </c>
      <c r="B836" s="3223" t="s">
        <v>5958</v>
      </c>
      <c r="C836" s="3223"/>
      <c r="D836" s="3223">
        <v>1302</v>
      </c>
      <c r="E836" s="3223" t="s">
        <v>4786</v>
      </c>
      <c r="F836" s="3223">
        <v>37.39</v>
      </c>
      <c r="G836" s="3224">
        <f t="shared" si="29"/>
        <v>16.600000000000001</v>
      </c>
      <c r="H836" s="3224">
        <f t="shared" si="30"/>
        <v>0.44408023116547801</v>
      </c>
      <c r="I836" s="3227"/>
      <c r="J836" s="3305"/>
      <c r="K836" s="3306"/>
      <c r="L836" s="3208"/>
    </row>
    <row r="837" spans="1:12">
      <c r="A837" s="3222">
        <v>798</v>
      </c>
      <c r="B837" s="3223" t="s">
        <v>5958</v>
      </c>
      <c r="C837" s="3223"/>
      <c r="D837" s="3223">
        <v>1303</v>
      </c>
      <c r="E837" s="3223" t="s">
        <v>4786</v>
      </c>
      <c r="F837" s="3223">
        <v>37.39</v>
      </c>
      <c r="G837" s="3224">
        <f t="shared" si="29"/>
        <v>16.600000000000001</v>
      </c>
      <c r="H837" s="3224">
        <f t="shared" si="30"/>
        <v>0.44408023116547801</v>
      </c>
      <c r="I837" s="3227"/>
      <c r="J837" s="3305"/>
      <c r="K837" s="3306"/>
      <c r="L837" s="3208"/>
    </row>
    <row r="838" spans="1:12">
      <c r="A838" s="3222">
        <v>799</v>
      </c>
      <c r="B838" s="3223" t="s">
        <v>5958</v>
      </c>
      <c r="C838" s="3223"/>
      <c r="D838" s="3223">
        <v>1304</v>
      </c>
      <c r="E838" s="3223" t="s">
        <v>4786</v>
      </c>
      <c r="F838" s="3223">
        <v>55.34</v>
      </c>
      <c r="G838" s="3224">
        <f t="shared" si="29"/>
        <v>24.58</v>
      </c>
      <c r="H838" s="3224">
        <f t="shared" si="30"/>
        <v>0.44408023116547801</v>
      </c>
      <c r="I838" s="3227"/>
      <c r="J838" s="3305"/>
      <c r="K838" s="3306"/>
      <c r="L838" s="3208"/>
    </row>
    <row r="839" spans="1:12">
      <c r="A839" s="3222">
        <v>800</v>
      </c>
      <c r="B839" s="3223" t="s">
        <v>5958</v>
      </c>
      <c r="C839" s="3223"/>
      <c r="D839" s="3223">
        <v>1305</v>
      </c>
      <c r="E839" s="3223" t="s">
        <v>4786</v>
      </c>
      <c r="F839" s="3223">
        <v>37.39</v>
      </c>
      <c r="G839" s="3224">
        <f t="shared" si="29"/>
        <v>16.600000000000001</v>
      </c>
      <c r="H839" s="3224">
        <f t="shared" si="30"/>
        <v>0.44408023116547801</v>
      </c>
      <c r="I839" s="3227"/>
      <c r="J839" s="3305"/>
      <c r="K839" s="3306"/>
      <c r="L839" s="3208"/>
    </row>
    <row r="840" spans="1:12">
      <c r="A840" s="3222">
        <v>801</v>
      </c>
      <c r="B840" s="3223" t="s">
        <v>5958</v>
      </c>
      <c r="C840" s="3223"/>
      <c r="D840" s="3223">
        <v>1306</v>
      </c>
      <c r="E840" s="3223" t="s">
        <v>4786</v>
      </c>
      <c r="F840" s="3223">
        <v>37.39</v>
      </c>
      <c r="G840" s="3224">
        <f t="shared" si="29"/>
        <v>16.600000000000001</v>
      </c>
      <c r="H840" s="3224">
        <f t="shared" si="30"/>
        <v>0.44408023116547801</v>
      </c>
      <c r="I840" s="3227"/>
      <c r="J840" s="3305"/>
      <c r="K840" s="3306"/>
      <c r="L840" s="3208"/>
    </row>
    <row r="841" spans="1:12">
      <c r="A841" s="3222">
        <v>802</v>
      </c>
      <c r="B841" s="3223" t="s">
        <v>5958</v>
      </c>
      <c r="C841" s="3223"/>
      <c r="D841" s="3223">
        <v>1309</v>
      </c>
      <c r="E841" s="3223" t="s">
        <v>4786</v>
      </c>
      <c r="F841" s="3223">
        <v>37.39</v>
      </c>
      <c r="G841" s="3224">
        <f t="shared" si="29"/>
        <v>16.600000000000001</v>
      </c>
      <c r="H841" s="3224">
        <f t="shared" si="30"/>
        <v>0.44408023116547801</v>
      </c>
      <c r="I841" s="3227"/>
      <c r="J841" s="3305"/>
      <c r="K841" s="3306"/>
      <c r="L841" s="3208"/>
    </row>
    <row r="842" spans="1:12">
      <c r="A842" s="3222">
        <v>803</v>
      </c>
      <c r="B842" s="3223" t="s">
        <v>5958</v>
      </c>
      <c r="C842" s="3223"/>
      <c r="D842" s="3223">
        <v>1310</v>
      </c>
      <c r="E842" s="3223" t="s">
        <v>4786</v>
      </c>
      <c r="F842" s="3223">
        <v>37.39</v>
      </c>
      <c r="G842" s="3224">
        <f t="shared" si="29"/>
        <v>16.600000000000001</v>
      </c>
      <c r="H842" s="3224">
        <f t="shared" si="30"/>
        <v>0.44408023116547801</v>
      </c>
      <c r="I842" s="3227"/>
      <c r="J842" s="3305"/>
      <c r="K842" s="3306"/>
      <c r="L842" s="3208"/>
    </row>
    <row r="843" spans="1:12">
      <c r="A843" s="3222">
        <v>804</v>
      </c>
      <c r="B843" s="3223" t="s">
        <v>5958</v>
      </c>
      <c r="C843" s="3223"/>
      <c r="D843" s="3223">
        <v>1311</v>
      </c>
      <c r="E843" s="3223" t="s">
        <v>4786</v>
      </c>
      <c r="F843" s="3223">
        <v>37.39</v>
      </c>
      <c r="G843" s="3224">
        <f t="shared" si="29"/>
        <v>16.600000000000001</v>
      </c>
      <c r="H843" s="3224">
        <f t="shared" si="30"/>
        <v>0.44408023116547801</v>
      </c>
      <c r="I843" s="3227"/>
      <c r="J843" s="3305"/>
      <c r="K843" s="3306"/>
      <c r="L843" s="3208"/>
    </row>
    <row r="844" spans="1:12">
      <c r="A844" s="3222">
        <v>805</v>
      </c>
      <c r="B844" s="3223" t="s">
        <v>5958</v>
      </c>
      <c r="C844" s="3223"/>
      <c r="D844" s="3223">
        <v>1312</v>
      </c>
      <c r="E844" s="3223" t="s">
        <v>4786</v>
      </c>
      <c r="F844" s="3223">
        <v>37.39</v>
      </c>
      <c r="G844" s="3224">
        <f t="shared" si="29"/>
        <v>16.600000000000001</v>
      </c>
      <c r="H844" s="3224">
        <f t="shared" si="30"/>
        <v>0.44408023116547801</v>
      </c>
      <c r="I844" s="3227"/>
      <c r="J844" s="3305"/>
      <c r="K844" s="3306"/>
      <c r="L844" s="3208"/>
    </row>
    <row r="845" spans="1:12">
      <c r="A845" s="3222">
        <v>806</v>
      </c>
      <c r="B845" s="3223" t="s">
        <v>5958</v>
      </c>
      <c r="C845" s="3223"/>
      <c r="D845" s="3223">
        <v>1313</v>
      </c>
      <c r="E845" s="3223" t="s">
        <v>4786</v>
      </c>
      <c r="F845" s="3223">
        <v>37.39</v>
      </c>
      <c r="G845" s="3224">
        <f t="shared" si="29"/>
        <v>16.600000000000001</v>
      </c>
      <c r="H845" s="3224">
        <f t="shared" si="30"/>
        <v>0.44408023116547801</v>
      </c>
      <c r="I845" s="3227"/>
      <c r="J845" s="3305"/>
      <c r="K845" s="3306"/>
      <c r="L845" s="3208"/>
    </row>
    <row r="846" spans="1:12">
      <c r="A846" s="3222">
        <v>807</v>
      </c>
      <c r="B846" s="3223" t="s">
        <v>5958</v>
      </c>
      <c r="C846" s="3223"/>
      <c r="D846" s="3223">
        <v>1315</v>
      </c>
      <c r="E846" s="3223" t="s">
        <v>4786</v>
      </c>
      <c r="F846" s="3223">
        <v>37.39</v>
      </c>
      <c r="G846" s="3224">
        <f t="shared" si="29"/>
        <v>16.600000000000001</v>
      </c>
      <c r="H846" s="3224">
        <f t="shared" si="30"/>
        <v>0.44408023116547801</v>
      </c>
      <c r="I846" s="3227"/>
      <c r="J846" s="3305"/>
      <c r="K846" s="3306"/>
      <c r="L846" s="3208"/>
    </row>
    <row r="847" spans="1:12">
      <c r="A847" s="3222">
        <v>808</v>
      </c>
      <c r="B847" s="3223" t="s">
        <v>5958</v>
      </c>
      <c r="C847" s="3223"/>
      <c r="D847" s="3223">
        <v>1316</v>
      </c>
      <c r="E847" s="3223" t="s">
        <v>4786</v>
      </c>
      <c r="F847" s="3223">
        <v>37.39</v>
      </c>
      <c r="G847" s="3224">
        <f t="shared" si="29"/>
        <v>16.600000000000001</v>
      </c>
      <c r="H847" s="3224">
        <f t="shared" si="30"/>
        <v>0.44408023116547801</v>
      </c>
      <c r="I847" s="3227"/>
      <c r="J847" s="3305"/>
      <c r="K847" s="3306"/>
      <c r="L847" s="3208"/>
    </row>
    <row r="848" spans="1:12">
      <c r="A848" s="3222">
        <v>809</v>
      </c>
      <c r="B848" s="3223" t="s">
        <v>5958</v>
      </c>
      <c r="C848" s="3223"/>
      <c r="D848" s="3223">
        <v>1317</v>
      </c>
      <c r="E848" s="3223" t="s">
        <v>4786</v>
      </c>
      <c r="F848" s="3223">
        <v>37.39</v>
      </c>
      <c r="G848" s="3224">
        <f t="shared" si="29"/>
        <v>16.600000000000001</v>
      </c>
      <c r="H848" s="3224">
        <f t="shared" si="30"/>
        <v>0.44408023116547801</v>
      </c>
      <c r="I848" s="3227"/>
      <c r="J848" s="3305"/>
      <c r="K848" s="3306"/>
      <c r="L848" s="3208"/>
    </row>
    <row r="849" spans="1:12">
      <c r="A849" s="3222">
        <v>810</v>
      </c>
      <c r="B849" s="3223" t="s">
        <v>5958</v>
      </c>
      <c r="C849" s="3223"/>
      <c r="D849" s="3223">
        <v>1318</v>
      </c>
      <c r="E849" s="3223" t="s">
        <v>4786</v>
      </c>
      <c r="F849" s="3223">
        <v>37.39</v>
      </c>
      <c r="G849" s="3224">
        <f t="shared" si="29"/>
        <v>16.600000000000001</v>
      </c>
      <c r="H849" s="3224">
        <f t="shared" si="30"/>
        <v>0.44408023116547801</v>
      </c>
      <c r="I849" s="3227"/>
      <c r="J849" s="3305"/>
      <c r="K849" s="3306"/>
      <c r="L849" s="3208"/>
    </row>
    <row r="850" spans="1:12">
      <c r="A850" s="3222">
        <v>811</v>
      </c>
      <c r="B850" s="3223" t="s">
        <v>5958</v>
      </c>
      <c r="C850" s="3223"/>
      <c r="D850" s="3223">
        <v>1319</v>
      </c>
      <c r="E850" s="3223" t="s">
        <v>4786</v>
      </c>
      <c r="F850" s="3223">
        <v>37.39</v>
      </c>
      <c r="G850" s="3224">
        <f t="shared" si="29"/>
        <v>16.600000000000001</v>
      </c>
      <c r="H850" s="3224">
        <f t="shared" si="30"/>
        <v>0.44408023116547801</v>
      </c>
      <c r="I850" s="3227"/>
      <c r="J850" s="3305"/>
      <c r="K850" s="3306"/>
      <c r="L850" s="3208"/>
    </row>
    <row r="851" spans="1:12">
      <c r="A851" s="3222">
        <v>812</v>
      </c>
      <c r="B851" s="3223" t="s">
        <v>5958</v>
      </c>
      <c r="C851" s="3223"/>
      <c r="D851" s="3223">
        <v>1320</v>
      </c>
      <c r="E851" s="3223" t="s">
        <v>4786</v>
      </c>
      <c r="F851" s="3223">
        <v>37.39</v>
      </c>
      <c r="G851" s="3224">
        <f t="shared" si="29"/>
        <v>16.600000000000001</v>
      </c>
      <c r="H851" s="3224">
        <f t="shared" si="30"/>
        <v>0.44408023116547801</v>
      </c>
      <c r="I851" s="3227"/>
      <c r="J851" s="3305"/>
      <c r="K851" s="3306"/>
      <c r="L851" s="3208"/>
    </row>
    <row r="852" spans="1:12">
      <c r="A852" s="3222">
        <v>813</v>
      </c>
      <c r="B852" s="3223" t="s">
        <v>5958</v>
      </c>
      <c r="C852" s="3223"/>
      <c r="D852" s="3223">
        <v>1321</v>
      </c>
      <c r="E852" s="3223" t="s">
        <v>4786</v>
      </c>
      <c r="F852" s="3223">
        <v>37.39</v>
      </c>
      <c r="G852" s="3224">
        <f t="shared" si="29"/>
        <v>16.600000000000001</v>
      </c>
      <c r="H852" s="3224">
        <f t="shared" si="30"/>
        <v>0.44408023116547801</v>
      </c>
      <c r="I852" s="3227"/>
      <c r="J852" s="3305"/>
      <c r="K852" s="3306"/>
      <c r="L852" s="3208"/>
    </row>
    <row r="853" spans="1:12">
      <c r="A853" s="3222">
        <v>814</v>
      </c>
      <c r="B853" s="3223" t="s">
        <v>5958</v>
      </c>
      <c r="C853" s="3223"/>
      <c r="D853" s="3223">
        <v>1322</v>
      </c>
      <c r="E853" s="3223" t="s">
        <v>4786</v>
      </c>
      <c r="F853" s="3223">
        <v>37.39</v>
      </c>
      <c r="G853" s="3224">
        <f t="shared" si="29"/>
        <v>16.600000000000001</v>
      </c>
      <c r="H853" s="3224">
        <f t="shared" si="30"/>
        <v>0.44408023116547801</v>
      </c>
      <c r="I853" s="3227"/>
      <c r="J853" s="3305"/>
      <c r="K853" s="3306"/>
      <c r="L853" s="3208"/>
    </row>
    <row r="854" spans="1:12">
      <c r="A854" s="3222">
        <v>815</v>
      </c>
      <c r="B854" s="3223" t="s">
        <v>5958</v>
      </c>
      <c r="C854" s="3223"/>
      <c r="D854" s="3223">
        <v>1323</v>
      </c>
      <c r="E854" s="3223" t="s">
        <v>4786</v>
      </c>
      <c r="F854" s="3223">
        <v>37.39</v>
      </c>
      <c r="G854" s="3224">
        <f t="shared" si="29"/>
        <v>16.600000000000001</v>
      </c>
      <c r="H854" s="3224">
        <f t="shared" si="30"/>
        <v>0.44408023116547801</v>
      </c>
      <c r="I854" s="3227"/>
      <c r="J854" s="3305"/>
      <c r="K854" s="3306"/>
      <c r="L854" s="3208"/>
    </row>
    <row r="855" spans="1:12">
      <c r="A855" s="3222">
        <v>816</v>
      </c>
      <c r="B855" s="3223" t="s">
        <v>5958</v>
      </c>
      <c r="C855" s="3223"/>
      <c r="D855" s="3223">
        <v>1324</v>
      </c>
      <c r="E855" s="3223" t="s">
        <v>4786</v>
      </c>
      <c r="F855" s="3223">
        <v>37.39</v>
      </c>
      <c r="G855" s="3224">
        <f t="shared" si="29"/>
        <v>16.600000000000001</v>
      </c>
      <c r="H855" s="3224">
        <f t="shared" si="30"/>
        <v>0.44408023116547801</v>
      </c>
      <c r="I855" s="3227"/>
      <c r="J855" s="3305"/>
      <c r="K855" s="3306"/>
      <c r="L855" s="3208"/>
    </row>
    <row r="856" spans="1:12">
      <c r="A856" s="3222">
        <v>817</v>
      </c>
      <c r="B856" s="3223" t="s">
        <v>5958</v>
      </c>
      <c r="C856" s="3223"/>
      <c r="D856" s="3223">
        <v>1325</v>
      </c>
      <c r="E856" s="3223" t="s">
        <v>4786</v>
      </c>
      <c r="F856" s="3223">
        <v>37.39</v>
      </c>
      <c r="G856" s="3224">
        <f t="shared" si="29"/>
        <v>16.600000000000001</v>
      </c>
      <c r="H856" s="3224">
        <f t="shared" si="30"/>
        <v>0.44408023116547801</v>
      </c>
      <c r="I856" s="3227"/>
      <c r="J856" s="3305"/>
      <c r="K856" s="3306"/>
      <c r="L856" s="3208"/>
    </row>
    <row r="857" spans="1:12">
      <c r="A857" s="3222">
        <v>818</v>
      </c>
      <c r="B857" s="3223" t="s">
        <v>5958</v>
      </c>
      <c r="C857" s="3223"/>
      <c r="D857" s="3223">
        <v>1326</v>
      </c>
      <c r="E857" s="3223" t="s">
        <v>4786</v>
      </c>
      <c r="F857" s="3223">
        <v>37.39</v>
      </c>
      <c r="G857" s="3224">
        <f t="shared" si="29"/>
        <v>16.600000000000001</v>
      </c>
      <c r="H857" s="3224">
        <f t="shared" si="30"/>
        <v>0.44408023116547801</v>
      </c>
      <c r="I857" s="3227"/>
      <c r="J857" s="3305"/>
      <c r="K857" s="3306"/>
      <c r="L857" s="3208"/>
    </row>
    <row r="858" spans="1:12">
      <c r="A858" s="3222">
        <v>819</v>
      </c>
      <c r="B858" s="3223" t="s">
        <v>5958</v>
      </c>
      <c r="C858" s="3223"/>
      <c r="D858" s="3223">
        <v>1327</v>
      </c>
      <c r="E858" s="3223" t="s">
        <v>4786</v>
      </c>
      <c r="F858" s="3223">
        <v>37.39</v>
      </c>
      <c r="G858" s="3224">
        <f t="shared" si="29"/>
        <v>16.600000000000001</v>
      </c>
      <c r="H858" s="3224">
        <f t="shared" si="30"/>
        <v>0.44408023116547801</v>
      </c>
      <c r="I858" s="3227"/>
      <c r="J858" s="3305"/>
      <c r="K858" s="3306"/>
      <c r="L858" s="3208"/>
    </row>
    <row r="859" spans="1:12">
      <c r="A859" s="3222">
        <v>820</v>
      </c>
      <c r="B859" s="3223" t="s">
        <v>5958</v>
      </c>
      <c r="C859" s="3223"/>
      <c r="D859" s="3223">
        <v>1329</v>
      </c>
      <c r="E859" s="3223" t="s">
        <v>4786</v>
      </c>
      <c r="F859" s="3223">
        <v>37.39</v>
      </c>
      <c r="G859" s="3224">
        <f t="shared" si="29"/>
        <v>16.600000000000001</v>
      </c>
      <c r="H859" s="3224">
        <f t="shared" si="30"/>
        <v>0.44408023116547801</v>
      </c>
      <c r="I859" s="3227"/>
      <c r="J859" s="3305"/>
      <c r="K859" s="3306"/>
      <c r="L859" s="3208"/>
    </row>
    <row r="860" spans="1:12">
      <c r="A860" s="3222">
        <v>821</v>
      </c>
      <c r="B860" s="3223" t="s">
        <v>5958</v>
      </c>
      <c r="C860" s="3223"/>
      <c r="D860" s="3223">
        <v>1335</v>
      </c>
      <c r="E860" s="3223" t="s">
        <v>4786</v>
      </c>
      <c r="F860" s="3223">
        <v>37.39</v>
      </c>
      <c r="G860" s="3224">
        <f t="shared" si="29"/>
        <v>16.600000000000001</v>
      </c>
      <c r="H860" s="3224">
        <f t="shared" si="30"/>
        <v>0.44408023116547801</v>
      </c>
      <c r="I860" s="3227"/>
      <c r="J860" s="3305"/>
      <c r="K860" s="3306"/>
      <c r="L860" s="3208"/>
    </row>
    <row r="861" spans="1:12">
      <c r="A861" s="3222">
        <v>822</v>
      </c>
      <c r="B861" s="3223" t="s">
        <v>5958</v>
      </c>
      <c r="C861" s="3223"/>
      <c r="D861" s="3223">
        <v>1336</v>
      </c>
      <c r="E861" s="3223" t="s">
        <v>4786</v>
      </c>
      <c r="F861" s="3223">
        <v>37.39</v>
      </c>
      <c r="G861" s="3224">
        <f t="shared" si="29"/>
        <v>16.600000000000001</v>
      </c>
      <c r="H861" s="3224">
        <f t="shared" si="30"/>
        <v>0.44408023116547801</v>
      </c>
      <c r="I861" s="3227"/>
      <c r="J861" s="3305"/>
      <c r="K861" s="3306"/>
      <c r="L861" s="3208"/>
    </row>
    <row r="862" spans="1:12">
      <c r="A862" s="3222">
        <v>823</v>
      </c>
      <c r="B862" s="3223" t="s">
        <v>5958</v>
      </c>
      <c r="C862" s="3223"/>
      <c r="D862" s="3223">
        <v>1339</v>
      </c>
      <c r="E862" s="3223" t="s">
        <v>4786</v>
      </c>
      <c r="F862" s="3223">
        <v>37.39</v>
      </c>
      <c r="G862" s="3224">
        <f t="shared" si="29"/>
        <v>16.600000000000001</v>
      </c>
      <c r="H862" s="3224">
        <f t="shared" si="30"/>
        <v>0.44408023116547801</v>
      </c>
      <c r="I862" s="3227"/>
      <c r="J862" s="3305"/>
      <c r="K862" s="3306"/>
      <c r="L862" s="3208"/>
    </row>
    <row r="863" spans="1:12">
      <c r="A863" s="3222">
        <v>824</v>
      </c>
      <c r="B863" s="3223" t="s">
        <v>5958</v>
      </c>
      <c r="C863" s="3223"/>
      <c r="D863" s="3223">
        <v>1340</v>
      </c>
      <c r="E863" s="3223" t="s">
        <v>4786</v>
      </c>
      <c r="F863" s="3223">
        <v>37.39</v>
      </c>
      <c r="G863" s="3224">
        <f t="shared" si="29"/>
        <v>16.600000000000001</v>
      </c>
      <c r="H863" s="3224">
        <f t="shared" si="30"/>
        <v>0.44408023116547801</v>
      </c>
      <c r="I863" s="3227"/>
      <c r="J863" s="3305"/>
      <c r="K863" s="3306"/>
      <c r="L863" s="3208"/>
    </row>
    <row r="864" spans="1:12">
      <c r="A864" s="3222">
        <v>825</v>
      </c>
      <c r="B864" s="3223" t="s">
        <v>5958</v>
      </c>
      <c r="C864" s="3223"/>
      <c r="D864" s="3223">
        <v>1341</v>
      </c>
      <c r="E864" s="3223" t="s">
        <v>4786</v>
      </c>
      <c r="F864" s="3223">
        <v>37.39</v>
      </c>
      <c r="G864" s="3224">
        <f t="shared" si="29"/>
        <v>16.600000000000001</v>
      </c>
      <c r="H864" s="3224">
        <f t="shared" si="30"/>
        <v>0.44408023116547801</v>
      </c>
      <c r="I864" s="3227"/>
      <c r="J864" s="3305"/>
      <c r="K864" s="3306"/>
      <c r="L864" s="3208"/>
    </row>
    <row r="865" spans="1:12">
      <c r="A865" s="3222">
        <v>826</v>
      </c>
      <c r="B865" s="3223" t="s">
        <v>5958</v>
      </c>
      <c r="C865" s="3223"/>
      <c r="D865" s="3223">
        <v>1342</v>
      </c>
      <c r="E865" s="3223" t="s">
        <v>4786</v>
      </c>
      <c r="F865" s="3223">
        <v>37.39</v>
      </c>
      <c r="G865" s="3224">
        <f t="shared" si="29"/>
        <v>16.600000000000001</v>
      </c>
      <c r="H865" s="3224">
        <f t="shared" si="30"/>
        <v>0.44408023116547801</v>
      </c>
      <c r="I865" s="3227"/>
      <c r="J865" s="3305"/>
      <c r="K865" s="3306"/>
      <c r="L865" s="3208"/>
    </row>
    <row r="866" spans="1:12">
      <c r="A866" s="3222">
        <v>827</v>
      </c>
      <c r="B866" s="3223" t="s">
        <v>5958</v>
      </c>
      <c r="C866" s="3223"/>
      <c r="D866" s="3223">
        <v>1343</v>
      </c>
      <c r="E866" s="3223" t="s">
        <v>4786</v>
      </c>
      <c r="F866" s="3223">
        <v>37.39</v>
      </c>
      <c r="G866" s="3224">
        <f t="shared" si="29"/>
        <v>16.600000000000001</v>
      </c>
      <c r="H866" s="3224">
        <f t="shared" si="30"/>
        <v>0.44408023116547801</v>
      </c>
      <c r="I866" s="3227"/>
      <c r="J866" s="3305"/>
      <c r="K866" s="3306"/>
      <c r="L866" s="3208"/>
    </row>
    <row r="867" spans="1:12">
      <c r="A867" s="3222">
        <v>828</v>
      </c>
      <c r="B867" s="3223" t="s">
        <v>5958</v>
      </c>
      <c r="C867" s="3223"/>
      <c r="D867" s="3223">
        <v>1344</v>
      </c>
      <c r="E867" s="3223" t="s">
        <v>4786</v>
      </c>
      <c r="F867" s="3223">
        <v>37.39</v>
      </c>
      <c r="G867" s="3224">
        <f t="shared" si="29"/>
        <v>16.600000000000001</v>
      </c>
      <c r="H867" s="3224">
        <f t="shared" si="30"/>
        <v>0.44408023116547801</v>
      </c>
      <c r="I867" s="3227"/>
      <c r="J867" s="3305"/>
      <c r="K867" s="3306"/>
      <c r="L867" s="3208"/>
    </row>
    <row r="868" spans="1:12">
      <c r="A868" s="3222">
        <v>829</v>
      </c>
      <c r="B868" s="3223" t="s">
        <v>5958</v>
      </c>
      <c r="C868" s="3223"/>
      <c r="D868" s="3223">
        <v>1345</v>
      </c>
      <c r="E868" s="3223" t="s">
        <v>4786</v>
      </c>
      <c r="F868" s="3223">
        <v>37.39</v>
      </c>
      <c r="G868" s="3224">
        <f t="shared" si="29"/>
        <v>16.600000000000001</v>
      </c>
      <c r="H868" s="3224">
        <f t="shared" si="30"/>
        <v>0.44408023116547801</v>
      </c>
      <c r="I868" s="3227"/>
      <c r="J868" s="3305"/>
      <c r="K868" s="3306"/>
      <c r="L868" s="3208"/>
    </row>
    <row r="869" spans="1:12">
      <c r="A869" s="3222">
        <v>830</v>
      </c>
      <c r="B869" s="3223" t="s">
        <v>5958</v>
      </c>
      <c r="C869" s="3223"/>
      <c r="D869" s="3223">
        <v>1346</v>
      </c>
      <c r="E869" s="3223" t="s">
        <v>4786</v>
      </c>
      <c r="F869" s="3223">
        <v>37.39</v>
      </c>
      <c r="G869" s="3224">
        <f t="shared" si="29"/>
        <v>16.600000000000001</v>
      </c>
      <c r="H869" s="3224">
        <f t="shared" si="30"/>
        <v>0.44408023116547801</v>
      </c>
      <c r="I869" s="3227"/>
      <c r="J869" s="3305"/>
      <c r="K869" s="3306"/>
      <c r="L869" s="3208"/>
    </row>
    <row r="870" spans="1:12">
      <c r="A870" s="3222">
        <v>831</v>
      </c>
      <c r="B870" s="3223" t="s">
        <v>5958</v>
      </c>
      <c r="C870" s="3223"/>
      <c r="D870" s="3223">
        <v>1347</v>
      </c>
      <c r="E870" s="3223" t="s">
        <v>4786</v>
      </c>
      <c r="F870" s="3223">
        <v>37.39</v>
      </c>
      <c r="G870" s="3224">
        <f t="shared" si="29"/>
        <v>16.600000000000001</v>
      </c>
      <c r="H870" s="3224">
        <f t="shared" si="30"/>
        <v>0.44408023116547801</v>
      </c>
      <c r="I870" s="3227"/>
      <c r="J870" s="3305"/>
      <c r="K870" s="3306"/>
      <c r="L870" s="3208"/>
    </row>
    <row r="871" spans="1:12">
      <c r="A871" s="3222">
        <v>832</v>
      </c>
      <c r="B871" s="3223" t="s">
        <v>5958</v>
      </c>
      <c r="C871" s="3223"/>
      <c r="D871" s="3223">
        <v>1348</v>
      </c>
      <c r="E871" s="3223" t="s">
        <v>4786</v>
      </c>
      <c r="F871" s="3223">
        <v>37.39</v>
      </c>
      <c r="G871" s="3224">
        <f t="shared" si="29"/>
        <v>16.600000000000001</v>
      </c>
      <c r="H871" s="3224">
        <f t="shared" si="30"/>
        <v>0.44408023116547801</v>
      </c>
      <c r="I871" s="3227"/>
      <c r="J871" s="3305"/>
      <c r="K871" s="3306"/>
      <c r="L871" s="3208"/>
    </row>
    <row r="872" spans="1:12">
      <c r="A872" s="3222">
        <v>833</v>
      </c>
      <c r="B872" s="3223" t="s">
        <v>5958</v>
      </c>
      <c r="C872" s="3223"/>
      <c r="D872" s="3223">
        <v>1349</v>
      </c>
      <c r="E872" s="3223" t="s">
        <v>4786</v>
      </c>
      <c r="F872" s="3223">
        <v>37.39</v>
      </c>
      <c r="G872" s="3224">
        <f t="shared" si="29"/>
        <v>16.600000000000001</v>
      </c>
      <c r="H872" s="3224">
        <f t="shared" si="30"/>
        <v>0.44408023116547801</v>
      </c>
      <c r="I872" s="3227"/>
      <c r="J872" s="3305"/>
      <c r="K872" s="3306"/>
      <c r="L872" s="3208"/>
    </row>
    <row r="873" spans="1:12">
      <c r="A873" s="3222">
        <v>834</v>
      </c>
      <c r="B873" s="3223" t="s">
        <v>5958</v>
      </c>
      <c r="C873" s="3223"/>
      <c r="D873" s="3223">
        <v>1350</v>
      </c>
      <c r="E873" s="3223" t="s">
        <v>4786</v>
      </c>
      <c r="F873" s="3223">
        <v>37.39</v>
      </c>
      <c r="G873" s="3224">
        <f t="shared" ref="G873:G936" si="31">ROUND(F873*H873,2)</f>
        <v>16.600000000000001</v>
      </c>
      <c r="H873" s="3224">
        <f t="shared" si="30"/>
        <v>0.44408023116547801</v>
      </c>
      <c r="I873" s="3227"/>
      <c r="J873" s="3305"/>
      <c r="K873" s="3306"/>
      <c r="L873" s="3208"/>
    </row>
    <row r="874" spans="1:12">
      <c r="A874" s="3222">
        <v>835</v>
      </c>
      <c r="B874" s="3223" t="s">
        <v>5958</v>
      </c>
      <c r="C874" s="3223"/>
      <c r="D874" s="3223">
        <v>1351</v>
      </c>
      <c r="E874" s="3223" t="s">
        <v>4786</v>
      </c>
      <c r="F874" s="3223">
        <v>37.39</v>
      </c>
      <c r="G874" s="3224">
        <f t="shared" si="31"/>
        <v>16.600000000000001</v>
      </c>
      <c r="H874" s="3224">
        <f t="shared" si="30"/>
        <v>0.44408023116547801</v>
      </c>
      <c r="I874" s="3227"/>
      <c r="J874" s="3305"/>
      <c r="K874" s="3306"/>
      <c r="L874" s="3208"/>
    </row>
    <row r="875" spans="1:12">
      <c r="A875" s="3222">
        <v>836</v>
      </c>
      <c r="B875" s="3223" t="s">
        <v>5958</v>
      </c>
      <c r="C875" s="3223"/>
      <c r="D875" s="3223">
        <v>1352</v>
      </c>
      <c r="E875" s="3223" t="s">
        <v>4786</v>
      </c>
      <c r="F875" s="3223">
        <v>37.39</v>
      </c>
      <c r="G875" s="3224">
        <f t="shared" si="31"/>
        <v>16.600000000000001</v>
      </c>
      <c r="H875" s="3224">
        <f t="shared" si="30"/>
        <v>0.44408023116547801</v>
      </c>
      <c r="I875" s="3227"/>
      <c r="J875" s="3305"/>
      <c r="K875" s="3306"/>
      <c r="L875" s="3208"/>
    </row>
    <row r="876" spans="1:12">
      <c r="A876" s="3222">
        <v>837</v>
      </c>
      <c r="B876" s="3223" t="s">
        <v>5958</v>
      </c>
      <c r="C876" s="3223"/>
      <c r="D876" s="3223">
        <v>1353</v>
      </c>
      <c r="E876" s="3223" t="s">
        <v>4786</v>
      </c>
      <c r="F876" s="3223">
        <v>37.39</v>
      </c>
      <c r="G876" s="3224">
        <f t="shared" si="31"/>
        <v>16.600000000000001</v>
      </c>
      <c r="H876" s="3224">
        <f t="shared" si="30"/>
        <v>0.44408023116547801</v>
      </c>
      <c r="I876" s="3227"/>
      <c r="J876" s="3305"/>
      <c r="K876" s="3306"/>
      <c r="L876" s="3208"/>
    </row>
    <row r="877" spans="1:12">
      <c r="A877" s="3222">
        <v>838</v>
      </c>
      <c r="B877" s="3223" t="s">
        <v>5958</v>
      </c>
      <c r="C877" s="3223"/>
      <c r="D877" s="3223">
        <v>1354</v>
      </c>
      <c r="E877" s="3223" t="s">
        <v>4786</v>
      </c>
      <c r="F877" s="3223">
        <v>37.39</v>
      </c>
      <c r="G877" s="3224">
        <f t="shared" si="31"/>
        <v>16.600000000000001</v>
      </c>
      <c r="H877" s="3224">
        <f t="shared" si="30"/>
        <v>0.44408023116547801</v>
      </c>
      <c r="I877" s="3227"/>
      <c r="J877" s="3305"/>
      <c r="K877" s="3306"/>
      <c r="L877" s="3208"/>
    </row>
    <row r="878" spans="1:12">
      <c r="A878" s="3222">
        <v>839</v>
      </c>
      <c r="B878" s="3223" t="s">
        <v>5958</v>
      </c>
      <c r="C878" s="3223"/>
      <c r="D878" s="3223">
        <v>1355</v>
      </c>
      <c r="E878" s="3223" t="s">
        <v>4786</v>
      </c>
      <c r="F878" s="3223">
        <v>37.39</v>
      </c>
      <c r="G878" s="3224">
        <f t="shared" si="31"/>
        <v>16.600000000000001</v>
      </c>
      <c r="H878" s="3224">
        <f t="shared" si="30"/>
        <v>0.44408023116547801</v>
      </c>
      <c r="I878" s="3227"/>
      <c r="J878" s="3305"/>
      <c r="K878" s="3306"/>
      <c r="L878" s="3208"/>
    </row>
    <row r="879" spans="1:12">
      <c r="A879" s="3222">
        <v>840</v>
      </c>
      <c r="B879" s="3223" t="s">
        <v>5958</v>
      </c>
      <c r="C879" s="3223"/>
      <c r="D879" s="3223">
        <v>1361</v>
      </c>
      <c r="E879" s="3223" t="s">
        <v>4786</v>
      </c>
      <c r="F879" s="3223">
        <v>37.39</v>
      </c>
      <c r="G879" s="3224">
        <f t="shared" si="31"/>
        <v>16.600000000000001</v>
      </c>
      <c r="H879" s="3224">
        <f t="shared" si="30"/>
        <v>0.44408023116547801</v>
      </c>
      <c r="I879" s="3227"/>
      <c r="J879" s="3305"/>
      <c r="K879" s="3306"/>
      <c r="L879" s="3208"/>
    </row>
    <row r="880" spans="1:12">
      <c r="A880" s="3222">
        <v>841</v>
      </c>
      <c r="B880" s="3223" t="s">
        <v>5958</v>
      </c>
      <c r="C880" s="3223"/>
      <c r="D880" s="3223">
        <v>1362</v>
      </c>
      <c r="E880" s="3223" t="s">
        <v>4786</v>
      </c>
      <c r="F880" s="3223">
        <v>37.39</v>
      </c>
      <c r="G880" s="3224">
        <f t="shared" si="31"/>
        <v>16.600000000000001</v>
      </c>
      <c r="H880" s="3224">
        <f t="shared" si="30"/>
        <v>0.44408023116547801</v>
      </c>
      <c r="I880" s="3227"/>
      <c r="J880" s="3305"/>
      <c r="K880" s="3306"/>
      <c r="L880" s="3208"/>
    </row>
    <row r="881" spans="1:12">
      <c r="A881" s="3222">
        <v>842</v>
      </c>
      <c r="B881" s="3223" t="s">
        <v>5958</v>
      </c>
      <c r="C881" s="3223"/>
      <c r="D881" s="3223">
        <v>1378</v>
      </c>
      <c r="E881" s="3223" t="s">
        <v>4786</v>
      </c>
      <c r="F881" s="3223">
        <v>37.39</v>
      </c>
      <c r="G881" s="3224">
        <f t="shared" si="31"/>
        <v>16.600000000000001</v>
      </c>
      <c r="H881" s="3224">
        <f t="shared" si="30"/>
        <v>0.44408023116547801</v>
      </c>
      <c r="I881" s="3227"/>
      <c r="J881" s="3305"/>
      <c r="K881" s="3306"/>
      <c r="L881" s="3208"/>
    </row>
    <row r="882" spans="1:12">
      <c r="A882" s="3222">
        <v>843</v>
      </c>
      <c r="B882" s="3223" t="s">
        <v>5958</v>
      </c>
      <c r="C882" s="3223"/>
      <c r="D882" s="3223">
        <v>1379</v>
      </c>
      <c r="E882" s="3223" t="s">
        <v>4786</v>
      </c>
      <c r="F882" s="3223">
        <v>37.39</v>
      </c>
      <c r="G882" s="3224">
        <f t="shared" si="31"/>
        <v>16.600000000000001</v>
      </c>
      <c r="H882" s="3224">
        <f t="shared" si="30"/>
        <v>0.44408023116547801</v>
      </c>
      <c r="I882" s="3227"/>
      <c r="J882" s="3305"/>
      <c r="K882" s="3306"/>
      <c r="L882" s="3208"/>
    </row>
    <row r="883" spans="1:12">
      <c r="A883" s="3222">
        <v>844</v>
      </c>
      <c r="B883" s="3223" t="s">
        <v>5958</v>
      </c>
      <c r="C883" s="3223"/>
      <c r="D883" s="3223">
        <v>1380</v>
      </c>
      <c r="E883" s="3223" t="s">
        <v>4786</v>
      </c>
      <c r="F883" s="3223">
        <v>37.39</v>
      </c>
      <c r="G883" s="3224">
        <f t="shared" si="31"/>
        <v>16.600000000000001</v>
      </c>
      <c r="H883" s="3224">
        <f t="shared" si="30"/>
        <v>0.44408023116547801</v>
      </c>
      <c r="I883" s="3227"/>
      <c r="J883" s="3305"/>
      <c r="K883" s="3306"/>
      <c r="L883" s="3208"/>
    </row>
    <row r="884" spans="1:12">
      <c r="A884" s="3222">
        <v>845</v>
      </c>
      <c r="B884" s="3223" t="s">
        <v>5958</v>
      </c>
      <c r="C884" s="3223"/>
      <c r="D884" s="3223">
        <v>1381</v>
      </c>
      <c r="E884" s="3223" t="s">
        <v>4786</v>
      </c>
      <c r="F884" s="3223">
        <v>37.39</v>
      </c>
      <c r="G884" s="3224">
        <f t="shared" si="31"/>
        <v>16.600000000000001</v>
      </c>
      <c r="H884" s="3224">
        <f t="shared" si="30"/>
        <v>0.44408023116547801</v>
      </c>
      <c r="I884" s="3227"/>
      <c r="J884" s="3305"/>
      <c r="K884" s="3306"/>
      <c r="L884" s="3208"/>
    </row>
    <row r="885" spans="1:12">
      <c r="A885" s="3222">
        <v>846</v>
      </c>
      <c r="B885" s="3223" t="s">
        <v>5958</v>
      </c>
      <c r="C885" s="3223"/>
      <c r="D885" s="3223">
        <v>1382</v>
      </c>
      <c r="E885" s="3223" t="s">
        <v>4786</v>
      </c>
      <c r="F885" s="3223">
        <v>37.39</v>
      </c>
      <c r="G885" s="3224">
        <f t="shared" si="31"/>
        <v>16.600000000000001</v>
      </c>
      <c r="H885" s="3224">
        <f t="shared" ref="H885:H948" si="32">H884</f>
        <v>0.44408023116547801</v>
      </c>
      <c r="I885" s="3227"/>
      <c r="J885" s="3305"/>
      <c r="K885" s="3306"/>
      <c r="L885" s="3208"/>
    </row>
    <row r="886" spans="1:12">
      <c r="A886" s="3222">
        <v>847</v>
      </c>
      <c r="B886" s="3223" t="s">
        <v>5958</v>
      </c>
      <c r="C886" s="3223"/>
      <c r="D886" s="3223">
        <v>1385</v>
      </c>
      <c r="E886" s="3223" t="s">
        <v>4786</v>
      </c>
      <c r="F886" s="3223">
        <v>37.39</v>
      </c>
      <c r="G886" s="3224">
        <f t="shared" si="31"/>
        <v>16.600000000000001</v>
      </c>
      <c r="H886" s="3224">
        <f t="shared" si="32"/>
        <v>0.44408023116547801</v>
      </c>
      <c r="I886" s="3227"/>
      <c r="J886" s="3305"/>
      <c r="K886" s="3306"/>
      <c r="L886" s="3208"/>
    </row>
    <row r="887" spans="1:12">
      <c r="A887" s="3222">
        <v>848</v>
      </c>
      <c r="B887" s="3223" t="s">
        <v>5958</v>
      </c>
      <c r="C887" s="3223"/>
      <c r="D887" s="3223">
        <v>1390</v>
      </c>
      <c r="E887" s="3223" t="s">
        <v>4786</v>
      </c>
      <c r="F887" s="3223">
        <v>37.39</v>
      </c>
      <c r="G887" s="3224">
        <f t="shared" si="31"/>
        <v>16.600000000000001</v>
      </c>
      <c r="H887" s="3224">
        <f t="shared" si="32"/>
        <v>0.44408023116547801</v>
      </c>
      <c r="I887" s="3227"/>
      <c r="J887" s="3305"/>
      <c r="K887" s="3306"/>
      <c r="L887" s="3208"/>
    </row>
    <row r="888" spans="1:12">
      <c r="A888" s="3222">
        <v>849</v>
      </c>
      <c r="B888" s="3223" t="s">
        <v>5958</v>
      </c>
      <c r="C888" s="3223"/>
      <c r="D888" s="3223">
        <v>1391</v>
      </c>
      <c r="E888" s="3223" t="s">
        <v>4786</v>
      </c>
      <c r="F888" s="3223">
        <v>37.39</v>
      </c>
      <c r="G888" s="3224">
        <f t="shared" si="31"/>
        <v>16.600000000000001</v>
      </c>
      <c r="H888" s="3224">
        <f t="shared" si="32"/>
        <v>0.44408023116547801</v>
      </c>
      <c r="I888" s="3227"/>
      <c r="J888" s="3305"/>
      <c r="K888" s="3306"/>
      <c r="L888" s="3208"/>
    </row>
    <row r="889" spans="1:12">
      <c r="A889" s="3222">
        <v>850</v>
      </c>
      <c r="B889" s="3223" t="s">
        <v>5958</v>
      </c>
      <c r="C889" s="3223"/>
      <c r="D889" s="3223">
        <v>1394</v>
      </c>
      <c r="E889" s="3223" t="s">
        <v>4786</v>
      </c>
      <c r="F889" s="3223">
        <v>37.39</v>
      </c>
      <c r="G889" s="3224">
        <f t="shared" si="31"/>
        <v>16.600000000000001</v>
      </c>
      <c r="H889" s="3224">
        <f t="shared" si="32"/>
        <v>0.44408023116547801</v>
      </c>
      <c r="I889" s="3227"/>
      <c r="J889" s="3305"/>
      <c r="K889" s="3306"/>
      <c r="L889" s="3208"/>
    </row>
    <row r="890" spans="1:12">
      <c r="A890" s="3222">
        <v>851</v>
      </c>
      <c r="B890" s="3223" t="s">
        <v>5958</v>
      </c>
      <c r="C890" s="3223"/>
      <c r="D890" s="3223">
        <v>1395</v>
      </c>
      <c r="E890" s="3223" t="s">
        <v>4786</v>
      </c>
      <c r="F890" s="3223">
        <v>37.39</v>
      </c>
      <c r="G890" s="3224">
        <f t="shared" si="31"/>
        <v>16.600000000000001</v>
      </c>
      <c r="H890" s="3224">
        <f t="shared" si="32"/>
        <v>0.44408023116547801</v>
      </c>
      <c r="I890" s="3227"/>
      <c r="J890" s="3305"/>
      <c r="K890" s="3306"/>
      <c r="L890" s="3208"/>
    </row>
    <row r="891" spans="1:12">
      <c r="A891" s="3222">
        <v>852</v>
      </c>
      <c r="B891" s="3223" t="s">
        <v>5958</v>
      </c>
      <c r="C891" s="3223"/>
      <c r="D891" s="3223">
        <v>1396</v>
      </c>
      <c r="E891" s="3223" t="s">
        <v>4786</v>
      </c>
      <c r="F891" s="3223">
        <v>37.39</v>
      </c>
      <c r="G891" s="3224">
        <f t="shared" si="31"/>
        <v>16.600000000000001</v>
      </c>
      <c r="H891" s="3224">
        <f t="shared" si="32"/>
        <v>0.44408023116547801</v>
      </c>
      <c r="I891" s="3227"/>
      <c r="J891" s="3305"/>
      <c r="K891" s="3306"/>
      <c r="L891" s="3208"/>
    </row>
    <row r="892" spans="1:12">
      <c r="A892" s="3222">
        <v>853</v>
      </c>
      <c r="B892" s="3223" t="s">
        <v>5958</v>
      </c>
      <c r="C892" s="3223"/>
      <c r="D892" s="3223">
        <v>1397</v>
      </c>
      <c r="E892" s="3223" t="s">
        <v>4786</v>
      </c>
      <c r="F892" s="3223">
        <v>37.39</v>
      </c>
      <c r="G892" s="3224">
        <f t="shared" si="31"/>
        <v>16.600000000000001</v>
      </c>
      <c r="H892" s="3224">
        <f t="shared" si="32"/>
        <v>0.44408023116547801</v>
      </c>
      <c r="I892" s="3227"/>
      <c r="J892" s="3305"/>
      <c r="K892" s="3306"/>
      <c r="L892" s="3208"/>
    </row>
    <row r="893" spans="1:12">
      <c r="A893" s="3222">
        <v>854</v>
      </c>
      <c r="B893" s="3223" t="s">
        <v>5958</v>
      </c>
      <c r="C893" s="3223"/>
      <c r="D893" s="3223">
        <v>1398</v>
      </c>
      <c r="E893" s="3223" t="s">
        <v>4786</v>
      </c>
      <c r="F893" s="3223">
        <v>37.39</v>
      </c>
      <c r="G893" s="3224">
        <f t="shared" si="31"/>
        <v>16.600000000000001</v>
      </c>
      <c r="H893" s="3224">
        <f t="shared" si="32"/>
        <v>0.44408023116547801</v>
      </c>
      <c r="I893" s="3227"/>
      <c r="J893" s="3305"/>
      <c r="K893" s="3306"/>
      <c r="L893" s="3208"/>
    </row>
    <row r="894" spans="1:12">
      <c r="A894" s="3222">
        <v>855</v>
      </c>
      <c r="B894" s="3223" t="s">
        <v>5958</v>
      </c>
      <c r="C894" s="3223"/>
      <c r="D894" s="3223">
        <v>1399</v>
      </c>
      <c r="E894" s="3223" t="s">
        <v>4786</v>
      </c>
      <c r="F894" s="3223">
        <v>37.39</v>
      </c>
      <c r="G894" s="3224">
        <f t="shared" si="31"/>
        <v>16.600000000000001</v>
      </c>
      <c r="H894" s="3224">
        <f t="shared" si="32"/>
        <v>0.44408023116547801</v>
      </c>
      <c r="I894" s="3227"/>
      <c r="J894" s="3305"/>
      <c r="K894" s="3306"/>
      <c r="L894" s="3208"/>
    </row>
    <row r="895" spans="1:12">
      <c r="A895" s="3222">
        <v>856</v>
      </c>
      <c r="B895" s="3223" t="s">
        <v>5958</v>
      </c>
      <c r="C895" s="3223"/>
      <c r="D895" s="3223">
        <v>1401</v>
      </c>
      <c r="E895" s="3223" t="s">
        <v>4786</v>
      </c>
      <c r="F895" s="3223">
        <v>37.39</v>
      </c>
      <c r="G895" s="3224">
        <f t="shared" si="31"/>
        <v>16.600000000000001</v>
      </c>
      <c r="H895" s="3224">
        <f t="shared" si="32"/>
        <v>0.44408023116547801</v>
      </c>
      <c r="I895" s="3227"/>
      <c r="J895" s="3305"/>
      <c r="K895" s="3306"/>
      <c r="L895" s="3208"/>
    </row>
    <row r="896" spans="1:12">
      <c r="A896" s="3222">
        <v>857</v>
      </c>
      <c r="B896" s="3223" t="s">
        <v>5958</v>
      </c>
      <c r="C896" s="3223"/>
      <c r="D896" s="3223">
        <v>1402</v>
      </c>
      <c r="E896" s="3223" t="s">
        <v>4786</v>
      </c>
      <c r="F896" s="3223">
        <v>37.39</v>
      </c>
      <c r="G896" s="3224">
        <f t="shared" si="31"/>
        <v>16.600000000000001</v>
      </c>
      <c r="H896" s="3224">
        <f t="shared" si="32"/>
        <v>0.44408023116547801</v>
      </c>
      <c r="I896" s="3227"/>
      <c r="J896" s="3305"/>
      <c r="K896" s="3306"/>
      <c r="L896" s="3208"/>
    </row>
    <row r="897" spans="1:12">
      <c r="A897" s="3222">
        <v>858</v>
      </c>
      <c r="B897" s="3223" t="s">
        <v>5958</v>
      </c>
      <c r="C897" s="3223"/>
      <c r="D897" s="3223">
        <v>1403</v>
      </c>
      <c r="E897" s="3223" t="s">
        <v>4786</v>
      </c>
      <c r="F897" s="3223">
        <v>37.39</v>
      </c>
      <c r="G897" s="3224">
        <f t="shared" si="31"/>
        <v>16.600000000000001</v>
      </c>
      <c r="H897" s="3224">
        <f t="shared" si="32"/>
        <v>0.44408023116547801</v>
      </c>
      <c r="I897" s="3227"/>
      <c r="J897" s="3305"/>
      <c r="K897" s="3306"/>
      <c r="L897" s="3208"/>
    </row>
    <row r="898" spans="1:12">
      <c r="A898" s="3222">
        <v>859</v>
      </c>
      <c r="B898" s="3223" t="s">
        <v>5958</v>
      </c>
      <c r="C898" s="3223"/>
      <c r="D898" s="3223">
        <v>1404</v>
      </c>
      <c r="E898" s="3223" t="s">
        <v>4786</v>
      </c>
      <c r="F898" s="3223">
        <v>37.39</v>
      </c>
      <c r="G898" s="3224">
        <f t="shared" si="31"/>
        <v>16.600000000000001</v>
      </c>
      <c r="H898" s="3224">
        <f t="shared" si="32"/>
        <v>0.44408023116547801</v>
      </c>
      <c r="I898" s="3227"/>
      <c r="J898" s="3305"/>
      <c r="K898" s="3306"/>
      <c r="L898" s="3208"/>
    </row>
    <row r="899" spans="1:12">
      <c r="A899" s="3222">
        <v>860</v>
      </c>
      <c r="B899" s="3223" t="s">
        <v>5958</v>
      </c>
      <c r="C899" s="3223"/>
      <c r="D899" s="3223">
        <v>1405</v>
      </c>
      <c r="E899" s="3223" t="s">
        <v>4786</v>
      </c>
      <c r="F899" s="3223">
        <v>37.39</v>
      </c>
      <c r="G899" s="3224">
        <f t="shared" si="31"/>
        <v>16.600000000000001</v>
      </c>
      <c r="H899" s="3224">
        <f t="shared" si="32"/>
        <v>0.44408023116547801</v>
      </c>
      <c r="I899" s="3227"/>
      <c r="J899" s="3305"/>
      <c r="K899" s="3306"/>
      <c r="L899" s="3208"/>
    </row>
    <row r="900" spans="1:12">
      <c r="A900" s="3222">
        <v>861</v>
      </c>
      <c r="B900" s="3223" t="s">
        <v>5958</v>
      </c>
      <c r="C900" s="3223"/>
      <c r="D900" s="3223">
        <v>1406</v>
      </c>
      <c r="E900" s="3223" t="s">
        <v>4786</v>
      </c>
      <c r="F900" s="3223">
        <v>37.39</v>
      </c>
      <c r="G900" s="3224">
        <f t="shared" si="31"/>
        <v>16.600000000000001</v>
      </c>
      <c r="H900" s="3224">
        <f t="shared" si="32"/>
        <v>0.44408023116547801</v>
      </c>
      <c r="I900" s="3227"/>
      <c r="J900" s="3305"/>
      <c r="K900" s="3306"/>
      <c r="L900" s="3208"/>
    </row>
    <row r="901" spans="1:12">
      <c r="A901" s="3222">
        <v>862</v>
      </c>
      <c r="B901" s="3223" t="s">
        <v>5958</v>
      </c>
      <c r="C901" s="3223"/>
      <c r="D901" s="3223">
        <v>1407</v>
      </c>
      <c r="E901" s="3223" t="s">
        <v>4786</v>
      </c>
      <c r="F901" s="3223">
        <v>37.39</v>
      </c>
      <c r="G901" s="3224">
        <f t="shared" si="31"/>
        <v>16.600000000000001</v>
      </c>
      <c r="H901" s="3224">
        <f t="shared" si="32"/>
        <v>0.44408023116547801</v>
      </c>
      <c r="I901" s="3227"/>
      <c r="J901" s="3305"/>
      <c r="K901" s="3306"/>
      <c r="L901" s="3208"/>
    </row>
    <row r="902" spans="1:12">
      <c r="A902" s="3222">
        <v>863</v>
      </c>
      <c r="B902" s="3223" t="s">
        <v>5958</v>
      </c>
      <c r="C902" s="3223"/>
      <c r="D902" s="3223">
        <v>1408</v>
      </c>
      <c r="E902" s="3223" t="s">
        <v>4786</v>
      </c>
      <c r="F902" s="3223">
        <v>37.39</v>
      </c>
      <c r="G902" s="3224">
        <f t="shared" si="31"/>
        <v>16.600000000000001</v>
      </c>
      <c r="H902" s="3224">
        <f t="shared" si="32"/>
        <v>0.44408023116547801</v>
      </c>
      <c r="I902" s="3227"/>
      <c r="J902" s="3305"/>
      <c r="K902" s="3306"/>
      <c r="L902" s="3208"/>
    </row>
    <row r="903" spans="1:12">
      <c r="A903" s="3222">
        <v>864</v>
      </c>
      <c r="B903" s="3223" t="s">
        <v>5958</v>
      </c>
      <c r="C903" s="3223"/>
      <c r="D903" s="3223">
        <v>1409</v>
      </c>
      <c r="E903" s="3223" t="s">
        <v>4786</v>
      </c>
      <c r="F903" s="3223">
        <v>37.39</v>
      </c>
      <c r="G903" s="3224">
        <f t="shared" si="31"/>
        <v>16.600000000000001</v>
      </c>
      <c r="H903" s="3224">
        <f t="shared" si="32"/>
        <v>0.44408023116547801</v>
      </c>
      <c r="I903" s="3227"/>
      <c r="J903" s="3305"/>
      <c r="K903" s="3306"/>
      <c r="L903" s="3208"/>
    </row>
    <row r="904" spans="1:12">
      <c r="A904" s="3222">
        <v>865</v>
      </c>
      <c r="B904" s="3223" t="s">
        <v>5958</v>
      </c>
      <c r="C904" s="3223"/>
      <c r="D904" s="3223">
        <v>1413</v>
      </c>
      <c r="E904" s="3223" t="s">
        <v>4786</v>
      </c>
      <c r="F904" s="3223">
        <v>37.39</v>
      </c>
      <c r="G904" s="3224">
        <f t="shared" si="31"/>
        <v>16.600000000000001</v>
      </c>
      <c r="H904" s="3224">
        <f t="shared" si="32"/>
        <v>0.44408023116547801</v>
      </c>
      <c r="I904" s="3227"/>
      <c r="J904" s="3305"/>
      <c r="K904" s="3306"/>
      <c r="L904" s="3208"/>
    </row>
    <row r="905" spans="1:12">
      <c r="A905" s="3222">
        <v>866</v>
      </c>
      <c r="B905" s="3223" t="s">
        <v>5958</v>
      </c>
      <c r="C905" s="3223"/>
      <c r="D905" s="3223">
        <v>1414</v>
      </c>
      <c r="E905" s="3223" t="s">
        <v>4786</v>
      </c>
      <c r="F905" s="3223">
        <v>37.39</v>
      </c>
      <c r="G905" s="3224">
        <f t="shared" si="31"/>
        <v>16.600000000000001</v>
      </c>
      <c r="H905" s="3224">
        <f t="shared" si="32"/>
        <v>0.44408023116547801</v>
      </c>
      <c r="I905" s="3227"/>
      <c r="J905" s="3305"/>
      <c r="K905" s="3306"/>
      <c r="L905" s="3208"/>
    </row>
    <row r="906" spans="1:12">
      <c r="A906" s="3222">
        <v>867</v>
      </c>
      <c r="B906" s="3223" t="s">
        <v>5958</v>
      </c>
      <c r="C906" s="3223"/>
      <c r="D906" s="3223">
        <v>1415</v>
      </c>
      <c r="E906" s="3223" t="s">
        <v>4786</v>
      </c>
      <c r="F906" s="3223">
        <v>37.39</v>
      </c>
      <c r="G906" s="3224">
        <f t="shared" si="31"/>
        <v>16.600000000000001</v>
      </c>
      <c r="H906" s="3224">
        <f t="shared" si="32"/>
        <v>0.44408023116547801</v>
      </c>
      <c r="I906" s="3227"/>
      <c r="J906" s="3305"/>
      <c r="K906" s="3306"/>
      <c r="L906" s="3208"/>
    </row>
    <row r="907" spans="1:12">
      <c r="A907" s="3222">
        <v>868</v>
      </c>
      <c r="B907" s="3223" t="s">
        <v>5958</v>
      </c>
      <c r="C907" s="3223"/>
      <c r="D907" s="3223">
        <v>1417</v>
      </c>
      <c r="E907" s="3223" t="s">
        <v>4786</v>
      </c>
      <c r="F907" s="3223">
        <v>37.39</v>
      </c>
      <c r="G907" s="3224">
        <f t="shared" si="31"/>
        <v>16.600000000000001</v>
      </c>
      <c r="H907" s="3224">
        <f t="shared" si="32"/>
        <v>0.44408023116547801</v>
      </c>
      <c r="I907" s="3227"/>
      <c r="J907" s="3305"/>
      <c r="K907" s="3306"/>
      <c r="L907" s="3208"/>
    </row>
    <row r="908" spans="1:12">
      <c r="A908" s="3222">
        <v>869</v>
      </c>
      <c r="B908" s="3223" t="s">
        <v>5958</v>
      </c>
      <c r="C908" s="3223"/>
      <c r="D908" s="3223">
        <v>1418</v>
      </c>
      <c r="E908" s="3223" t="s">
        <v>4786</v>
      </c>
      <c r="F908" s="3223">
        <v>37.39</v>
      </c>
      <c r="G908" s="3224">
        <f t="shared" si="31"/>
        <v>16.600000000000001</v>
      </c>
      <c r="H908" s="3224">
        <f t="shared" si="32"/>
        <v>0.44408023116547801</v>
      </c>
      <c r="I908" s="3227"/>
      <c r="J908" s="3305"/>
      <c r="K908" s="3306"/>
      <c r="L908" s="3208"/>
    </row>
    <row r="909" spans="1:12">
      <c r="A909" s="3222">
        <v>870</v>
      </c>
      <c r="B909" s="3223" t="s">
        <v>5958</v>
      </c>
      <c r="C909" s="3223"/>
      <c r="D909" s="3223">
        <v>1419</v>
      </c>
      <c r="E909" s="3223" t="s">
        <v>4786</v>
      </c>
      <c r="F909" s="3223">
        <v>37.39</v>
      </c>
      <c r="G909" s="3224">
        <f t="shared" si="31"/>
        <v>16.600000000000001</v>
      </c>
      <c r="H909" s="3224">
        <f t="shared" si="32"/>
        <v>0.44408023116547801</v>
      </c>
      <c r="I909" s="3227"/>
      <c r="J909" s="3305"/>
      <c r="K909" s="3306"/>
      <c r="L909" s="3208"/>
    </row>
    <row r="910" spans="1:12">
      <c r="A910" s="3222">
        <v>871</v>
      </c>
      <c r="B910" s="3223" t="s">
        <v>5958</v>
      </c>
      <c r="C910" s="3223"/>
      <c r="D910" s="3223">
        <v>1420</v>
      </c>
      <c r="E910" s="3223" t="s">
        <v>4786</v>
      </c>
      <c r="F910" s="3223">
        <v>37.39</v>
      </c>
      <c r="G910" s="3224">
        <f t="shared" si="31"/>
        <v>16.600000000000001</v>
      </c>
      <c r="H910" s="3224">
        <f t="shared" si="32"/>
        <v>0.44408023116547801</v>
      </c>
      <c r="I910" s="3227"/>
      <c r="J910" s="3305"/>
      <c r="K910" s="3306"/>
      <c r="L910" s="3208"/>
    </row>
    <row r="911" spans="1:12">
      <c r="A911" s="3222">
        <v>872</v>
      </c>
      <c r="B911" s="3223" t="s">
        <v>5958</v>
      </c>
      <c r="C911" s="3223"/>
      <c r="D911" s="3223">
        <v>1421</v>
      </c>
      <c r="E911" s="3223" t="s">
        <v>4786</v>
      </c>
      <c r="F911" s="3223">
        <v>37.39</v>
      </c>
      <c r="G911" s="3224">
        <f t="shared" si="31"/>
        <v>16.600000000000001</v>
      </c>
      <c r="H911" s="3224">
        <f t="shared" si="32"/>
        <v>0.44408023116547801</v>
      </c>
      <c r="I911" s="3227"/>
      <c r="J911" s="3305"/>
      <c r="K911" s="3306"/>
      <c r="L911" s="3208"/>
    </row>
    <row r="912" spans="1:12">
      <c r="A912" s="3222">
        <v>873</v>
      </c>
      <c r="B912" s="3223" t="s">
        <v>5958</v>
      </c>
      <c r="C912" s="3223"/>
      <c r="D912" s="3223">
        <v>1422</v>
      </c>
      <c r="E912" s="3223" t="s">
        <v>4786</v>
      </c>
      <c r="F912" s="3223">
        <v>37.39</v>
      </c>
      <c r="G912" s="3224">
        <f t="shared" si="31"/>
        <v>16.600000000000001</v>
      </c>
      <c r="H912" s="3224">
        <f t="shared" si="32"/>
        <v>0.44408023116547801</v>
      </c>
      <c r="I912" s="3227"/>
      <c r="J912" s="3305"/>
      <c r="K912" s="3306"/>
      <c r="L912" s="3208"/>
    </row>
    <row r="913" spans="1:12">
      <c r="A913" s="3222">
        <v>874</v>
      </c>
      <c r="B913" s="3223" t="s">
        <v>5958</v>
      </c>
      <c r="C913" s="3223"/>
      <c r="D913" s="3223">
        <v>1423</v>
      </c>
      <c r="E913" s="3223" t="s">
        <v>4786</v>
      </c>
      <c r="F913" s="3223">
        <v>37.39</v>
      </c>
      <c r="G913" s="3224">
        <f t="shared" si="31"/>
        <v>16.600000000000001</v>
      </c>
      <c r="H913" s="3224">
        <f t="shared" si="32"/>
        <v>0.44408023116547801</v>
      </c>
      <c r="I913" s="3227"/>
      <c r="J913" s="3305"/>
      <c r="K913" s="3306"/>
      <c r="L913" s="3208"/>
    </row>
    <row r="914" spans="1:12">
      <c r="A914" s="3222">
        <v>875</v>
      </c>
      <c r="B914" s="3223" t="s">
        <v>5958</v>
      </c>
      <c r="C914" s="3223"/>
      <c r="D914" s="3223">
        <v>1424</v>
      </c>
      <c r="E914" s="3223" t="s">
        <v>4786</v>
      </c>
      <c r="F914" s="3223">
        <v>37.39</v>
      </c>
      <c r="G914" s="3224">
        <f t="shared" si="31"/>
        <v>16.600000000000001</v>
      </c>
      <c r="H914" s="3224">
        <f t="shared" si="32"/>
        <v>0.44408023116547801</v>
      </c>
      <c r="I914" s="3227"/>
      <c r="J914" s="3305"/>
      <c r="K914" s="3306"/>
      <c r="L914" s="3208"/>
    </row>
    <row r="915" spans="1:12">
      <c r="A915" s="3222">
        <v>876</v>
      </c>
      <c r="B915" s="3223" t="s">
        <v>5958</v>
      </c>
      <c r="C915" s="3223"/>
      <c r="D915" s="3223">
        <v>1425</v>
      </c>
      <c r="E915" s="3223" t="s">
        <v>4786</v>
      </c>
      <c r="F915" s="3223">
        <v>37.39</v>
      </c>
      <c r="G915" s="3224">
        <f t="shared" si="31"/>
        <v>16.600000000000001</v>
      </c>
      <c r="H915" s="3224">
        <f t="shared" si="32"/>
        <v>0.44408023116547801</v>
      </c>
      <c r="I915" s="3227"/>
      <c r="J915" s="3305"/>
      <c r="K915" s="3306"/>
      <c r="L915" s="3208"/>
    </row>
    <row r="916" spans="1:12">
      <c r="A916" s="3222">
        <v>877</v>
      </c>
      <c r="B916" s="3223" t="s">
        <v>5958</v>
      </c>
      <c r="C916" s="3223"/>
      <c r="D916" s="3223">
        <v>1427</v>
      </c>
      <c r="E916" s="3223" t="s">
        <v>4786</v>
      </c>
      <c r="F916" s="3223">
        <v>37.39</v>
      </c>
      <c r="G916" s="3224">
        <f t="shared" si="31"/>
        <v>16.600000000000001</v>
      </c>
      <c r="H916" s="3224">
        <f t="shared" si="32"/>
        <v>0.44408023116547801</v>
      </c>
      <c r="I916" s="3227"/>
      <c r="J916" s="3305"/>
      <c r="K916" s="3306"/>
      <c r="L916" s="3208"/>
    </row>
    <row r="917" spans="1:12">
      <c r="A917" s="3222">
        <v>878</v>
      </c>
      <c r="B917" s="3223" t="s">
        <v>5958</v>
      </c>
      <c r="C917" s="3223"/>
      <c r="D917" s="3223">
        <v>1432</v>
      </c>
      <c r="E917" s="3223" t="s">
        <v>4786</v>
      </c>
      <c r="F917" s="3223">
        <v>37.39</v>
      </c>
      <c r="G917" s="3224">
        <f t="shared" si="31"/>
        <v>16.600000000000001</v>
      </c>
      <c r="H917" s="3224">
        <f t="shared" si="32"/>
        <v>0.44408023116547801</v>
      </c>
      <c r="I917" s="3227"/>
      <c r="J917" s="3305"/>
      <c r="K917" s="3306"/>
      <c r="L917" s="3208"/>
    </row>
    <row r="918" spans="1:12">
      <c r="A918" s="3222">
        <v>879</v>
      </c>
      <c r="B918" s="3223" t="s">
        <v>5958</v>
      </c>
      <c r="C918" s="3223"/>
      <c r="D918" s="3223">
        <v>1437</v>
      </c>
      <c r="E918" s="3223" t="s">
        <v>4786</v>
      </c>
      <c r="F918" s="3223">
        <v>37.39</v>
      </c>
      <c r="G918" s="3224">
        <f t="shared" si="31"/>
        <v>16.600000000000001</v>
      </c>
      <c r="H918" s="3224">
        <f t="shared" si="32"/>
        <v>0.44408023116547801</v>
      </c>
      <c r="I918" s="3227"/>
      <c r="J918" s="3305"/>
      <c r="K918" s="3306"/>
      <c r="L918" s="3208"/>
    </row>
    <row r="919" spans="1:12">
      <c r="A919" s="3222">
        <v>880</v>
      </c>
      <c r="B919" s="3223" t="s">
        <v>5958</v>
      </c>
      <c r="C919" s="3223"/>
      <c r="D919" s="3223">
        <v>1438</v>
      </c>
      <c r="E919" s="3223" t="s">
        <v>4786</v>
      </c>
      <c r="F919" s="3223">
        <v>37.39</v>
      </c>
      <c r="G919" s="3224">
        <f t="shared" si="31"/>
        <v>16.600000000000001</v>
      </c>
      <c r="H919" s="3224">
        <f t="shared" si="32"/>
        <v>0.44408023116547801</v>
      </c>
      <c r="I919" s="3227"/>
      <c r="J919" s="3305"/>
      <c r="K919" s="3306"/>
      <c r="L919" s="3208"/>
    </row>
    <row r="920" spans="1:12">
      <c r="A920" s="3222">
        <v>881</v>
      </c>
      <c r="B920" s="3223" t="s">
        <v>5958</v>
      </c>
      <c r="C920" s="3223"/>
      <c r="D920" s="3223">
        <v>1439</v>
      </c>
      <c r="E920" s="3223" t="s">
        <v>4786</v>
      </c>
      <c r="F920" s="3223">
        <v>37.39</v>
      </c>
      <c r="G920" s="3224">
        <f t="shared" si="31"/>
        <v>16.600000000000001</v>
      </c>
      <c r="H920" s="3224">
        <f t="shared" si="32"/>
        <v>0.44408023116547801</v>
      </c>
      <c r="I920" s="3227"/>
      <c r="J920" s="3305"/>
      <c r="K920" s="3306"/>
      <c r="L920" s="3208"/>
    </row>
    <row r="921" spans="1:12">
      <c r="A921" s="3222">
        <v>882</v>
      </c>
      <c r="B921" s="3223" t="s">
        <v>5958</v>
      </c>
      <c r="C921" s="3223"/>
      <c r="D921" s="3223">
        <v>1440</v>
      </c>
      <c r="E921" s="3223" t="s">
        <v>4786</v>
      </c>
      <c r="F921" s="3223">
        <v>37.39</v>
      </c>
      <c r="G921" s="3224">
        <f t="shared" si="31"/>
        <v>16.600000000000001</v>
      </c>
      <c r="H921" s="3224">
        <f t="shared" si="32"/>
        <v>0.44408023116547801</v>
      </c>
      <c r="I921" s="3227"/>
      <c r="J921" s="3305"/>
      <c r="K921" s="3306"/>
      <c r="L921" s="3208"/>
    </row>
    <row r="922" spans="1:12">
      <c r="A922" s="3222">
        <v>883</v>
      </c>
      <c r="B922" s="3223" t="s">
        <v>5958</v>
      </c>
      <c r="C922" s="3223"/>
      <c r="D922" s="3223">
        <v>1441</v>
      </c>
      <c r="E922" s="3223" t="s">
        <v>4786</v>
      </c>
      <c r="F922" s="3223">
        <v>37.39</v>
      </c>
      <c r="G922" s="3224">
        <f t="shared" si="31"/>
        <v>16.600000000000001</v>
      </c>
      <c r="H922" s="3224">
        <f t="shared" si="32"/>
        <v>0.44408023116547801</v>
      </c>
      <c r="I922" s="3227"/>
      <c r="J922" s="3305"/>
      <c r="K922" s="3306"/>
      <c r="L922" s="3208"/>
    </row>
    <row r="923" spans="1:12">
      <c r="A923" s="3222">
        <v>884</v>
      </c>
      <c r="B923" s="3223" t="s">
        <v>5958</v>
      </c>
      <c r="C923" s="3223"/>
      <c r="D923" s="3223">
        <v>1442</v>
      </c>
      <c r="E923" s="3223" t="s">
        <v>4786</v>
      </c>
      <c r="F923" s="3223">
        <v>37.39</v>
      </c>
      <c r="G923" s="3224">
        <f t="shared" si="31"/>
        <v>16.600000000000001</v>
      </c>
      <c r="H923" s="3224">
        <f t="shared" si="32"/>
        <v>0.44408023116547801</v>
      </c>
      <c r="I923" s="3227"/>
      <c r="J923" s="3305"/>
      <c r="K923" s="3306"/>
      <c r="L923" s="3208"/>
    </row>
    <row r="924" spans="1:12">
      <c r="A924" s="3222">
        <v>885</v>
      </c>
      <c r="B924" s="3223" t="s">
        <v>5958</v>
      </c>
      <c r="C924" s="3223"/>
      <c r="D924" s="3223">
        <v>1443</v>
      </c>
      <c r="E924" s="3223" t="s">
        <v>4786</v>
      </c>
      <c r="F924" s="3223">
        <v>37.39</v>
      </c>
      <c r="G924" s="3224">
        <f t="shared" si="31"/>
        <v>16.600000000000001</v>
      </c>
      <c r="H924" s="3224">
        <f t="shared" si="32"/>
        <v>0.44408023116547801</v>
      </c>
      <c r="I924" s="3227"/>
      <c r="J924" s="3305"/>
      <c r="K924" s="3306"/>
      <c r="L924" s="3208"/>
    </row>
    <row r="925" spans="1:12">
      <c r="A925" s="3222">
        <v>886</v>
      </c>
      <c r="B925" s="3223" t="s">
        <v>5958</v>
      </c>
      <c r="C925" s="3223"/>
      <c r="D925" s="3223">
        <v>1444</v>
      </c>
      <c r="E925" s="3223" t="s">
        <v>4786</v>
      </c>
      <c r="F925" s="3223">
        <v>37.39</v>
      </c>
      <c r="G925" s="3224">
        <f t="shared" si="31"/>
        <v>16.600000000000001</v>
      </c>
      <c r="H925" s="3224">
        <f t="shared" si="32"/>
        <v>0.44408023116547801</v>
      </c>
      <c r="I925" s="3227"/>
      <c r="J925" s="3305"/>
      <c r="K925" s="3306"/>
      <c r="L925" s="3208"/>
    </row>
    <row r="926" spans="1:12">
      <c r="A926" s="3222">
        <v>887</v>
      </c>
      <c r="B926" s="3223" t="s">
        <v>5958</v>
      </c>
      <c r="C926" s="3223"/>
      <c r="D926" s="3223">
        <v>1445</v>
      </c>
      <c r="E926" s="3223" t="s">
        <v>4786</v>
      </c>
      <c r="F926" s="3223">
        <v>37.39</v>
      </c>
      <c r="G926" s="3224">
        <f t="shared" si="31"/>
        <v>16.600000000000001</v>
      </c>
      <c r="H926" s="3224">
        <f t="shared" si="32"/>
        <v>0.44408023116547801</v>
      </c>
      <c r="I926" s="3227"/>
      <c r="J926" s="3305"/>
      <c r="K926" s="3306"/>
      <c r="L926" s="3208"/>
    </row>
    <row r="927" spans="1:12">
      <c r="A927" s="3222">
        <v>888</v>
      </c>
      <c r="B927" s="3223" t="s">
        <v>5958</v>
      </c>
      <c r="C927" s="3223"/>
      <c r="D927" s="3223">
        <v>1446</v>
      </c>
      <c r="E927" s="3223" t="s">
        <v>4786</v>
      </c>
      <c r="F927" s="3223">
        <v>37.39</v>
      </c>
      <c r="G927" s="3224">
        <f t="shared" si="31"/>
        <v>16.600000000000001</v>
      </c>
      <c r="H927" s="3224">
        <f t="shared" si="32"/>
        <v>0.44408023116547801</v>
      </c>
      <c r="I927" s="3227"/>
      <c r="J927" s="3305"/>
      <c r="K927" s="3306"/>
      <c r="L927" s="3208"/>
    </row>
    <row r="928" spans="1:12">
      <c r="A928" s="3222">
        <v>889</v>
      </c>
      <c r="B928" s="3223" t="s">
        <v>5958</v>
      </c>
      <c r="C928" s="3223"/>
      <c r="D928" s="3223">
        <v>1449</v>
      </c>
      <c r="E928" s="3223" t="s">
        <v>4786</v>
      </c>
      <c r="F928" s="3223">
        <v>37.39</v>
      </c>
      <c r="G928" s="3224">
        <f t="shared" si="31"/>
        <v>16.600000000000001</v>
      </c>
      <c r="H928" s="3224">
        <f t="shared" si="32"/>
        <v>0.44408023116547801</v>
      </c>
      <c r="I928" s="3227"/>
      <c r="J928" s="3305"/>
      <c r="K928" s="3306"/>
      <c r="L928" s="3208"/>
    </row>
    <row r="929" spans="1:12">
      <c r="A929" s="3222">
        <v>890</v>
      </c>
      <c r="B929" s="3223" t="s">
        <v>5958</v>
      </c>
      <c r="C929" s="3223"/>
      <c r="D929" s="3223">
        <v>1450</v>
      </c>
      <c r="E929" s="3223" t="s">
        <v>4786</v>
      </c>
      <c r="F929" s="3223">
        <v>37.39</v>
      </c>
      <c r="G929" s="3224">
        <f t="shared" si="31"/>
        <v>16.600000000000001</v>
      </c>
      <c r="H929" s="3224">
        <f t="shared" si="32"/>
        <v>0.44408023116547801</v>
      </c>
      <c r="I929" s="3227"/>
      <c r="J929" s="3305"/>
      <c r="K929" s="3306"/>
      <c r="L929" s="3208"/>
    </row>
    <row r="930" spans="1:12">
      <c r="A930" s="3222">
        <v>891</v>
      </c>
      <c r="B930" s="3223" t="s">
        <v>5958</v>
      </c>
      <c r="C930" s="3223"/>
      <c r="D930" s="3223">
        <v>1451</v>
      </c>
      <c r="E930" s="3223" t="s">
        <v>4786</v>
      </c>
      <c r="F930" s="3223">
        <v>37.39</v>
      </c>
      <c r="G930" s="3224">
        <f t="shared" si="31"/>
        <v>16.600000000000001</v>
      </c>
      <c r="H930" s="3224">
        <f t="shared" si="32"/>
        <v>0.44408023116547801</v>
      </c>
      <c r="I930" s="3227"/>
      <c r="J930" s="3305"/>
      <c r="K930" s="3306"/>
      <c r="L930" s="3208"/>
    </row>
    <row r="931" spans="1:12">
      <c r="A931" s="3222">
        <v>892</v>
      </c>
      <c r="B931" s="3223" t="s">
        <v>5958</v>
      </c>
      <c r="C931" s="3223"/>
      <c r="D931" s="3223">
        <v>1453</v>
      </c>
      <c r="E931" s="3223" t="s">
        <v>4786</v>
      </c>
      <c r="F931" s="3223">
        <v>37.39</v>
      </c>
      <c r="G931" s="3224">
        <f t="shared" si="31"/>
        <v>16.600000000000001</v>
      </c>
      <c r="H931" s="3224">
        <f t="shared" si="32"/>
        <v>0.44408023116547801</v>
      </c>
      <c r="I931" s="3227"/>
      <c r="J931" s="3305"/>
      <c r="K931" s="3306"/>
      <c r="L931" s="3208"/>
    </row>
    <row r="932" spans="1:12">
      <c r="A932" s="3222">
        <v>893</v>
      </c>
      <c r="B932" s="3223" t="s">
        <v>5958</v>
      </c>
      <c r="C932" s="3223"/>
      <c r="D932" s="3223">
        <v>1454</v>
      </c>
      <c r="E932" s="3223" t="s">
        <v>4786</v>
      </c>
      <c r="F932" s="3223">
        <v>37.39</v>
      </c>
      <c r="G932" s="3224">
        <f t="shared" si="31"/>
        <v>16.600000000000001</v>
      </c>
      <c r="H932" s="3224">
        <f t="shared" si="32"/>
        <v>0.44408023116547801</v>
      </c>
      <c r="I932" s="3227"/>
      <c r="J932" s="3305"/>
      <c r="K932" s="3306"/>
      <c r="L932" s="3208"/>
    </row>
    <row r="933" spans="1:12">
      <c r="A933" s="3222">
        <v>894</v>
      </c>
      <c r="B933" s="3223" t="s">
        <v>5958</v>
      </c>
      <c r="C933" s="3223"/>
      <c r="D933" s="3223">
        <v>1459</v>
      </c>
      <c r="E933" s="3223" t="s">
        <v>4786</v>
      </c>
      <c r="F933" s="3223">
        <v>37.39</v>
      </c>
      <c r="G933" s="3224">
        <f t="shared" si="31"/>
        <v>16.600000000000001</v>
      </c>
      <c r="H933" s="3224">
        <f t="shared" si="32"/>
        <v>0.44408023116547801</v>
      </c>
      <c r="I933" s="3227"/>
      <c r="J933" s="3305"/>
      <c r="K933" s="3306"/>
      <c r="L933" s="3208"/>
    </row>
    <row r="934" spans="1:12">
      <c r="A934" s="3222">
        <v>895</v>
      </c>
      <c r="B934" s="3223" t="s">
        <v>5958</v>
      </c>
      <c r="C934" s="3223"/>
      <c r="D934" s="3223">
        <v>1460</v>
      </c>
      <c r="E934" s="3223" t="s">
        <v>4786</v>
      </c>
      <c r="F934" s="3223">
        <v>37.39</v>
      </c>
      <c r="G934" s="3224">
        <f t="shared" si="31"/>
        <v>16.600000000000001</v>
      </c>
      <c r="H934" s="3224">
        <f t="shared" si="32"/>
        <v>0.44408023116547801</v>
      </c>
      <c r="I934" s="3227"/>
      <c r="J934" s="3305"/>
      <c r="K934" s="3306"/>
      <c r="L934" s="3208"/>
    </row>
    <row r="935" spans="1:12">
      <c r="A935" s="3222">
        <v>896</v>
      </c>
      <c r="B935" s="3223" t="s">
        <v>5958</v>
      </c>
      <c r="C935" s="3223"/>
      <c r="D935" s="3223">
        <v>1463</v>
      </c>
      <c r="E935" s="3223" t="s">
        <v>4786</v>
      </c>
      <c r="F935" s="3223">
        <v>37.39</v>
      </c>
      <c r="G935" s="3224">
        <f t="shared" si="31"/>
        <v>16.600000000000001</v>
      </c>
      <c r="H935" s="3224">
        <f t="shared" si="32"/>
        <v>0.44408023116547801</v>
      </c>
      <c r="I935" s="3227"/>
      <c r="J935" s="3305"/>
      <c r="K935" s="3306"/>
      <c r="L935" s="3208"/>
    </row>
    <row r="936" spans="1:12">
      <c r="A936" s="3222">
        <v>897</v>
      </c>
      <c r="B936" s="3223" t="s">
        <v>5958</v>
      </c>
      <c r="C936" s="3223"/>
      <c r="D936" s="3223">
        <v>1464</v>
      </c>
      <c r="E936" s="3223" t="s">
        <v>4786</v>
      </c>
      <c r="F936" s="3223">
        <v>37.39</v>
      </c>
      <c r="G936" s="3224">
        <f t="shared" si="31"/>
        <v>16.600000000000001</v>
      </c>
      <c r="H936" s="3224">
        <f t="shared" si="32"/>
        <v>0.44408023116547801</v>
      </c>
      <c r="I936" s="3227"/>
      <c r="J936" s="3305"/>
      <c r="K936" s="3306"/>
      <c r="L936" s="3208"/>
    </row>
    <row r="937" spans="1:12">
      <c r="A937" s="3222">
        <v>898</v>
      </c>
      <c r="B937" s="3223" t="s">
        <v>5958</v>
      </c>
      <c r="C937" s="3223"/>
      <c r="D937" s="3223">
        <v>1465</v>
      </c>
      <c r="E937" s="3223" t="s">
        <v>4786</v>
      </c>
      <c r="F937" s="3223">
        <v>37.39</v>
      </c>
      <c r="G937" s="3224">
        <f t="shared" ref="G937:G1000" si="33">ROUND(F937*H937,2)</f>
        <v>16.600000000000001</v>
      </c>
      <c r="H937" s="3224">
        <f t="shared" si="32"/>
        <v>0.44408023116547801</v>
      </c>
      <c r="I937" s="3227"/>
      <c r="J937" s="3305"/>
      <c r="K937" s="3306"/>
      <c r="L937" s="3208"/>
    </row>
    <row r="938" spans="1:12">
      <c r="A938" s="3222">
        <v>899</v>
      </c>
      <c r="B938" s="3223" t="s">
        <v>5958</v>
      </c>
      <c r="C938" s="3223"/>
      <c r="D938" s="3223">
        <v>1471</v>
      </c>
      <c r="E938" s="3223" t="s">
        <v>4786</v>
      </c>
      <c r="F938" s="3223">
        <v>37.39</v>
      </c>
      <c r="G938" s="3224">
        <f t="shared" si="33"/>
        <v>16.600000000000001</v>
      </c>
      <c r="H938" s="3224">
        <f t="shared" si="32"/>
        <v>0.44408023116547801</v>
      </c>
      <c r="I938" s="3227"/>
      <c r="J938" s="3305"/>
      <c r="K938" s="3306"/>
      <c r="L938" s="3208"/>
    </row>
    <row r="939" spans="1:12">
      <c r="A939" s="3222">
        <v>900</v>
      </c>
      <c r="B939" s="3223" t="s">
        <v>5958</v>
      </c>
      <c r="C939" s="3223"/>
      <c r="D939" s="3223">
        <v>1479</v>
      </c>
      <c r="E939" s="3223" t="s">
        <v>4786</v>
      </c>
      <c r="F939" s="3223">
        <v>37.39</v>
      </c>
      <c r="G939" s="3224">
        <f t="shared" si="33"/>
        <v>16.600000000000001</v>
      </c>
      <c r="H939" s="3224">
        <f t="shared" si="32"/>
        <v>0.44408023116547801</v>
      </c>
      <c r="I939" s="3227"/>
      <c r="J939" s="3305"/>
      <c r="K939" s="3306"/>
      <c r="L939" s="3208"/>
    </row>
    <row r="940" spans="1:12">
      <c r="A940" s="3222">
        <v>901</v>
      </c>
      <c r="B940" s="3223" t="s">
        <v>5958</v>
      </c>
      <c r="C940" s="3223"/>
      <c r="D940" s="3223">
        <v>1480</v>
      </c>
      <c r="E940" s="3223" t="s">
        <v>4786</v>
      </c>
      <c r="F940" s="3223">
        <v>37.39</v>
      </c>
      <c r="G940" s="3224">
        <f t="shared" si="33"/>
        <v>16.600000000000001</v>
      </c>
      <c r="H940" s="3224">
        <f t="shared" si="32"/>
        <v>0.44408023116547801</v>
      </c>
      <c r="I940" s="3227"/>
      <c r="J940" s="3305"/>
      <c r="K940" s="3306"/>
      <c r="L940" s="3208"/>
    </row>
    <row r="941" spans="1:12">
      <c r="A941" s="3222">
        <v>902</v>
      </c>
      <c r="B941" s="3223" t="s">
        <v>5958</v>
      </c>
      <c r="C941" s="3223"/>
      <c r="D941" s="3223">
        <v>1482</v>
      </c>
      <c r="E941" s="3223" t="s">
        <v>4786</v>
      </c>
      <c r="F941" s="3223">
        <v>37.39</v>
      </c>
      <c r="G941" s="3224">
        <f t="shared" si="33"/>
        <v>16.600000000000001</v>
      </c>
      <c r="H941" s="3224">
        <f t="shared" si="32"/>
        <v>0.44408023116547801</v>
      </c>
      <c r="I941" s="3227"/>
      <c r="J941" s="3305"/>
      <c r="K941" s="3306"/>
      <c r="L941" s="3208"/>
    </row>
    <row r="942" spans="1:12">
      <c r="A942" s="3222">
        <v>903</v>
      </c>
      <c r="B942" s="3223" t="s">
        <v>5958</v>
      </c>
      <c r="C942" s="3223"/>
      <c r="D942" s="3223">
        <v>1483</v>
      </c>
      <c r="E942" s="3223" t="s">
        <v>4786</v>
      </c>
      <c r="F942" s="3223">
        <v>55.34</v>
      </c>
      <c r="G942" s="3224">
        <f t="shared" si="33"/>
        <v>24.58</v>
      </c>
      <c r="H942" s="3224">
        <f t="shared" si="32"/>
        <v>0.44408023116547801</v>
      </c>
      <c r="I942" s="3227"/>
      <c r="J942" s="3305"/>
      <c r="K942" s="3306"/>
      <c r="L942" s="3208"/>
    </row>
    <row r="943" spans="1:12">
      <c r="A943" s="3222">
        <v>904</v>
      </c>
      <c r="B943" s="3223" t="s">
        <v>5958</v>
      </c>
      <c r="C943" s="3223"/>
      <c r="D943" s="3223">
        <v>1484</v>
      </c>
      <c r="E943" s="3223" t="s">
        <v>4786</v>
      </c>
      <c r="F943" s="3223">
        <v>37.39</v>
      </c>
      <c r="G943" s="3224">
        <f t="shared" si="33"/>
        <v>16.600000000000001</v>
      </c>
      <c r="H943" s="3224">
        <f t="shared" si="32"/>
        <v>0.44408023116547801</v>
      </c>
      <c r="I943" s="3227"/>
      <c r="J943" s="3305"/>
      <c r="K943" s="3306"/>
      <c r="L943" s="3208"/>
    </row>
    <row r="944" spans="1:12">
      <c r="A944" s="3222">
        <v>905</v>
      </c>
      <c r="B944" s="3223" t="s">
        <v>5958</v>
      </c>
      <c r="C944" s="3223"/>
      <c r="D944" s="3223">
        <v>1485</v>
      </c>
      <c r="E944" s="3223" t="s">
        <v>4786</v>
      </c>
      <c r="F944" s="3223">
        <v>37.39</v>
      </c>
      <c r="G944" s="3224">
        <f t="shared" si="33"/>
        <v>16.600000000000001</v>
      </c>
      <c r="H944" s="3224">
        <f t="shared" si="32"/>
        <v>0.44408023116547801</v>
      </c>
      <c r="I944" s="3227"/>
      <c r="J944" s="3305"/>
      <c r="K944" s="3306"/>
      <c r="L944" s="3208"/>
    </row>
    <row r="945" spans="1:12">
      <c r="A945" s="3222">
        <v>906</v>
      </c>
      <c r="B945" s="3223" t="s">
        <v>5958</v>
      </c>
      <c r="C945" s="3223"/>
      <c r="D945" s="3223">
        <v>1487</v>
      </c>
      <c r="E945" s="3223" t="s">
        <v>4786</v>
      </c>
      <c r="F945" s="3223">
        <v>37.39</v>
      </c>
      <c r="G945" s="3224">
        <f t="shared" si="33"/>
        <v>16.600000000000001</v>
      </c>
      <c r="H945" s="3224">
        <f t="shared" si="32"/>
        <v>0.44408023116547801</v>
      </c>
      <c r="I945" s="3227"/>
      <c r="J945" s="3305"/>
      <c r="K945" s="3306"/>
      <c r="L945" s="3208"/>
    </row>
    <row r="946" spans="1:12">
      <c r="A946" s="3222">
        <v>907</v>
      </c>
      <c r="B946" s="3223" t="s">
        <v>5958</v>
      </c>
      <c r="C946" s="3223"/>
      <c r="D946" s="3223">
        <v>1494</v>
      </c>
      <c r="E946" s="3223" t="s">
        <v>4786</v>
      </c>
      <c r="F946" s="3223">
        <v>37.39</v>
      </c>
      <c r="G946" s="3224">
        <f t="shared" si="33"/>
        <v>16.600000000000001</v>
      </c>
      <c r="H946" s="3224">
        <f t="shared" si="32"/>
        <v>0.44408023116547801</v>
      </c>
      <c r="I946" s="3227"/>
      <c r="J946" s="3305"/>
      <c r="K946" s="3306"/>
      <c r="L946" s="3208"/>
    </row>
    <row r="947" spans="1:12">
      <c r="A947" s="3222">
        <v>908</v>
      </c>
      <c r="B947" s="3223" t="s">
        <v>5958</v>
      </c>
      <c r="C947" s="3223"/>
      <c r="D947" s="3223">
        <v>1495</v>
      </c>
      <c r="E947" s="3223" t="s">
        <v>4786</v>
      </c>
      <c r="F947" s="3223">
        <v>37.39</v>
      </c>
      <c r="G947" s="3224">
        <f t="shared" si="33"/>
        <v>16.600000000000001</v>
      </c>
      <c r="H947" s="3224">
        <f t="shared" si="32"/>
        <v>0.44408023116547801</v>
      </c>
      <c r="I947" s="3227"/>
      <c r="J947" s="3305"/>
      <c r="K947" s="3306"/>
      <c r="L947" s="3208"/>
    </row>
    <row r="948" spans="1:12">
      <c r="A948" s="3222">
        <v>909</v>
      </c>
      <c r="B948" s="3223" t="s">
        <v>5958</v>
      </c>
      <c r="C948" s="3223"/>
      <c r="D948" s="3223">
        <v>1500</v>
      </c>
      <c r="E948" s="3223" t="s">
        <v>4786</v>
      </c>
      <c r="F948" s="3223">
        <v>37.39</v>
      </c>
      <c r="G948" s="3224">
        <f t="shared" si="33"/>
        <v>16.600000000000001</v>
      </c>
      <c r="H948" s="3224">
        <f t="shared" si="32"/>
        <v>0.44408023116547801</v>
      </c>
      <c r="I948" s="3227"/>
      <c r="J948" s="3305"/>
      <c r="K948" s="3306"/>
      <c r="L948" s="3208"/>
    </row>
    <row r="949" spans="1:12">
      <c r="A949" s="3222">
        <v>910</v>
      </c>
      <c r="B949" s="3223" t="s">
        <v>5958</v>
      </c>
      <c r="C949" s="3223"/>
      <c r="D949" s="3223">
        <v>1501</v>
      </c>
      <c r="E949" s="3223" t="s">
        <v>4786</v>
      </c>
      <c r="F949" s="3223">
        <v>37.39</v>
      </c>
      <c r="G949" s="3224">
        <f t="shared" si="33"/>
        <v>16.600000000000001</v>
      </c>
      <c r="H949" s="3224">
        <f t="shared" ref="H949:H1012" si="34">H948</f>
        <v>0.44408023116547801</v>
      </c>
      <c r="I949" s="3227"/>
      <c r="J949" s="3305"/>
      <c r="K949" s="3306"/>
      <c r="L949" s="3208"/>
    </row>
    <row r="950" spans="1:12">
      <c r="A950" s="3222">
        <v>911</v>
      </c>
      <c r="B950" s="3223" t="s">
        <v>5958</v>
      </c>
      <c r="C950" s="3223"/>
      <c r="D950" s="3223">
        <v>1502</v>
      </c>
      <c r="E950" s="3223" t="s">
        <v>4786</v>
      </c>
      <c r="F950" s="3223">
        <v>37.39</v>
      </c>
      <c r="G950" s="3224">
        <f t="shared" si="33"/>
        <v>16.600000000000001</v>
      </c>
      <c r="H950" s="3224">
        <f t="shared" si="34"/>
        <v>0.44408023116547801</v>
      </c>
      <c r="I950" s="3227"/>
      <c r="J950" s="3305"/>
      <c r="K950" s="3306"/>
      <c r="L950" s="3208"/>
    </row>
    <row r="951" spans="1:12">
      <c r="A951" s="3222">
        <v>912</v>
      </c>
      <c r="B951" s="3223" t="s">
        <v>5958</v>
      </c>
      <c r="C951" s="3223"/>
      <c r="D951" s="3223">
        <v>1503</v>
      </c>
      <c r="E951" s="3223" t="s">
        <v>4786</v>
      </c>
      <c r="F951" s="3223">
        <v>37.39</v>
      </c>
      <c r="G951" s="3224">
        <f t="shared" si="33"/>
        <v>16.600000000000001</v>
      </c>
      <c r="H951" s="3224">
        <f t="shared" si="34"/>
        <v>0.44408023116547801</v>
      </c>
      <c r="I951" s="3227"/>
      <c r="J951" s="3305"/>
      <c r="K951" s="3306"/>
      <c r="L951" s="3208"/>
    </row>
    <row r="952" spans="1:12">
      <c r="A952" s="3222">
        <v>913</v>
      </c>
      <c r="B952" s="3223" t="s">
        <v>5958</v>
      </c>
      <c r="C952" s="3223"/>
      <c r="D952" s="3223">
        <v>1504</v>
      </c>
      <c r="E952" s="3223" t="s">
        <v>4786</v>
      </c>
      <c r="F952" s="3223">
        <v>37.39</v>
      </c>
      <c r="G952" s="3224">
        <f t="shared" si="33"/>
        <v>16.600000000000001</v>
      </c>
      <c r="H952" s="3224">
        <f t="shared" si="34"/>
        <v>0.44408023116547801</v>
      </c>
      <c r="I952" s="3227"/>
      <c r="J952" s="3305"/>
      <c r="K952" s="3306"/>
      <c r="L952" s="3208"/>
    </row>
    <row r="953" spans="1:12">
      <c r="A953" s="3222">
        <v>914</v>
      </c>
      <c r="B953" s="3223" t="s">
        <v>5958</v>
      </c>
      <c r="C953" s="3223"/>
      <c r="D953" s="3223">
        <v>1505</v>
      </c>
      <c r="E953" s="3223" t="s">
        <v>4786</v>
      </c>
      <c r="F953" s="3223">
        <v>37.39</v>
      </c>
      <c r="G953" s="3224">
        <f t="shared" si="33"/>
        <v>16.600000000000001</v>
      </c>
      <c r="H953" s="3224">
        <f t="shared" si="34"/>
        <v>0.44408023116547801</v>
      </c>
      <c r="I953" s="3227"/>
      <c r="J953" s="3305"/>
      <c r="K953" s="3306"/>
      <c r="L953" s="3208"/>
    </row>
    <row r="954" spans="1:12">
      <c r="A954" s="3222">
        <v>915</v>
      </c>
      <c r="B954" s="3223" t="s">
        <v>5958</v>
      </c>
      <c r="C954" s="3223"/>
      <c r="D954" s="3223">
        <v>1506</v>
      </c>
      <c r="E954" s="3223" t="s">
        <v>4786</v>
      </c>
      <c r="F954" s="3223">
        <v>37.39</v>
      </c>
      <c r="G954" s="3224">
        <f t="shared" si="33"/>
        <v>16.600000000000001</v>
      </c>
      <c r="H954" s="3224">
        <f t="shared" si="34"/>
        <v>0.44408023116547801</v>
      </c>
      <c r="I954" s="3227"/>
      <c r="J954" s="3305"/>
      <c r="K954" s="3306"/>
      <c r="L954" s="3208"/>
    </row>
    <row r="955" spans="1:12">
      <c r="A955" s="3222">
        <v>916</v>
      </c>
      <c r="B955" s="3223" t="s">
        <v>5958</v>
      </c>
      <c r="C955" s="3223"/>
      <c r="D955" s="3223">
        <v>1507</v>
      </c>
      <c r="E955" s="3223" t="s">
        <v>4786</v>
      </c>
      <c r="F955" s="3223">
        <v>37.39</v>
      </c>
      <c r="G955" s="3224">
        <f t="shared" si="33"/>
        <v>16.600000000000001</v>
      </c>
      <c r="H955" s="3224">
        <f t="shared" si="34"/>
        <v>0.44408023116547801</v>
      </c>
      <c r="I955" s="3227"/>
      <c r="J955" s="3305"/>
      <c r="K955" s="3306"/>
      <c r="L955" s="3208"/>
    </row>
    <row r="956" spans="1:12">
      <c r="A956" s="3222">
        <v>917</v>
      </c>
      <c r="B956" s="3223" t="s">
        <v>5958</v>
      </c>
      <c r="C956" s="3223"/>
      <c r="D956" s="3223">
        <v>1508</v>
      </c>
      <c r="E956" s="3223" t="s">
        <v>4786</v>
      </c>
      <c r="F956" s="3223">
        <v>37.39</v>
      </c>
      <c r="G956" s="3224">
        <f t="shared" si="33"/>
        <v>16.600000000000001</v>
      </c>
      <c r="H956" s="3224">
        <f t="shared" si="34"/>
        <v>0.44408023116547801</v>
      </c>
      <c r="I956" s="3227"/>
      <c r="J956" s="3305"/>
      <c r="K956" s="3306"/>
      <c r="L956" s="3208"/>
    </row>
    <row r="957" spans="1:12">
      <c r="A957" s="3222">
        <v>918</v>
      </c>
      <c r="B957" s="3223" t="s">
        <v>5958</v>
      </c>
      <c r="C957" s="3223"/>
      <c r="D957" s="3223">
        <v>1509</v>
      </c>
      <c r="E957" s="3223" t="s">
        <v>4786</v>
      </c>
      <c r="F957" s="3223">
        <v>37.39</v>
      </c>
      <c r="G957" s="3224">
        <f t="shared" si="33"/>
        <v>16.600000000000001</v>
      </c>
      <c r="H957" s="3224">
        <f t="shared" si="34"/>
        <v>0.44408023116547801</v>
      </c>
      <c r="I957" s="3227"/>
      <c r="J957" s="3305"/>
      <c r="K957" s="3306"/>
      <c r="L957" s="3208"/>
    </row>
    <row r="958" spans="1:12">
      <c r="A958" s="3222">
        <v>919</v>
      </c>
      <c r="B958" s="3223" t="s">
        <v>5958</v>
      </c>
      <c r="C958" s="3223"/>
      <c r="D958" s="3223">
        <v>1515</v>
      </c>
      <c r="E958" s="3223" t="s">
        <v>4786</v>
      </c>
      <c r="F958" s="3223">
        <v>37.39</v>
      </c>
      <c r="G958" s="3224">
        <f t="shared" si="33"/>
        <v>16.600000000000001</v>
      </c>
      <c r="H958" s="3224">
        <f t="shared" si="34"/>
        <v>0.44408023116547801</v>
      </c>
      <c r="I958" s="3227"/>
      <c r="J958" s="3305"/>
      <c r="K958" s="3306"/>
      <c r="L958" s="3208"/>
    </row>
    <row r="959" spans="1:12">
      <c r="A959" s="3222">
        <v>920</v>
      </c>
      <c r="B959" s="3223" t="s">
        <v>5958</v>
      </c>
      <c r="C959" s="3223"/>
      <c r="D959" s="3223">
        <v>1520</v>
      </c>
      <c r="E959" s="3223" t="s">
        <v>4786</v>
      </c>
      <c r="F959" s="3223">
        <v>37.39</v>
      </c>
      <c r="G959" s="3224">
        <f t="shared" si="33"/>
        <v>16.600000000000001</v>
      </c>
      <c r="H959" s="3224">
        <f t="shared" si="34"/>
        <v>0.44408023116547801</v>
      </c>
      <c r="I959" s="3227"/>
      <c r="J959" s="3305"/>
      <c r="K959" s="3306"/>
      <c r="L959" s="3208"/>
    </row>
    <row r="960" spans="1:12">
      <c r="A960" s="3222">
        <v>921</v>
      </c>
      <c r="B960" s="3223" t="s">
        <v>5958</v>
      </c>
      <c r="C960" s="3223"/>
      <c r="D960" s="3223">
        <v>1521</v>
      </c>
      <c r="E960" s="3223" t="s">
        <v>4786</v>
      </c>
      <c r="F960" s="3223">
        <v>37.39</v>
      </c>
      <c r="G960" s="3224">
        <f t="shared" si="33"/>
        <v>16.600000000000001</v>
      </c>
      <c r="H960" s="3224">
        <f t="shared" si="34"/>
        <v>0.44408023116547801</v>
      </c>
      <c r="I960" s="3227"/>
      <c r="J960" s="3305"/>
      <c r="K960" s="3306"/>
      <c r="L960" s="3208"/>
    </row>
    <row r="961" spans="1:12">
      <c r="A961" s="3222">
        <v>922</v>
      </c>
      <c r="B961" s="3223" t="s">
        <v>5958</v>
      </c>
      <c r="C961" s="3223"/>
      <c r="D961" s="3223">
        <v>1523</v>
      </c>
      <c r="E961" s="3223" t="s">
        <v>4786</v>
      </c>
      <c r="F961" s="3223">
        <v>37.39</v>
      </c>
      <c r="G961" s="3224">
        <f t="shared" si="33"/>
        <v>16.600000000000001</v>
      </c>
      <c r="H961" s="3224">
        <f t="shared" si="34"/>
        <v>0.44408023116547801</v>
      </c>
      <c r="I961" s="3227"/>
      <c r="J961" s="3305"/>
      <c r="K961" s="3306"/>
      <c r="L961" s="3208"/>
    </row>
    <row r="962" spans="1:12">
      <c r="A962" s="3222">
        <v>923</v>
      </c>
      <c r="B962" s="3223" t="s">
        <v>5958</v>
      </c>
      <c r="C962" s="3223"/>
      <c r="D962" s="3223">
        <v>1524</v>
      </c>
      <c r="E962" s="3223" t="s">
        <v>4786</v>
      </c>
      <c r="F962" s="3223">
        <v>37.39</v>
      </c>
      <c r="G962" s="3224">
        <f t="shared" si="33"/>
        <v>16.600000000000001</v>
      </c>
      <c r="H962" s="3224">
        <f t="shared" si="34"/>
        <v>0.44408023116547801</v>
      </c>
      <c r="I962" s="3227"/>
      <c r="J962" s="3305"/>
      <c r="K962" s="3306"/>
      <c r="L962" s="3208"/>
    </row>
    <row r="963" spans="1:12">
      <c r="A963" s="3222">
        <v>924</v>
      </c>
      <c r="B963" s="3223" t="s">
        <v>5958</v>
      </c>
      <c r="C963" s="3223"/>
      <c r="D963" s="3223">
        <v>1525</v>
      </c>
      <c r="E963" s="3223" t="s">
        <v>4786</v>
      </c>
      <c r="F963" s="3223">
        <v>37.39</v>
      </c>
      <c r="G963" s="3224">
        <f t="shared" si="33"/>
        <v>16.600000000000001</v>
      </c>
      <c r="H963" s="3224">
        <f t="shared" si="34"/>
        <v>0.44408023116547801</v>
      </c>
      <c r="I963" s="3227"/>
      <c r="J963" s="3305"/>
      <c r="K963" s="3306"/>
      <c r="L963" s="3208"/>
    </row>
    <row r="964" spans="1:12">
      <c r="A964" s="3222">
        <v>925</v>
      </c>
      <c r="B964" s="3223" t="s">
        <v>5958</v>
      </c>
      <c r="C964" s="3223"/>
      <c r="D964" s="3223">
        <v>1527</v>
      </c>
      <c r="E964" s="3223" t="s">
        <v>4786</v>
      </c>
      <c r="F964" s="3223">
        <v>37.39</v>
      </c>
      <c r="G964" s="3224">
        <f t="shared" si="33"/>
        <v>16.600000000000001</v>
      </c>
      <c r="H964" s="3224">
        <f t="shared" si="34"/>
        <v>0.44408023116547801</v>
      </c>
      <c r="I964" s="3227"/>
      <c r="J964" s="3305"/>
      <c r="K964" s="3306"/>
      <c r="L964" s="3208"/>
    </row>
    <row r="965" spans="1:12">
      <c r="A965" s="3222">
        <v>926</v>
      </c>
      <c r="B965" s="3223" t="s">
        <v>5958</v>
      </c>
      <c r="C965" s="3223"/>
      <c r="D965" s="3223">
        <v>1530</v>
      </c>
      <c r="E965" s="3223" t="s">
        <v>4786</v>
      </c>
      <c r="F965" s="3223">
        <v>37.39</v>
      </c>
      <c r="G965" s="3224">
        <f t="shared" si="33"/>
        <v>16.600000000000001</v>
      </c>
      <c r="H965" s="3224">
        <f t="shared" si="34"/>
        <v>0.44408023116547801</v>
      </c>
      <c r="I965" s="3227"/>
      <c r="J965" s="3305"/>
      <c r="K965" s="3306"/>
      <c r="L965" s="3208"/>
    </row>
    <row r="966" spans="1:12">
      <c r="A966" s="3222">
        <v>927</v>
      </c>
      <c r="B966" s="3223" t="s">
        <v>5958</v>
      </c>
      <c r="C966" s="3223"/>
      <c r="D966" s="3223">
        <v>1531</v>
      </c>
      <c r="E966" s="3223" t="s">
        <v>4786</v>
      </c>
      <c r="F966" s="3223">
        <v>37.39</v>
      </c>
      <c r="G966" s="3224">
        <f t="shared" si="33"/>
        <v>16.600000000000001</v>
      </c>
      <c r="H966" s="3224">
        <f t="shared" si="34"/>
        <v>0.44408023116547801</v>
      </c>
      <c r="I966" s="3227"/>
      <c r="J966" s="3305"/>
      <c r="K966" s="3306"/>
      <c r="L966" s="3208"/>
    </row>
    <row r="967" spans="1:12">
      <c r="A967" s="3222">
        <v>928</v>
      </c>
      <c r="B967" s="3223" t="s">
        <v>5958</v>
      </c>
      <c r="C967" s="3223"/>
      <c r="D967" s="3223">
        <v>1533</v>
      </c>
      <c r="E967" s="3223" t="s">
        <v>4786</v>
      </c>
      <c r="F967" s="3223">
        <v>37.39</v>
      </c>
      <c r="G967" s="3224">
        <f t="shared" si="33"/>
        <v>16.600000000000001</v>
      </c>
      <c r="H967" s="3224">
        <f t="shared" si="34"/>
        <v>0.44408023116547801</v>
      </c>
      <c r="I967" s="3227"/>
      <c r="J967" s="3305"/>
      <c r="K967" s="3306"/>
      <c r="L967" s="3208"/>
    </row>
    <row r="968" spans="1:12">
      <c r="A968" s="3222">
        <v>929</v>
      </c>
      <c r="B968" s="3223" t="s">
        <v>5958</v>
      </c>
      <c r="C968" s="3223"/>
      <c r="D968" s="3223">
        <v>1537</v>
      </c>
      <c r="E968" s="3223" t="s">
        <v>4786</v>
      </c>
      <c r="F968" s="3223">
        <v>37.39</v>
      </c>
      <c r="G968" s="3224">
        <f t="shared" si="33"/>
        <v>16.600000000000001</v>
      </c>
      <c r="H968" s="3224">
        <f t="shared" si="34"/>
        <v>0.44408023116547801</v>
      </c>
      <c r="I968" s="3227"/>
      <c r="J968" s="3305"/>
      <c r="K968" s="3306"/>
      <c r="L968" s="3208"/>
    </row>
    <row r="969" spans="1:12">
      <c r="A969" s="3222">
        <v>930</v>
      </c>
      <c r="B969" s="3223" t="s">
        <v>5958</v>
      </c>
      <c r="C969" s="3223"/>
      <c r="D969" s="3223">
        <v>1540</v>
      </c>
      <c r="E969" s="3223" t="s">
        <v>4786</v>
      </c>
      <c r="F969" s="3223">
        <v>37.39</v>
      </c>
      <c r="G969" s="3224">
        <f t="shared" si="33"/>
        <v>16.600000000000001</v>
      </c>
      <c r="H969" s="3224">
        <f t="shared" si="34"/>
        <v>0.44408023116547801</v>
      </c>
      <c r="I969" s="3227"/>
      <c r="J969" s="3305"/>
      <c r="K969" s="3306"/>
      <c r="L969" s="3208"/>
    </row>
    <row r="970" spans="1:12">
      <c r="A970" s="3222">
        <v>931</v>
      </c>
      <c r="B970" s="3223" t="s">
        <v>5958</v>
      </c>
      <c r="C970" s="3223"/>
      <c r="D970" s="3223">
        <v>1541</v>
      </c>
      <c r="E970" s="3223" t="s">
        <v>4786</v>
      </c>
      <c r="F970" s="3223">
        <v>37.39</v>
      </c>
      <c r="G970" s="3224">
        <f t="shared" si="33"/>
        <v>16.600000000000001</v>
      </c>
      <c r="H970" s="3224">
        <f t="shared" si="34"/>
        <v>0.44408023116547801</v>
      </c>
      <c r="I970" s="3227"/>
      <c r="J970" s="3305"/>
      <c r="K970" s="3306"/>
      <c r="L970" s="3208"/>
    </row>
    <row r="971" spans="1:12">
      <c r="A971" s="3222">
        <v>932</v>
      </c>
      <c r="B971" s="3223" t="s">
        <v>5958</v>
      </c>
      <c r="C971" s="3223"/>
      <c r="D971" s="3223">
        <v>1543</v>
      </c>
      <c r="E971" s="3223" t="s">
        <v>4786</v>
      </c>
      <c r="F971" s="3223">
        <v>37.39</v>
      </c>
      <c r="G971" s="3224">
        <f t="shared" si="33"/>
        <v>16.600000000000001</v>
      </c>
      <c r="H971" s="3224">
        <f t="shared" si="34"/>
        <v>0.44408023116547801</v>
      </c>
      <c r="I971" s="3227"/>
      <c r="J971" s="3305"/>
      <c r="K971" s="3306"/>
      <c r="L971" s="3208"/>
    </row>
    <row r="972" spans="1:12">
      <c r="A972" s="3222">
        <v>933</v>
      </c>
      <c r="B972" s="3223" t="s">
        <v>5958</v>
      </c>
      <c r="C972" s="3223"/>
      <c r="D972" s="3223">
        <v>1544</v>
      </c>
      <c r="E972" s="3223" t="s">
        <v>4786</v>
      </c>
      <c r="F972" s="3223">
        <v>37.39</v>
      </c>
      <c r="G972" s="3224">
        <f t="shared" si="33"/>
        <v>16.600000000000001</v>
      </c>
      <c r="H972" s="3224">
        <f t="shared" si="34"/>
        <v>0.44408023116547801</v>
      </c>
      <c r="I972" s="3227"/>
      <c r="J972" s="3305"/>
      <c r="K972" s="3306"/>
      <c r="L972" s="3208"/>
    </row>
    <row r="973" spans="1:12">
      <c r="A973" s="3222">
        <v>934</v>
      </c>
      <c r="B973" s="3223" t="s">
        <v>5958</v>
      </c>
      <c r="C973" s="3223"/>
      <c r="D973" s="3223">
        <v>1545</v>
      </c>
      <c r="E973" s="3223" t="s">
        <v>4786</v>
      </c>
      <c r="F973" s="3223">
        <v>37.39</v>
      </c>
      <c r="G973" s="3224">
        <f t="shared" si="33"/>
        <v>16.600000000000001</v>
      </c>
      <c r="H973" s="3224">
        <f t="shared" si="34"/>
        <v>0.44408023116547801</v>
      </c>
      <c r="I973" s="3227"/>
      <c r="J973" s="3305"/>
      <c r="K973" s="3306"/>
      <c r="L973" s="3208"/>
    </row>
    <row r="974" spans="1:12">
      <c r="A974" s="3222">
        <v>935</v>
      </c>
      <c r="B974" s="3223" t="s">
        <v>5958</v>
      </c>
      <c r="C974" s="3223"/>
      <c r="D974" s="3223">
        <v>1546</v>
      </c>
      <c r="E974" s="3223" t="s">
        <v>4786</v>
      </c>
      <c r="F974" s="3223">
        <v>37.39</v>
      </c>
      <c r="G974" s="3224">
        <f t="shared" si="33"/>
        <v>16.600000000000001</v>
      </c>
      <c r="H974" s="3224">
        <f t="shared" si="34"/>
        <v>0.44408023116547801</v>
      </c>
      <c r="I974" s="3227"/>
      <c r="J974" s="3305"/>
      <c r="K974" s="3306"/>
      <c r="L974" s="3208"/>
    </row>
    <row r="975" spans="1:12">
      <c r="A975" s="3222">
        <v>936</v>
      </c>
      <c r="B975" s="3223" t="s">
        <v>5958</v>
      </c>
      <c r="C975" s="3223"/>
      <c r="D975" s="3223">
        <v>1547</v>
      </c>
      <c r="E975" s="3223" t="s">
        <v>4786</v>
      </c>
      <c r="F975" s="3223">
        <v>37.39</v>
      </c>
      <c r="G975" s="3224">
        <f t="shared" si="33"/>
        <v>16.600000000000001</v>
      </c>
      <c r="H975" s="3224">
        <f t="shared" si="34"/>
        <v>0.44408023116547801</v>
      </c>
      <c r="I975" s="3227"/>
      <c r="J975" s="3305"/>
      <c r="K975" s="3306"/>
      <c r="L975" s="3208"/>
    </row>
    <row r="976" spans="1:12">
      <c r="A976" s="3222">
        <v>937</v>
      </c>
      <c r="B976" s="3223" t="s">
        <v>5958</v>
      </c>
      <c r="C976" s="3223"/>
      <c r="D976" s="3223">
        <v>1548</v>
      </c>
      <c r="E976" s="3223" t="s">
        <v>4786</v>
      </c>
      <c r="F976" s="3223">
        <v>55.34</v>
      </c>
      <c r="G976" s="3224">
        <f t="shared" si="33"/>
        <v>24.58</v>
      </c>
      <c r="H976" s="3224">
        <f t="shared" si="34"/>
        <v>0.44408023116547801</v>
      </c>
      <c r="I976" s="3227"/>
      <c r="J976" s="3305"/>
      <c r="K976" s="3306"/>
      <c r="L976" s="3208"/>
    </row>
    <row r="977" spans="1:12">
      <c r="A977" s="3222">
        <v>938</v>
      </c>
      <c r="B977" s="3223" t="s">
        <v>5958</v>
      </c>
      <c r="C977" s="3223"/>
      <c r="D977" s="3223">
        <v>1549</v>
      </c>
      <c r="E977" s="3223" t="s">
        <v>4786</v>
      </c>
      <c r="F977" s="3223">
        <v>37.39</v>
      </c>
      <c r="G977" s="3224">
        <f t="shared" si="33"/>
        <v>16.600000000000001</v>
      </c>
      <c r="H977" s="3224">
        <f t="shared" si="34"/>
        <v>0.44408023116547801</v>
      </c>
      <c r="I977" s="3227"/>
      <c r="J977" s="3305"/>
      <c r="K977" s="3306"/>
      <c r="L977" s="3208"/>
    </row>
    <row r="978" spans="1:12">
      <c r="A978" s="3222">
        <v>939</v>
      </c>
      <c r="B978" s="3223" t="s">
        <v>5958</v>
      </c>
      <c r="C978" s="3223"/>
      <c r="D978" s="3223">
        <v>1553</v>
      </c>
      <c r="E978" s="3223" t="s">
        <v>4786</v>
      </c>
      <c r="F978" s="3223">
        <v>37.39</v>
      </c>
      <c r="G978" s="3224">
        <f t="shared" si="33"/>
        <v>16.600000000000001</v>
      </c>
      <c r="H978" s="3224">
        <f t="shared" si="34"/>
        <v>0.44408023116547801</v>
      </c>
      <c r="I978" s="3227"/>
      <c r="J978" s="3305"/>
      <c r="K978" s="3306"/>
      <c r="L978" s="3208"/>
    </row>
    <row r="979" spans="1:12">
      <c r="A979" s="3222">
        <v>940</v>
      </c>
      <c r="B979" s="3223" t="s">
        <v>5958</v>
      </c>
      <c r="C979" s="3223"/>
      <c r="D979" s="3223">
        <v>1554</v>
      </c>
      <c r="E979" s="3223" t="s">
        <v>4786</v>
      </c>
      <c r="F979" s="3223">
        <v>37.39</v>
      </c>
      <c r="G979" s="3224">
        <f t="shared" si="33"/>
        <v>16.600000000000001</v>
      </c>
      <c r="H979" s="3224">
        <f t="shared" si="34"/>
        <v>0.44408023116547801</v>
      </c>
      <c r="I979" s="3227"/>
      <c r="J979" s="3305"/>
      <c r="K979" s="3306"/>
      <c r="L979" s="3208"/>
    </row>
    <row r="980" spans="1:12">
      <c r="A980" s="3222">
        <v>941</v>
      </c>
      <c r="B980" s="3223" t="s">
        <v>5958</v>
      </c>
      <c r="C980" s="3223"/>
      <c r="D980" s="3223">
        <v>1555</v>
      </c>
      <c r="E980" s="3223" t="s">
        <v>4786</v>
      </c>
      <c r="F980" s="3223">
        <v>37.39</v>
      </c>
      <c r="G980" s="3224">
        <f t="shared" si="33"/>
        <v>16.600000000000001</v>
      </c>
      <c r="H980" s="3224">
        <f t="shared" si="34"/>
        <v>0.44408023116547801</v>
      </c>
      <c r="I980" s="3227"/>
      <c r="J980" s="3305"/>
      <c r="K980" s="3306"/>
      <c r="L980" s="3208"/>
    </row>
    <row r="981" spans="1:12">
      <c r="A981" s="3222">
        <v>942</v>
      </c>
      <c r="B981" s="3223" t="s">
        <v>5958</v>
      </c>
      <c r="C981" s="3223"/>
      <c r="D981" s="3223">
        <v>1556</v>
      </c>
      <c r="E981" s="3223" t="s">
        <v>4786</v>
      </c>
      <c r="F981" s="3223">
        <v>37.39</v>
      </c>
      <c r="G981" s="3224">
        <f t="shared" si="33"/>
        <v>16.600000000000001</v>
      </c>
      <c r="H981" s="3224">
        <f t="shared" si="34"/>
        <v>0.44408023116547801</v>
      </c>
      <c r="I981" s="3227"/>
      <c r="J981" s="3305"/>
      <c r="K981" s="3306"/>
      <c r="L981" s="3208"/>
    </row>
    <row r="982" spans="1:12">
      <c r="A982" s="3222">
        <v>943</v>
      </c>
      <c r="B982" s="3223" t="s">
        <v>5958</v>
      </c>
      <c r="C982" s="3223"/>
      <c r="D982" s="3223">
        <v>1557</v>
      </c>
      <c r="E982" s="3223" t="s">
        <v>4786</v>
      </c>
      <c r="F982" s="3223">
        <v>37.39</v>
      </c>
      <c r="G982" s="3224">
        <f t="shared" si="33"/>
        <v>16.600000000000001</v>
      </c>
      <c r="H982" s="3224">
        <f t="shared" si="34"/>
        <v>0.44408023116547801</v>
      </c>
      <c r="I982" s="3227"/>
      <c r="J982" s="3305"/>
      <c r="K982" s="3306"/>
      <c r="L982" s="3208"/>
    </row>
    <row r="983" spans="1:12">
      <c r="A983" s="3222">
        <v>944</v>
      </c>
      <c r="B983" s="3223" t="s">
        <v>5958</v>
      </c>
      <c r="C983" s="3223"/>
      <c r="D983" s="3223">
        <v>1558</v>
      </c>
      <c r="E983" s="3223" t="s">
        <v>4786</v>
      </c>
      <c r="F983" s="3223">
        <v>37.39</v>
      </c>
      <c r="G983" s="3224">
        <f t="shared" si="33"/>
        <v>16.600000000000001</v>
      </c>
      <c r="H983" s="3224">
        <f t="shared" si="34"/>
        <v>0.44408023116547801</v>
      </c>
      <c r="I983" s="3227"/>
      <c r="J983" s="3305"/>
      <c r="K983" s="3306"/>
      <c r="L983" s="3208"/>
    </row>
    <row r="984" spans="1:12">
      <c r="A984" s="3222">
        <v>945</v>
      </c>
      <c r="B984" s="3223" t="s">
        <v>5958</v>
      </c>
      <c r="C984" s="3223"/>
      <c r="D984" s="3223">
        <v>1559</v>
      </c>
      <c r="E984" s="3223" t="s">
        <v>4786</v>
      </c>
      <c r="F984" s="3223">
        <v>37.39</v>
      </c>
      <c r="G984" s="3224">
        <f t="shared" si="33"/>
        <v>16.600000000000001</v>
      </c>
      <c r="H984" s="3224">
        <f t="shared" si="34"/>
        <v>0.44408023116547801</v>
      </c>
      <c r="I984" s="3227"/>
      <c r="J984" s="3305"/>
      <c r="K984" s="3306"/>
      <c r="L984" s="3208"/>
    </row>
    <row r="985" spans="1:12">
      <c r="A985" s="3222">
        <v>946</v>
      </c>
      <c r="B985" s="3223" t="s">
        <v>5958</v>
      </c>
      <c r="C985" s="3223"/>
      <c r="D985" s="3223">
        <v>1560</v>
      </c>
      <c r="E985" s="3223" t="s">
        <v>4786</v>
      </c>
      <c r="F985" s="3223">
        <v>37.39</v>
      </c>
      <c r="G985" s="3224">
        <f t="shared" si="33"/>
        <v>16.600000000000001</v>
      </c>
      <c r="H985" s="3224">
        <f t="shared" si="34"/>
        <v>0.44408023116547801</v>
      </c>
      <c r="I985" s="3227"/>
      <c r="J985" s="3305"/>
      <c r="K985" s="3306"/>
      <c r="L985" s="3208"/>
    </row>
    <row r="986" spans="1:12">
      <c r="A986" s="3222">
        <v>947</v>
      </c>
      <c r="B986" s="3223" t="s">
        <v>5958</v>
      </c>
      <c r="C986" s="3223"/>
      <c r="D986" s="3223">
        <v>1566</v>
      </c>
      <c r="E986" s="3223" t="s">
        <v>4786</v>
      </c>
      <c r="F986" s="3223">
        <v>37.39</v>
      </c>
      <c r="G986" s="3224">
        <f t="shared" si="33"/>
        <v>16.600000000000001</v>
      </c>
      <c r="H986" s="3224">
        <f t="shared" si="34"/>
        <v>0.44408023116547801</v>
      </c>
      <c r="I986" s="3227"/>
      <c r="J986" s="3305"/>
      <c r="K986" s="3306"/>
      <c r="L986" s="3208"/>
    </row>
    <row r="987" spans="1:12">
      <c r="A987" s="3222">
        <v>948</v>
      </c>
      <c r="B987" s="3223" t="s">
        <v>5958</v>
      </c>
      <c r="C987" s="3223"/>
      <c r="D987" s="3223">
        <v>1568</v>
      </c>
      <c r="E987" s="3223" t="s">
        <v>4786</v>
      </c>
      <c r="F987" s="3223">
        <v>37.39</v>
      </c>
      <c r="G987" s="3224">
        <f t="shared" si="33"/>
        <v>16.600000000000001</v>
      </c>
      <c r="H987" s="3224">
        <f t="shared" si="34"/>
        <v>0.44408023116547801</v>
      </c>
      <c r="I987" s="3227"/>
      <c r="J987" s="3305"/>
      <c r="K987" s="3306"/>
      <c r="L987" s="3208"/>
    </row>
    <row r="988" spans="1:12">
      <c r="A988" s="3222">
        <v>949</v>
      </c>
      <c r="B988" s="3223" t="s">
        <v>5958</v>
      </c>
      <c r="C988" s="3223"/>
      <c r="D988" s="3223">
        <v>1569</v>
      </c>
      <c r="E988" s="3223" t="s">
        <v>4786</v>
      </c>
      <c r="F988" s="3223">
        <v>37.39</v>
      </c>
      <c r="G988" s="3224">
        <f t="shared" si="33"/>
        <v>16.600000000000001</v>
      </c>
      <c r="H988" s="3224">
        <f t="shared" si="34"/>
        <v>0.44408023116547801</v>
      </c>
      <c r="I988" s="3227"/>
      <c r="J988" s="3305"/>
      <c r="K988" s="3306"/>
      <c r="L988" s="3208"/>
    </row>
    <row r="989" spans="1:12">
      <c r="A989" s="3222">
        <v>950</v>
      </c>
      <c r="B989" s="3223" t="s">
        <v>5958</v>
      </c>
      <c r="C989" s="3223"/>
      <c r="D989" s="3223">
        <v>1574</v>
      </c>
      <c r="E989" s="3223" t="s">
        <v>4786</v>
      </c>
      <c r="F989" s="3223">
        <v>37.39</v>
      </c>
      <c r="G989" s="3224">
        <f t="shared" si="33"/>
        <v>16.600000000000001</v>
      </c>
      <c r="H989" s="3224">
        <f t="shared" si="34"/>
        <v>0.44408023116547801</v>
      </c>
      <c r="I989" s="3227"/>
      <c r="J989" s="3305"/>
      <c r="K989" s="3306"/>
      <c r="L989" s="3208"/>
    </row>
    <row r="990" spans="1:12">
      <c r="A990" s="3222">
        <v>951</v>
      </c>
      <c r="B990" s="3223" t="s">
        <v>5958</v>
      </c>
      <c r="C990" s="3223"/>
      <c r="D990" s="3223">
        <v>1575</v>
      </c>
      <c r="E990" s="3223" t="s">
        <v>4786</v>
      </c>
      <c r="F990" s="3223">
        <v>37.39</v>
      </c>
      <c r="G990" s="3224">
        <f t="shared" si="33"/>
        <v>16.600000000000001</v>
      </c>
      <c r="H990" s="3224">
        <f t="shared" si="34"/>
        <v>0.44408023116547801</v>
      </c>
      <c r="I990" s="3227"/>
      <c r="J990" s="3305"/>
      <c r="K990" s="3306"/>
      <c r="L990" s="3208"/>
    </row>
    <row r="991" spans="1:12">
      <c r="A991" s="3222">
        <v>952</v>
      </c>
      <c r="B991" s="3223" t="s">
        <v>5958</v>
      </c>
      <c r="C991" s="3223"/>
      <c r="D991" s="3223">
        <v>1576</v>
      </c>
      <c r="E991" s="3223" t="s">
        <v>4786</v>
      </c>
      <c r="F991" s="3223">
        <v>37.39</v>
      </c>
      <c r="G991" s="3224">
        <f t="shared" si="33"/>
        <v>16.600000000000001</v>
      </c>
      <c r="H991" s="3224">
        <f t="shared" si="34"/>
        <v>0.44408023116547801</v>
      </c>
      <c r="I991" s="3227"/>
      <c r="J991" s="3305"/>
      <c r="K991" s="3306"/>
      <c r="L991" s="3208"/>
    </row>
    <row r="992" spans="1:12">
      <c r="A992" s="3222">
        <v>953</v>
      </c>
      <c r="B992" s="3223" t="s">
        <v>5958</v>
      </c>
      <c r="C992" s="3223"/>
      <c r="D992" s="3223">
        <v>1577</v>
      </c>
      <c r="E992" s="3223" t="s">
        <v>4786</v>
      </c>
      <c r="F992" s="3223">
        <v>37.39</v>
      </c>
      <c r="G992" s="3224">
        <f t="shared" si="33"/>
        <v>16.600000000000001</v>
      </c>
      <c r="H992" s="3224">
        <f t="shared" si="34"/>
        <v>0.44408023116547801</v>
      </c>
      <c r="I992" s="3227"/>
      <c r="J992" s="3305"/>
      <c r="K992" s="3306"/>
      <c r="L992" s="3208"/>
    </row>
    <row r="993" spans="1:12">
      <c r="A993" s="3222">
        <v>954</v>
      </c>
      <c r="B993" s="3223" t="s">
        <v>5958</v>
      </c>
      <c r="C993" s="3223"/>
      <c r="D993" s="3223">
        <v>1578</v>
      </c>
      <c r="E993" s="3223" t="s">
        <v>4786</v>
      </c>
      <c r="F993" s="3223">
        <v>37.39</v>
      </c>
      <c r="G993" s="3224">
        <f t="shared" si="33"/>
        <v>16.600000000000001</v>
      </c>
      <c r="H993" s="3224">
        <f t="shared" si="34"/>
        <v>0.44408023116547801</v>
      </c>
      <c r="I993" s="3227"/>
      <c r="J993" s="3305"/>
      <c r="K993" s="3306"/>
      <c r="L993" s="3208"/>
    </row>
    <row r="994" spans="1:12">
      <c r="A994" s="3222">
        <v>955</v>
      </c>
      <c r="B994" s="3223" t="s">
        <v>5958</v>
      </c>
      <c r="C994" s="3223"/>
      <c r="D994" s="3223">
        <v>1580</v>
      </c>
      <c r="E994" s="3223" t="s">
        <v>4786</v>
      </c>
      <c r="F994" s="3223">
        <v>37.39</v>
      </c>
      <c r="G994" s="3224">
        <f t="shared" si="33"/>
        <v>16.600000000000001</v>
      </c>
      <c r="H994" s="3224">
        <f t="shared" si="34"/>
        <v>0.44408023116547801</v>
      </c>
      <c r="I994" s="3227"/>
      <c r="J994" s="3305"/>
      <c r="K994" s="3306"/>
      <c r="L994" s="3208"/>
    </row>
    <row r="995" spans="1:12">
      <c r="A995" s="3222">
        <v>956</v>
      </c>
      <c r="B995" s="3223" t="s">
        <v>5958</v>
      </c>
      <c r="C995" s="3223"/>
      <c r="D995" s="3223">
        <v>1581</v>
      </c>
      <c r="E995" s="3223" t="s">
        <v>4786</v>
      </c>
      <c r="F995" s="3223">
        <v>37.39</v>
      </c>
      <c r="G995" s="3224">
        <f t="shared" si="33"/>
        <v>16.600000000000001</v>
      </c>
      <c r="H995" s="3224">
        <f t="shared" si="34"/>
        <v>0.44408023116547801</v>
      </c>
      <c r="I995" s="3227"/>
      <c r="J995" s="3305"/>
      <c r="K995" s="3306"/>
      <c r="L995" s="3208"/>
    </row>
    <row r="996" spans="1:12">
      <c r="A996" s="3222">
        <v>957</v>
      </c>
      <c r="B996" s="3223" t="s">
        <v>5958</v>
      </c>
      <c r="C996" s="3223"/>
      <c r="D996" s="3223">
        <v>1582</v>
      </c>
      <c r="E996" s="3223" t="s">
        <v>4786</v>
      </c>
      <c r="F996" s="3223">
        <v>37.39</v>
      </c>
      <c r="G996" s="3224">
        <f t="shared" si="33"/>
        <v>16.600000000000001</v>
      </c>
      <c r="H996" s="3224">
        <f t="shared" si="34"/>
        <v>0.44408023116547801</v>
      </c>
      <c r="I996" s="3227"/>
      <c r="J996" s="3305"/>
      <c r="K996" s="3306"/>
      <c r="L996" s="3208"/>
    </row>
    <row r="997" spans="1:12">
      <c r="A997" s="3222">
        <v>958</v>
      </c>
      <c r="B997" s="3223" t="s">
        <v>5958</v>
      </c>
      <c r="C997" s="3223"/>
      <c r="D997" s="3223">
        <v>1584</v>
      </c>
      <c r="E997" s="3223" t="s">
        <v>4786</v>
      </c>
      <c r="F997" s="3223">
        <v>37.39</v>
      </c>
      <c r="G997" s="3224">
        <f t="shared" si="33"/>
        <v>16.600000000000001</v>
      </c>
      <c r="H997" s="3224">
        <f t="shared" si="34"/>
        <v>0.44408023116547801</v>
      </c>
      <c r="I997" s="3227"/>
      <c r="J997" s="3305"/>
      <c r="K997" s="3306"/>
      <c r="L997" s="3208"/>
    </row>
    <row r="998" spans="1:12">
      <c r="A998" s="3222">
        <v>959</v>
      </c>
      <c r="B998" s="3223" t="s">
        <v>5958</v>
      </c>
      <c r="C998" s="3223"/>
      <c r="D998" s="3223">
        <v>1586</v>
      </c>
      <c r="E998" s="3223" t="s">
        <v>4786</v>
      </c>
      <c r="F998" s="3223">
        <v>37.39</v>
      </c>
      <c r="G998" s="3224">
        <f t="shared" si="33"/>
        <v>16.600000000000001</v>
      </c>
      <c r="H998" s="3224">
        <f t="shared" si="34"/>
        <v>0.44408023116547801</v>
      </c>
      <c r="I998" s="3227"/>
      <c r="J998" s="3305"/>
      <c r="K998" s="3306"/>
      <c r="L998" s="3208"/>
    </row>
    <row r="999" spans="1:12">
      <c r="A999" s="3222">
        <v>960</v>
      </c>
      <c r="B999" s="3223" t="s">
        <v>5958</v>
      </c>
      <c r="C999" s="3223"/>
      <c r="D999" s="3223">
        <v>1587</v>
      </c>
      <c r="E999" s="3223" t="s">
        <v>4786</v>
      </c>
      <c r="F999" s="3223">
        <v>37.39</v>
      </c>
      <c r="G999" s="3224">
        <f t="shared" si="33"/>
        <v>16.600000000000001</v>
      </c>
      <c r="H999" s="3224">
        <f t="shared" si="34"/>
        <v>0.44408023116547801</v>
      </c>
      <c r="I999" s="3227"/>
      <c r="J999" s="3305"/>
      <c r="K999" s="3306"/>
      <c r="L999" s="3208"/>
    </row>
    <row r="1000" spans="1:12">
      <c r="A1000" s="3222">
        <v>961</v>
      </c>
      <c r="B1000" s="3223" t="s">
        <v>5958</v>
      </c>
      <c r="C1000" s="3223"/>
      <c r="D1000" s="3223">
        <v>1589</v>
      </c>
      <c r="E1000" s="3223" t="s">
        <v>4786</v>
      </c>
      <c r="F1000" s="3223">
        <v>35.9</v>
      </c>
      <c r="G1000" s="3224">
        <f t="shared" si="33"/>
        <v>15.94</v>
      </c>
      <c r="H1000" s="3224">
        <f t="shared" si="34"/>
        <v>0.44408023116547801</v>
      </c>
      <c r="I1000" s="3227"/>
      <c r="J1000" s="3314"/>
      <c r="K1000" s="3315"/>
      <c r="L1000" s="3208"/>
    </row>
    <row r="1001" spans="1:12">
      <c r="A1001" s="3222">
        <v>962</v>
      </c>
      <c r="B1001" s="3223" t="s">
        <v>5958</v>
      </c>
      <c r="C1001" s="3223"/>
      <c r="D1001" s="3223">
        <v>1590</v>
      </c>
      <c r="E1001" s="3223" t="s">
        <v>4786</v>
      </c>
      <c r="F1001" s="3223">
        <v>37.39</v>
      </c>
      <c r="G1001" s="3224">
        <f t="shared" ref="G1001:G1064" si="35">ROUND(F1001*H1001,2)</f>
        <v>16.600000000000001</v>
      </c>
      <c r="H1001" s="3224">
        <f t="shared" si="34"/>
        <v>0.44408023116547801</v>
      </c>
      <c r="I1001" s="3227"/>
      <c r="J1001" s="3305"/>
      <c r="K1001" s="3306"/>
      <c r="L1001" s="3208"/>
    </row>
    <row r="1002" spans="1:12">
      <c r="A1002" s="3222">
        <v>963</v>
      </c>
      <c r="B1002" s="3223" t="s">
        <v>5958</v>
      </c>
      <c r="C1002" s="3223"/>
      <c r="D1002" s="3223">
        <v>1591</v>
      </c>
      <c r="E1002" s="3223" t="s">
        <v>4786</v>
      </c>
      <c r="F1002" s="3223">
        <v>37.39</v>
      </c>
      <c r="G1002" s="3224">
        <f t="shared" si="35"/>
        <v>16.600000000000001</v>
      </c>
      <c r="H1002" s="3224">
        <f t="shared" si="34"/>
        <v>0.44408023116547801</v>
      </c>
      <c r="I1002" s="3227"/>
      <c r="J1002" s="3305"/>
      <c r="K1002" s="3306"/>
      <c r="L1002" s="3208"/>
    </row>
    <row r="1003" spans="1:12">
      <c r="A1003" s="3222">
        <v>964</v>
      </c>
      <c r="B1003" s="3223" t="s">
        <v>5958</v>
      </c>
      <c r="C1003" s="3223"/>
      <c r="D1003" s="3223">
        <v>1592</v>
      </c>
      <c r="E1003" s="3223" t="s">
        <v>4786</v>
      </c>
      <c r="F1003" s="3223">
        <v>37.39</v>
      </c>
      <c r="G1003" s="3224">
        <f t="shared" si="35"/>
        <v>16.600000000000001</v>
      </c>
      <c r="H1003" s="3224">
        <f t="shared" si="34"/>
        <v>0.44408023116547801</v>
      </c>
      <c r="I1003" s="3227"/>
      <c r="J1003" s="3305"/>
      <c r="K1003" s="3306"/>
      <c r="L1003" s="3208"/>
    </row>
    <row r="1004" spans="1:12">
      <c r="A1004" s="3222">
        <v>965</v>
      </c>
      <c r="B1004" s="3223" t="s">
        <v>5958</v>
      </c>
      <c r="C1004" s="3223"/>
      <c r="D1004" s="3223">
        <v>1593</v>
      </c>
      <c r="E1004" s="3223" t="s">
        <v>4786</v>
      </c>
      <c r="F1004" s="3223">
        <v>37.39</v>
      </c>
      <c r="G1004" s="3224">
        <f t="shared" si="35"/>
        <v>16.600000000000001</v>
      </c>
      <c r="H1004" s="3224">
        <f t="shared" si="34"/>
        <v>0.44408023116547801</v>
      </c>
      <c r="I1004" s="3227"/>
      <c r="J1004" s="3305"/>
      <c r="K1004" s="3306"/>
      <c r="L1004" s="3208"/>
    </row>
    <row r="1005" spans="1:12">
      <c r="A1005" s="3222">
        <v>966</v>
      </c>
      <c r="B1005" s="3223" t="s">
        <v>5958</v>
      </c>
      <c r="C1005" s="3223"/>
      <c r="D1005" s="3223">
        <v>1594</v>
      </c>
      <c r="E1005" s="3223" t="s">
        <v>4786</v>
      </c>
      <c r="F1005" s="3223">
        <v>37.39</v>
      </c>
      <c r="G1005" s="3224">
        <f t="shared" si="35"/>
        <v>16.600000000000001</v>
      </c>
      <c r="H1005" s="3224">
        <f t="shared" si="34"/>
        <v>0.44408023116547801</v>
      </c>
      <c r="I1005" s="3227"/>
      <c r="J1005" s="3305"/>
      <c r="K1005" s="3306"/>
      <c r="L1005" s="3208"/>
    </row>
    <row r="1006" spans="1:12">
      <c r="A1006" s="3222">
        <v>967</v>
      </c>
      <c r="B1006" s="3223" t="s">
        <v>5958</v>
      </c>
      <c r="C1006" s="3223"/>
      <c r="D1006" s="3223">
        <v>1595</v>
      </c>
      <c r="E1006" s="3223" t="s">
        <v>4786</v>
      </c>
      <c r="F1006" s="3223">
        <v>37.39</v>
      </c>
      <c r="G1006" s="3224">
        <f t="shared" si="35"/>
        <v>16.600000000000001</v>
      </c>
      <c r="H1006" s="3224">
        <f t="shared" si="34"/>
        <v>0.44408023116547801</v>
      </c>
      <c r="I1006" s="3227"/>
      <c r="J1006" s="3305"/>
      <c r="K1006" s="3306"/>
      <c r="L1006" s="3208"/>
    </row>
    <row r="1007" spans="1:12">
      <c r="A1007" s="3222">
        <v>968</v>
      </c>
      <c r="B1007" s="3223" t="s">
        <v>5958</v>
      </c>
      <c r="C1007" s="3223"/>
      <c r="D1007" s="3223">
        <v>1596</v>
      </c>
      <c r="E1007" s="3223" t="s">
        <v>4786</v>
      </c>
      <c r="F1007" s="3223">
        <v>37.39</v>
      </c>
      <c r="G1007" s="3224">
        <f t="shared" si="35"/>
        <v>16.600000000000001</v>
      </c>
      <c r="H1007" s="3224">
        <f t="shared" si="34"/>
        <v>0.44408023116547801</v>
      </c>
      <c r="I1007" s="3227"/>
      <c r="J1007" s="3305"/>
      <c r="K1007" s="3306"/>
      <c r="L1007" s="3208"/>
    </row>
    <row r="1008" spans="1:12">
      <c r="A1008" s="3222">
        <v>969</v>
      </c>
      <c r="B1008" s="3223" t="s">
        <v>5958</v>
      </c>
      <c r="C1008" s="3223"/>
      <c r="D1008" s="3223">
        <v>1597</v>
      </c>
      <c r="E1008" s="3223" t="s">
        <v>4786</v>
      </c>
      <c r="F1008" s="3223">
        <v>37.39</v>
      </c>
      <c r="G1008" s="3224">
        <f t="shared" si="35"/>
        <v>16.600000000000001</v>
      </c>
      <c r="H1008" s="3224">
        <f t="shared" si="34"/>
        <v>0.44408023116547801</v>
      </c>
      <c r="I1008" s="3227"/>
      <c r="J1008" s="3305"/>
      <c r="K1008" s="3306"/>
      <c r="L1008" s="3208"/>
    </row>
    <row r="1009" spans="1:12">
      <c r="A1009" s="3222">
        <v>970</v>
      </c>
      <c r="B1009" s="3223" t="s">
        <v>5958</v>
      </c>
      <c r="C1009" s="3223"/>
      <c r="D1009" s="3223">
        <v>1603</v>
      </c>
      <c r="E1009" s="3223" t="s">
        <v>4786</v>
      </c>
      <c r="F1009" s="3223">
        <v>37.39</v>
      </c>
      <c r="G1009" s="3224">
        <f t="shared" si="35"/>
        <v>16.600000000000001</v>
      </c>
      <c r="H1009" s="3224">
        <f t="shared" si="34"/>
        <v>0.44408023116547801</v>
      </c>
      <c r="I1009" s="3227"/>
      <c r="J1009" s="3305"/>
      <c r="K1009" s="3306"/>
      <c r="L1009" s="3208"/>
    </row>
    <row r="1010" spans="1:12">
      <c r="A1010" s="3222">
        <v>971</v>
      </c>
      <c r="B1010" s="3223" t="s">
        <v>5958</v>
      </c>
      <c r="C1010" s="3223"/>
      <c r="D1010" s="3223">
        <v>1604</v>
      </c>
      <c r="E1010" s="3223" t="s">
        <v>4786</v>
      </c>
      <c r="F1010" s="3223">
        <v>37.39</v>
      </c>
      <c r="G1010" s="3224">
        <f t="shared" si="35"/>
        <v>16.600000000000001</v>
      </c>
      <c r="H1010" s="3224">
        <f t="shared" si="34"/>
        <v>0.44408023116547801</v>
      </c>
      <c r="I1010" s="3227"/>
      <c r="J1010" s="3305"/>
      <c r="K1010" s="3306"/>
      <c r="L1010" s="3208"/>
    </row>
    <row r="1011" spans="1:12">
      <c r="A1011" s="3222">
        <v>972</v>
      </c>
      <c r="B1011" s="3223" t="s">
        <v>5958</v>
      </c>
      <c r="C1011" s="3223"/>
      <c r="D1011" s="3223">
        <v>1607</v>
      </c>
      <c r="E1011" s="3223" t="s">
        <v>4786</v>
      </c>
      <c r="F1011" s="3223">
        <v>37.39</v>
      </c>
      <c r="G1011" s="3224">
        <f t="shared" si="35"/>
        <v>16.600000000000001</v>
      </c>
      <c r="H1011" s="3224">
        <f t="shared" si="34"/>
        <v>0.44408023116547801</v>
      </c>
      <c r="I1011" s="3227"/>
      <c r="J1011" s="3305"/>
      <c r="K1011" s="3306"/>
      <c r="L1011" s="3208"/>
    </row>
    <row r="1012" spans="1:12">
      <c r="A1012" s="3222">
        <v>973</v>
      </c>
      <c r="B1012" s="3223" t="s">
        <v>5958</v>
      </c>
      <c r="C1012" s="3223"/>
      <c r="D1012" s="3223">
        <v>1608</v>
      </c>
      <c r="E1012" s="3223" t="s">
        <v>4786</v>
      </c>
      <c r="F1012" s="3223">
        <v>37.39</v>
      </c>
      <c r="G1012" s="3224">
        <f t="shared" si="35"/>
        <v>16.600000000000001</v>
      </c>
      <c r="H1012" s="3224">
        <f t="shared" si="34"/>
        <v>0.44408023116547801</v>
      </c>
      <c r="I1012" s="3227"/>
      <c r="J1012" s="3305"/>
      <c r="K1012" s="3306"/>
      <c r="L1012" s="3208"/>
    </row>
    <row r="1013" spans="1:12">
      <c r="A1013" s="3222">
        <v>974</v>
      </c>
      <c r="B1013" s="3223" t="s">
        <v>5958</v>
      </c>
      <c r="C1013" s="3223"/>
      <c r="D1013" s="3223">
        <v>1609</v>
      </c>
      <c r="E1013" s="3223" t="s">
        <v>4786</v>
      </c>
      <c r="F1013" s="3223">
        <v>37.39</v>
      </c>
      <c r="G1013" s="3224">
        <f t="shared" si="35"/>
        <v>16.600000000000001</v>
      </c>
      <c r="H1013" s="3224">
        <f t="shared" ref="H1013:H1067" si="36">H1012</f>
        <v>0.44408023116547801</v>
      </c>
      <c r="I1013" s="3227"/>
      <c r="J1013" s="3305"/>
      <c r="K1013" s="3306"/>
      <c r="L1013" s="3208"/>
    </row>
    <row r="1014" spans="1:12">
      <c r="A1014" s="3222">
        <v>975</v>
      </c>
      <c r="B1014" s="3223" t="s">
        <v>5958</v>
      </c>
      <c r="C1014" s="3223"/>
      <c r="D1014" s="3223">
        <v>1610</v>
      </c>
      <c r="E1014" s="3223" t="s">
        <v>4786</v>
      </c>
      <c r="F1014" s="3223">
        <v>37.39</v>
      </c>
      <c r="G1014" s="3224">
        <f t="shared" si="35"/>
        <v>16.600000000000001</v>
      </c>
      <c r="H1014" s="3224">
        <f t="shared" si="36"/>
        <v>0.44408023116547801</v>
      </c>
      <c r="I1014" s="3227"/>
      <c r="J1014" s="3305"/>
      <c r="K1014" s="3306"/>
      <c r="L1014" s="3208"/>
    </row>
    <row r="1015" spans="1:12">
      <c r="A1015" s="3222">
        <v>976</v>
      </c>
      <c r="B1015" s="3223" t="s">
        <v>5958</v>
      </c>
      <c r="C1015" s="3223"/>
      <c r="D1015" s="3223">
        <v>1611</v>
      </c>
      <c r="E1015" s="3223" t="s">
        <v>4786</v>
      </c>
      <c r="F1015" s="3223">
        <v>37.39</v>
      </c>
      <c r="G1015" s="3224">
        <f t="shared" si="35"/>
        <v>16.600000000000001</v>
      </c>
      <c r="H1015" s="3224">
        <f t="shared" si="36"/>
        <v>0.44408023116547801</v>
      </c>
      <c r="I1015" s="3227"/>
      <c r="J1015" s="3305"/>
      <c r="K1015" s="3306"/>
      <c r="L1015" s="3208"/>
    </row>
    <row r="1016" spans="1:12">
      <c r="A1016" s="3222">
        <v>977</v>
      </c>
      <c r="B1016" s="3223" t="s">
        <v>5958</v>
      </c>
      <c r="C1016" s="3223"/>
      <c r="D1016" s="3223">
        <v>1612</v>
      </c>
      <c r="E1016" s="3223" t="s">
        <v>4786</v>
      </c>
      <c r="F1016" s="3223">
        <v>37.39</v>
      </c>
      <c r="G1016" s="3224">
        <f t="shared" si="35"/>
        <v>16.600000000000001</v>
      </c>
      <c r="H1016" s="3224">
        <f t="shared" si="36"/>
        <v>0.44408023116547801</v>
      </c>
      <c r="I1016" s="3227"/>
      <c r="J1016" s="3305"/>
      <c r="K1016" s="3306"/>
      <c r="L1016" s="3208"/>
    </row>
    <row r="1017" spans="1:12">
      <c r="A1017" s="3222">
        <v>978</v>
      </c>
      <c r="B1017" s="3223" t="s">
        <v>5958</v>
      </c>
      <c r="C1017" s="3223"/>
      <c r="D1017" s="3223">
        <v>1613</v>
      </c>
      <c r="E1017" s="3223" t="s">
        <v>4786</v>
      </c>
      <c r="F1017" s="3223">
        <v>37.39</v>
      </c>
      <c r="G1017" s="3224">
        <f t="shared" si="35"/>
        <v>16.600000000000001</v>
      </c>
      <c r="H1017" s="3224">
        <f t="shared" si="36"/>
        <v>0.44408023116547801</v>
      </c>
      <c r="I1017" s="3227"/>
      <c r="J1017" s="3305"/>
      <c r="K1017" s="3306"/>
      <c r="L1017" s="3208"/>
    </row>
    <row r="1018" spans="1:12">
      <c r="A1018" s="3222">
        <v>979</v>
      </c>
      <c r="B1018" s="3223" t="s">
        <v>5958</v>
      </c>
      <c r="C1018" s="3223"/>
      <c r="D1018" s="3223">
        <v>1614</v>
      </c>
      <c r="E1018" s="3223" t="s">
        <v>4786</v>
      </c>
      <c r="F1018" s="3223">
        <v>37.39</v>
      </c>
      <c r="G1018" s="3224">
        <f t="shared" si="35"/>
        <v>16.600000000000001</v>
      </c>
      <c r="H1018" s="3224">
        <f t="shared" si="36"/>
        <v>0.44408023116547801</v>
      </c>
      <c r="I1018" s="3227"/>
      <c r="J1018" s="3305"/>
      <c r="K1018" s="3306"/>
      <c r="L1018" s="3208"/>
    </row>
    <row r="1019" spans="1:12">
      <c r="A1019" s="3222">
        <v>980</v>
      </c>
      <c r="B1019" s="3223" t="s">
        <v>5958</v>
      </c>
      <c r="C1019" s="3223"/>
      <c r="D1019" s="3223">
        <v>1615</v>
      </c>
      <c r="E1019" s="3223" t="s">
        <v>4786</v>
      </c>
      <c r="F1019" s="3223">
        <v>37.39</v>
      </c>
      <c r="G1019" s="3224">
        <f t="shared" si="35"/>
        <v>16.600000000000001</v>
      </c>
      <c r="H1019" s="3224">
        <f t="shared" si="36"/>
        <v>0.44408023116547801</v>
      </c>
      <c r="I1019" s="3227"/>
      <c r="J1019" s="3305"/>
      <c r="K1019" s="3306"/>
      <c r="L1019" s="3208"/>
    </row>
    <row r="1020" spans="1:12">
      <c r="A1020" s="3222">
        <v>981</v>
      </c>
      <c r="B1020" s="3223" t="s">
        <v>5958</v>
      </c>
      <c r="C1020" s="3223"/>
      <c r="D1020" s="3223">
        <v>1616</v>
      </c>
      <c r="E1020" s="3223" t="s">
        <v>4786</v>
      </c>
      <c r="F1020" s="3223">
        <v>37.39</v>
      </c>
      <c r="G1020" s="3224">
        <f t="shared" si="35"/>
        <v>16.600000000000001</v>
      </c>
      <c r="H1020" s="3224">
        <f t="shared" si="36"/>
        <v>0.44408023116547801</v>
      </c>
      <c r="I1020" s="3227"/>
      <c r="J1020" s="3305"/>
      <c r="K1020" s="3306"/>
      <c r="L1020" s="3208"/>
    </row>
    <row r="1021" spans="1:12">
      <c r="A1021" s="3222">
        <v>982</v>
      </c>
      <c r="B1021" s="3223" t="s">
        <v>5958</v>
      </c>
      <c r="C1021" s="3223"/>
      <c r="D1021" s="3223">
        <v>1617</v>
      </c>
      <c r="E1021" s="3223" t="s">
        <v>4786</v>
      </c>
      <c r="F1021" s="3223">
        <v>37.39</v>
      </c>
      <c r="G1021" s="3224">
        <f t="shared" si="35"/>
        <v>16.600000000000001</v>
      </c>
      <c r="H1021" s="3224">
        <f t="shared" si="36"/>
        <v>0.44408023116547801</v>
      </c>
      <c r="I1021" s="3227"/>
      <c r="J1021" s="3305"/>
      <c r="K1021" s="3306"/>
      <c r="L1021" s="3208"/>
    </row>
    <row r="1022" spans="1:12">
      <c r="A1022" s="3222">
        <v>983</v>
      </c>
      <c r="B1022" s="3223" t="s">
        <v>5958</v>
      </c>
      <c r="C1022" s="3223"/>
      <c r="D1022" s="3223">
        <v>1618</v>
      </c>
      <c r="E1022" s="3223" t="s">
        <v>4786</v>
      </c>
      <c r="F1022" s="3223">
        <v>37.39</v>
      </c>
      <c r="G1022" s="3224">
        <f t="shared" si="35"/>
        <v>16.600000000000001</v>
      </c>
      <c r="H1022" s="3224">
        <f t="shared" si="36"/>
        <v>0.44408023116547801</v>
      </c>
      <c r="I1022" s="3227"/>
      <c r="J1022" s="3305"/>
      <c r="K1022" s="3306"/>
      <c r="L1022" s="3208"/>
    </row>
    <row r="1023" spans="1:12">
      <c r="A1023" s="3222">
        <v>984</v>
      </c>
      <c r="B1023" s="3223" t="s">
        <v>5958</v>
      </c>
      <c r="C1023" s="3223"/>
      <c r="D1023" s="3223">
        <v>1619</v>
      </c>
      <c r="E1023" s="3223" t="s">
        <v>4786</v>
      </c>
      <c r="F1023" s="3223">
        <v>37.39</v>
      </c>
      <c r="G1023" s="3224">
        <f t="shared" si="35"/>
        <v>16.600000000000001</v>
      </c>
      <c r="H1023" s="3224">
        <f t="shared" si="36"/>
        <v>0.44408023116547801</v>
      </c>
      <c r="I1023" s="3227"/>
      <c r="J1023" s="3305"/>
      <c r="K1023" s="3306"/>
      <c r="L1023" s="3208"/>
    </row>
    <row r="1024" spans="1:12">
      <c r="A1024" s="3222">
        <v>985</v>
      </c>
      <c r="B1024" s="3223" t="s">
        <v>5958</v>
      </c>
      <c r="C1024" s="3223"/>
      <c r="D1024" s="3223">
        <v>1620</v>
      </c>
      <c r="E1024" s="3223" t="s">
        <v>4786</v>
      </c>
      <c r="F1024" s="3223">
        <v>37.39</v>
      </c>
      <c r="G1024" s="3224">
        <f t="shared" si="35"/>
        <v>16.600000000000001</v>
      </c>
      <c r="H1024" s="3224">
        <f t="shared" si="36"/>
        <v>0.44408023116547801</v>
      </c>
      <c r="I1024" s="3227"/>
      <c r="J1024" s="3305"/>
      <c r="K1024" s="3306"/>
      <c r="L1024" s="3208"/>
    </row>
    <row r="1025" spans="1:12">
      <c r="A1025" s="3222">
        <v>986</v>
      </c>
      <c r="B1025" s="3223" t="s">
        <v>5958</v>
      </c>
      <c r="C1025" s="3223"/>
      <c r="D1025" s="3223">
        <v>1621</v>
      </c>
      <c r="E1025" s="3223" t="s">
        <v>4786</v>
      </c>
      <c r="F1025" s="3223">
        <v>37.39</v>
      </c>
      <c r="G1025" s="3224">
        <f t="shared" si="35"/>
        <v>16.600000000000001</v>
      </c>
      <c r="H1025" s="3224">
        <f t="shared" si="36"/>
        <v>0.44408023116547801</v>
      </c>
      <c r="I1025" s="3227"/>
      <c r="J1025" s="3305"/>
      <c r="K1025" s="3306"/>
      <c r="L1025" s="3208"/>
    </row>
    <row r="1026" spans="1:12">
      <c r="A1026" s="3222">
        <v>987</v>
      </c>
      <c r="B1026" s="3223" t="s">
        <v>5958</v>
      </c>
      <c r="C1026" s="3223"/>
      <c r="D1026" s="3223">
        <v>1623</v>
      </c>
      <c r="E1026" s="3223" t="s">
        <v>4786</v>
      </c>
      <c r="F1026" s="3223">
        <v>37.39</v>
      </c>
      <c r="G1026" s="3224">
        <f t="shared" si="35"/>
        <v>16.600000000000001</v>
      </c>
      <c r="H1026" s="3224">
        <f t="shared" si="36"/>
        <v>0.44408023116547801</v>
      </c>
      <c r="I1026" s="3227"/>
      <c r="J1026" s="3305"/>
      <c r="K1026" s="3306"/>
      <c r="L1026" s="3208"/>
    </row>
    <row r="1027" spans="1:12">
      <c r="A1027" s="3222">
        <v>988</v>
      </c>
      <c r="B1027" s="3223" t="s">
        <v>5958</v>
      </c>
      <c r="C1027" s="3223"/>
      <c r="D1027" s="3223">
        <v>1624</v>
      </c>
      <c r="E1027" s="3223" t="s">
        <v>4786</v>
      </c>
      <c r="F1027" s="3223">
        <v>37.39</v>
      </c>
      <c r="G1027" s="3224">
        <f t="shared" si="35"/>
        <v>16.600000000000001</v>
      </c>
      <c r="H1027" s="3224">
        <f t="shared" si="36"/>
        <v>0.44408023116547801</v>
      </c>
      <c r="I1027" s="3227"/>
      <c r="J1027" s="3305"/>
      <c r="K1027" s="3306"/>
      <c r="L1027" s="3208"/>
    </row>
    <row r="1028" spans="1:12">
      <c r="A1028" s="3222">
        <v>989</v>
      </c>
      <c r="B1028" s="3223" t="s">
        <v>5958</v>
      </c>
      <c r="C1028" s="3223"/>
      <c r="D1028" s="3223">
        <v>1625</v>
      </c>
      <c r="E1028" s="3223" t="s">
        <v>4786</v>
      </c>
      <c r="F1028" s="3223">
        <v>37.39</v>
      </c>
      <c r="G1028" s="3224">
        <f t="shared" si="35"/>
        <v>16.600000000000001</v>
      </c>
      <c r="H1028" s="3224">
        <f t="shared" si="36"/>
        <v>0.44408023116547801</v>
      </c>
      <c r="I1028" s="3227"/>
      <c r="J1028" s="3305"/>
      <c r="K1028" s="3306"/>
      <c r="L1028" s="3208"/>
    </row>
    <row r="1029" spans="1:12">
      <c r="A1029" s="3222">
        <v>990</v>
      </c>
      <c r="B1029" s="3223" t="s">
        <v>5958</v>
      </c>
      <c r="C1029" s="3223"/>
      <c r="D1029" s="3223">
        <v>1628</v>
      </c>
      <c r="E1029" s="3223" t="s">
        <v>4786</v>
      </c>
      <c r="F1029" s="3223">
        <v>37.39</v>
      </c>
      <c r="G1029" s="3224">
        <f t="shared" si="35"/>
        <v>16.600000000000001</v>
      </c>
      <c r="H1029" s="3224">
        <f t="shared" si="36"/>
        <v>0.44408023116547801</v>
      </c>
      <c r="I1029" s="3227"/>
      <c r="J1029" s="3305"/>
      <c r="K1029" s="3306"/>
      <c r="L1029" s="3208"/>
    </row>
    <row r="1030" spans="1:12">
      <c r="A1030" s="3222">
        <v>991</v>
      </c>
      <c r="B1030" s="3223" t="s">
        <v>5958</v>
      </c>
      <c r="C1030" s="3223"/>
      <c r="D1030" s="3223">
        <v>1630</v>
      </c>
      <c r="E1030" s="3223" t="s">
        <v>4786</v>
      </c>
      <c r="F1030" s="3223">
        <v>37.39</v>
      </c>
      <c r="G1030" s="3224">
        <f t="shared" si="35"/>
        <v>16.600000000000001</v>
      </c>
      <c r="H1030" s="3224">
        <f t="shared" si="36"/>
        <v>0.44408023116547801</v>
      </c>
      <c r="I1030" s="3227"/>
      <c r="J1030" s="3305"/>
      <c r="K1030" s="3306"/>
      <c r="L1030" s="3208"/>
    </row>
    <row r="1031" spans="1:12">
      <c r="A1031" s="3222">
        <v>992</v>
      </c>
      <c r="B1031" s="3223" t="s">
        <v>5958</v>
      </c>
      <c r="C1031" s="3223"/>
      <c r="D1031" s="3223">
        <v>1632</v>
      </c>
      <c r="E1031" s="3223" t="s">
        <v>4786</v>
      </c>
      <c r="F1031" s="3223">
        <v>37.39</v>
      </c>
      <c r="G1031" s="3224">
        <f t="shared" si="35"/>
        <v>16.600000000000001</v>
      </c>
      <c r="H1031" s="3224">
        <f t="shared" si="36"/>
        <v>0.44408023116547801</v>
      </c>
      <c r="I1031" s="3227"/>
      <c r="J1031" s="3305"/>
      <c r="K1031" s="3306"/>
      <c r="L1031" s="3208"/>
    </row>
    <row r="1032" spans="1:12">
      <c r="A1032" s="3222">
        <v>993</v>
      </c>
      <c r="B1032" s="3223" t="s">
        <v>5958</v>
      </c>
      <c r="C1032" s="3223"/>
      <c r="D1032" s="3223">
        <v>1633</v>
      </c>
      <c r="E1032" s="3223" t="s">
        <v>4786</v>
      </c>
      <c r="F1032" s="3223">
        <v>37.39</v>
      </c>
      <c r="G1032" s="3224">
        <f t="shared" si="35"/>
        <v>16.600000000000001</v>
      </c>
      <c r="H1032" s="3224">
        <f t="shared" si="36"/>
        <v>0.44408023116547801</v>
      </c>
      <c r="I1032" s="3227"/>
      <c r="J1032" s="3305"/>
      <c r="K1032" s="3306"/>
      <c r="L1032" s="3208"/>
    </row>
    <row r="1033" spans="1:12">
      <c r="A1033" s="3222">
        <v>994</v>
      </c>
      <c r="B1033" s="3223" t="s">
        <v>5958</v>
      </c>
      <c r="C1033" s="3223"/>
      <c r="D1033" s="3223">
        <v>1638</v>
      </c>
      <c r="E1033" s="3223" t="s">
        <v>4786</v>
      </c>
      <c r="F1033" s="3223">
        <v>37.39</v>
      </c>
      <c r="G1033" s="3224">
        <f t="shared" si="35"/>
        <v>16.600000000000001</v>
      </c>
      <c r="H1033" s="3224">
        <f t="shared" si="36"/>
        <v>0.44408023116547801</v>
      </c>
      <c r="I1033" s="3227"/>
      <c r="J1033" s="3305"/>
      <c r="K1033" s="3306"/>
      <c r="L1033" s="3208"/>
    </row>
    <row r="1034" spans="1:12">
      <c r="A1034" s="3222">
        <v>995</v>
      </c>
      <c r="B1034" s="3223" t="s">
        <v>5958</v>
      </c>
      <c r="C1034" s="3223"/>
      <c r="D1034" s="3223">
        <v>1640</v>
      </c>
      <c r="E1034" s="3223" t="s">
        <v>4786</v>
      </c>
      <c r="F1034" s="3223">
        <v>37.39</v>
      </c>
      <c r="G1034" s="3224">
        <f t="shared" si="35"/>
        <v>16.600000000000001</v>
      </c>
      <c r="H1034" s="3224">
        <f t="shared" si="36"/>
        <v>0.44408023116547801</v>
      </c>
      <c r="I1034" s="3227"/>
      <c r="J1034" s="3305"/>
      <c r="K1034" s="3306"/>
      <c r="L1034" s="3208"/>
    </row>
    <row r="1035" spans="1:12">
      <c r="A1035" s="3222">
        <v>996</v>
      </c>
      <c r="B1035" s="3223" t="s">
        <v>5958</v>
      </c>
      <c r="C1035" s="3223"/>
      <c r="D1035" s="3223">
        <v>1641</v>
      </c>
      <c r="E1035" s="3223" t="s">
        <v>4786</v>
      </c>
      <c r="F1035" s="3223">
        <v>37.39</v>
      </c>
      <c r="G1035" s="3224">
        <f t="shared" si="35"/>
        <v>16.600000000000001</v>
      </c>
      <c r="H1035" s="3224">
        <f t="shared" si="36"/>
        <v>0.44408023116547801</v>
      </c>
      <c r="I1035" s="3227"/>
      <c r="J1035" s="3305"/>
      <c r="K1035" s="3306"/>
      <c r="L1035" s="3208"/>
    </row>
    <row r="1036" spans="1:12">
      <c r="A1036" s="3222">
        <v>997</v>
      </c>
      <c r="B1036" s="3223" t="s">
        <v>5958</v>
      </c>
      <c r="C1036" s="3223"/>
      <c r="D1036" s="3223">
        <v>1648</v>
      </c>
      <c r="E1036" s="3223" t="s">
        <v>4786</v>
      </c>
      <c r="F1036" s="3223">
        <v>37.39</v>
      </c>
      <c r="G1036" s="3224">
        <f t="shared" si="35"/>
        <v>16.600000000000001</v>
      </c>
      <c r="H1036" s="3224">
        <f t="shared" si="36"/>
        <v>0.44408023116547801</v>
      </c>
      <c r="I1036" s="3227"/>
      <c r="J1036" s="3305"/>
      <c r="K1036" s="3306"/>
      <c r="L1036" s="3208"/>
    </row>
    <row r="1037" spans="1:12">
      <c r="A1037" s="3222">
        <v>998</v>
      </c>
      <c r="B1037" s="3223" t="s">
        <v>5958</v>
      </c>
      <c r="C1037" s="3223"/>
      <c r="D1037" s="3223">
        <v>1663</v>
      </c>
      <c r="E1037" s="3223" t="s">
        <v>4786</v>
      </c>
      <c r="F1037" s="3223">
        <v>37.39</v>
      </c>
      <c r="G1037" s="3224">
        <f t="shared" si="35"/>
        <v>16.600000000000001</v>
      </c>
      <c r="H1037" s="3224">
        <f t="shared" si="36"/>
        <v>0.44408023116547801</v>
      </c>
      <c r="I1037" s="3227"/>
      <c r="J1037" s="3305"/>
      <c r="K1037" s="3306"/>
      <c r="L1037" s="3208"/>
    </row>
    <row r="1038" spans="1:12">
      <c r="A1038" s="3222">
        <v>999</v>
      </c>
      <c r="B1038" s="3223" t="s">
        <v>5958</v>
      </c>
      <c r="C1038" s="3223"/>
      <c r="D1038" s="3223">
        <v>1664</v>
      </c>
      <c r="E1038" s="3223" t="s">
        <v>4786</v>
      </c>
      <c r="F1038" s="3223">
        <v>37.39</v>
      </c>
      <c r="G1038" s="3224">
        <f t="shared" si="35"/>
        <v>16.600000000000001</v>
      </c>
      <c r="H1038" s="3224">
        <f t="shared" si="36"/>
        <v>0.44408023116547801</v>
      </c>
      <c r="I1038" s="3227"/>
      <c r="J1038" s="3305"/>
      <c r="K1038" s="3306"/>
      <c r="L1038" s="3208"/>
    </row>
    <row r="1039" spans="1:12">
      <c r="A1039" s="3222">
        <v>1000</v>
      </c>
      <c r="B1039" s="3223" t="s">
        <v>5958</v>
      </c>
      <c r="C1039" s="3223"/>
      <c r="D1039" s="3223">
        <v>1665</v>
      </c>
      <c r="E1039" s="3223" t="s">
        <v>4786</v>
      </c>
      <c r="F1039" s="3223">
        <v>37.39</v>
      </c>
      <c r="G1039" s="3224">
        <f t="shared" si="35"/>
        <v>16.600000000000001</v>
      </c>
      <c r="H1039" s="3224">
        <f t="shared" si="36"/>
        <v>0.44408023116547801</v>
      </c>
      <c r="I1039" s="3227"/>
      <c r="J1039" s="3305"/>
      <c r="K1039" s="3306"/>
      <c r="L1039" s="3208"/>
    </row>
    <row r="1040" spans="1:12">
      <c r="A1040" s="3222">
        <v>1001</v>
      </c>
      <c r="B1040" s="3223" t="s">
        <v>5958</v>
      </c>
      <c r="C1040" s="3223"/>
      <c r="D1040" s="3223">
        <v>1666</v>
      </c>
      <c r="E1040" s="3223" t="s">
        <v>4786</v>
      </c>
      <c r="F1040" s="3223">
        <v>37.39</v>
      </c>
      <c r="G1040" s="3224">
        <f t="shared" si="35"/>
        <v>16.600000000000001</v>
      </c>
      <c r="H1040" s="3224">
        <f t="shared" si="36"/>
        <v>0.44408023116547801</v>
      </c>
      <c r="I1040" s="3227"/>
      <c r="J1040" s="3305"/>
      <c r="K1040" s="3306"/>
      <c r="L1040" s="3208"/>
    </row>
    <row r="1041" spans="1:12">
      <c r="A1041" s="3222">
        <v>1002</v>
      </c>
      <c r="B1041" s="3223" t="s">
        <v>5958</v>
      </c>
      <c r="C1041" s="3223"/>
      <c r="D1041" s="3223">
        <v>1667</v>
      </c>
      <c r="E1041" s="3223" t="s">
        <v>4786</v>
      </c>
      <c r="F1041" s="3223">
        <v>37.39</v>
      </c>
      <c r="G1041" s="3224">
        <f t="shared" si="35"/>
        <v>16.600000000000001</v>
      </c>
      <c r="H1041" s="3224">
        <f t="shared" si="36"/>
        <v>0.44408023116547801</v>
      </c>
      <c r="I1041" s="3227"/>
      <c r="J1041" s="3305"/>
      <c r="K1041" s="3306"/>
      <c r="L1041" s="3208"/>
    </row>
    <row r="1042" spans="1:12">
      <c r="A1042" s="3222">
        <v>1003</v>
      </c>
      <c r="B1042" s="3223" t="s">
        <v>5958</v>
      </c>
      <c r="C1042" s="3223"/>
      <c r="D1042" s="3223">
        <v>1668</v>
      </c>
      <c r="E1042" s="3223" t="s">
        <v>4786</v>
      </c>
      <c r="F1042" s="3223">
        <v>37.39</v>
      </c>
      <c r="G1042" s="3224">
        <f t="shared" si="35"/>
        <v>16.600000000000001</v>
      </c>
      <c r="H1042" s="3224">
        <f t="shared" si="36"/>
        <v>0.44408023116547801</v>
      </c>
      <c r="I1042" s="3227"/>
      <c r="J1042" s="3305"/>
      <c r="K1042" s="3306"/>
      <c r="L1042" s="3208"/>
    </row>
    <row r="1043" spans="1:12">
      <c r="A1043" s="3222">
        <v>1004</v>
      </c>
      <c r="B1043" s="3223" t="s">
        <v>5958</v>
      </c>
      <c r="C1043" s="3223"/>
      <c r="D1043" s="3223">
        <v>1669</v>
      </c>
      <c r="E1043" s="3223" t="s">
        <v>4786</v>
      </c>
      <c r="F1043" s="3223">
        <v>35.9</v>
      </c>
      <c r="G1043" s="3224">
        <f t="shared" si="35"/>
        <v>15.94</v>
      </c>
      <c r="H1043" s="3224">
        <f t="shared" si="36"/>
        <v>0.44408023116547801</v>
      </c>
      <c r="I1043" s="3227"/>
      <c r="J1043" s="3314"/>
      <c r="K1043" s="3315"/>
      <c r="L1043" s="3208"/>
    </row>
    <row r="1044" spans="1:12">
      <c r="A1044" s="3222">
        <v>1005</v>
      </c>
      <c r="B1044" s="3223" t="s">
        <v>5958</v>
      </c>
      <c r="C1044" s="3223"/>
      <c r="D1044" s="3223">
        <v>1671</v>
      </c>
      <c r="E1044" s="3223" t="s">
        <v>4786</v>
      </c>
      <c r="F1044" s="3223">
        <v>37.39</v>
      </c>
      <c r="G1044" s="3224">
        <f t="shared" si="35"/>
        <v>16.600000000000001</v>
      </c>
      <c r="H1044" s="3224">
        <f t="shared" si="36"/>
        <v>0.44408023116547801</v>
      </c>
      <c r="I1044" s="3227"/>
      <c r="J1044" s="3305"/>
      <c r="K1044" s="3306"/>
      <c r="L1044" s="3208"/>
    </row>
    <row r="1045" spans="1:12">
      <c r="A1045" s="3222">
        <v>1006</v>
      </c>
      <c r="B1045" s="3223" t="s">
        <v>5958</v>
      </c>
      <c r="C1045" s="3223"/>
      <c r="D1045" s="3223">
        <v>1672</v>
      </c>
      <c r="E1045" s="3223" t="s">
        <v>4786</v>
      </c>
      <c r="F1045" s="3223">
        <v>37.39</v>
      </c>
      <c r="G1045" s="3224">
        <f t="shared" si="35"/>
        <v>16.600000000000001</v>
      </c>
      <c r="H1045" s="3224">
        <f t="shared" si="36"/>
        <v>0.44408023116547801</v>
      </c>
      <c r="I1045" s="3227"/>
      <c r="J1045" s="3305"/>
      <c r="K1045" s="3306"/>
      <c r="L1045" s="3208"/>
    </row>
    <row r="1046" spans="1:12">
      <c r="A1046" s="3222">
        <v>1007</v>
      </c>
      <c r="B1046" s="3223" t="s">
        <v>5958</v>
      </c>
      <c r="C1046" s="3223"/>
      <c r="D1046" s="3223">
        <v>1674</v>
      </c>
      <c r="E1046" s="3223" t="s">
        <v>4786</v>
      </c>
      <c r="F1046" s="3223">
        <v>37.39</v>
      </c>
      <c r="G1046" s="3224">
        <f t="shared" si="35"/>
        <v>16.600000000000001</v>
      </c>
      <c r="H1046" s="3224">
        <f t="shared" si="36"/>
        <v>0.44408023116547801</v>
      </c>
      <c r="I1046" s="3227"/>
      <c r="J1046" s="3305"/>
      <c r="K1046" s="3306"/>
      <c r="L1046" s="3208"/>
    </row>
    <row r="1047" spans="1:12">
      <c r="A1047" s="3222">
        <v>1008</v>
      </c>
      <c r="B1047" s="3223" t="s">
        <v>5958</v>
      </c>
      <c r="C1047" s="3223"/>
      <c r="D1047" s="3223">
        <v>1677</v>
      </c>
      <c r="E1047" s="3223" t="s">
        <v>4786</v>
      </c>
      <c r="F1047" s="3223">
        <v>37.39</v>
      </c>
      <c r="G1047" s="3224">
        <f t="shared" si="35"/>
        <v>16.600000000000001</v>
      </c>
      <c r="H1047" s="3224">
        <f t="shared" si="36"/>
        <v>0.44408023116547801</v>
      </c>
      <c r="I1047" s="3227"/>
      <c r="J1047" s="3305"/>
      <c r="K1047" s="3306"/>
      <c r="L1047" s="3208"/>
    </row>
    <row r="1048" spans="1:12">
      <c r="A1048" s="3222">
        <v>1009</v>
      </c>
      <c r="B1048" s="3223" t="s">
        <v>5958</v>
      </c>
      <c r="C1048" s="3223"/>
      <c r="D1048" s="3223">
        <v>1678</v>
      </c>
      <c r="E1048" s="3223" t="s">
        <v>4786</v>
      </c>
      <c r="F1048" s="3223">
        <v>37.39</v>
      </c>
      <c r="G1048" s="3224">
        <f t="shared" si="35"/>
        <v>16.600000000000001</v>
      </c>
      <c r="H1048" s="3224">
        <f t="shared" si="36"/>
        <v>0.44408023116547801</v>
      </c>
      <c r="I1048" s="3227"/>
      <c r="J1048" s="3305"/>
      <c r="K1048" s="3306"/>
      <c r="L1048" s="3208"/>
    </row>
    <row r="1049" spans="1:12">
      <c r="A1049" s="3222">
        <v>1010</v>
      </c>
      <c r="B1049" s="3223" t="s">
        <v>5958</v>
      </c>
      <c r="C1049" s="3223"/>
      <c r="D1049" s="3223">
        <v>1683</v>
      </c>
      <c r="E1049" s="3223" t="s">
        <v>4786</v>
      </c>
      <c r="F1049" s="3223">
        <v>37.39</v>
      </c>
      <c r="G1049" s="3224">
        <f t="shared" si="35"/>
        <v>16.600000000000001</v>
      </c>
      <c r="H1049" s="3224">
        <f t="shared" si="36"/>
        <v>0.44408023116547801</v>
      </c>
      <c r="I1049" s="3227"/>
      <c r="J1049" s="3305"/>
      <c r="K1049" s="3306"/>
      <c r="L1049" s="3208"/>
    </row>
    <row r="1050" spans="1:12">
      <c r="A1050" s="3222">
        <v>1011</v>
      </c>
      <c r="B1050" s="3223" t="s">
        <v>5958</v>
      </c>
      <c r="C1050" s="3223"/>
      <c r="D1050" s="3223">
        <v>1684</v>
      </c>
      <c r="E1050" s="3223" t="s">
        <v>4786</v>
      </c>
      <c r="F1050" s="3223">
        <v>37.39</v>
      </c>
      <c r="G1050" s="3224">
        <f t="shared" si="35"/>
        <v>16.600000000000001</v>
      </c>
      <c r="H1050" s="3224">
        <f t="shared" si="36"/>
        <v>0.44408023116547801</v>
      </c>
      <c r="I1050" s="3227"/>
      <c r="J1050" s="3305"/>
      <c r="K1050" s="3306"/>
      <c r="L1050" s="3208"/>
    </row>
    <row r="1051" spans="1:12">
      <c r="A1051" s="3222">
        <v>1012</v>
      </c>
      <c r="B1051" s="3223" t="s">
        <v>5958</v>
      </c>
      <c r="C1051" s="3223"/>
      <c r="D1051" s="3223">
        <v>1688</v>
      </c>
      <c r="E1051" s="3223" t="s">
        <v>4786</v>
      </c>
      <c r="F1051" s="3223">
        <v>37.39</v>
      </c>
      <c r="G1051" s="3224">
        <f t="shared" si="35"/>
        <v>16.600000000000001</v>
      </c>
      <c r="H1051" s="3224">
        <f t="shared" si="36"/>
        <v>0.44408023116547801</v>
      </c>
      <c r="I1051" s="3227"/>
      <c r="J1051" s="3305"/>
      <c r="K1051" s="3306"/>
      <c r="L1051" s="3208"/>
    </row>
    <row r="1052" spans="1:12">
      <c r="A1052" s="3222">
        <v>1013</v>
      </c>
      <c r="B1052" s="3223" t="s">
        <v>5958</v>
      </c>
      <c r="C1052" s="3223"/>
      <c r="D1052" s="3223">
        <v>1689</v>
      </c>
      <c r="E1052" s="3223" t="s">
        <v>4786</v>
      </c>
      <c r="F1052" s="3223">
        <v>37.39</v>
      </c>
      <c r="G1052" s="3224">
        <f t="shared" si="35"/>
        <v>16.600000000000001</v>
      </c>
      <c r="H1052" s="3224">
        <f t="shared" si="36"/>
        <v>0.44408023116547801</v>
      </c>
      <c r="I1052" s="3227"/>
      <c r="J1052" s="3305"/>
      <c r="K1052" s="3306"/>
      <c r="L1052" s="3208"/>
    </row>
    <row r="1053" spans="1:12">
      <c r="A1053" s="3222">
        <v>1014</v>
      </c>
      <c r="B1053" s="3223" t="s">
        <v>5958</v>
      </c>
      <c r="C1053" s="3223"/>
      <c r="D1053" s="3223">
        <v>1690</v>
      </c>
      <c r="E1053" s="3223" t="s">
        <v>4786</v>
      </c>
      <c r="F1053" s="3223">
        <v>37.39</v>
      </c>
      <c r="G1053" s="3224">
        <f t="shared" si="35"/>
        <v>16.600000000000001</v>
      </c>
      <c r="H1053" s="3224">
        <f t="shared" si="36"/>
        <v>0.44408023116547801</v>
      </c>
      <c r="I1053" s="3227"/>
      <c r="J1053" s="3305"/>
      <c r="K1053" s="3306"/>
      <c r="L1053" s="3208"/>
    </row>
    <row r="1054" spans="1:12">
      <c r="A1054" s="3222">
        <v>1015</v>
      </c>
      <c r="B1054" s="3223" t="s">
        <v>5958</v>
      </c>
      <c r="C1054" s="3223"/>
      <c r="D1054" s="3223">
        <v>1692</v>
      </c>
      <c r="E1054" s="3223" t="s">
        <v>4786</v>
      </c>
      <c r="F1054" s="3223">
        <v>37.39</v>
      </c>
      <c r="G1054" s="3224">
        <f t="shared" si="35"/>
        <v>16.600000000000001</v>
      </c>
      <c r="H1054" s="3224">
        <f t="shared" si="36"/>
        <v>0.44408023116547801</v>
      </c>
      <c r="I1054" s="3227"/>
      <c r="J1054" s="3305"/>
      <c r="K1054" s="3306"/>
      <c r="L1054" s="3208"/>
    </row>
    <row r="1055" spans="1:12">
      <c r="A1055" s="3222">
        <v>1016</v>
      </c>
      <c r="B1055" s="3223" t="s">
        <v>5958</v>
      </c>
      <c r="C1055" s="3223"/>
      <c r="D1055" s="3223">
        <v>1693</v>
      </c>
      <c r="E1055" s="3223" t="s">
        <v>4786</v>
      </c>
      <c r="F1055" s="3223">
        <v>37.39</v>
      </c>
      <c r="G1055" s="3224">
        <f t="shared" si="35"/>
        <v>16.600000000000001</v>
      </c>
      <c r="H1055" s="3224">
        <f t="shared" si="36"/>
        <v>0.44408023116547801</v>
      </c>
      <c r="I1055" s="3227"/>
      <c r="J1055" s="3305"/>
      <c r="K1055" s="3306"/>
      <c r="L1055" s="3208"/>
    </row>
    <row r="1056" spans="1:12">
      <c r="A1056" s="3222">
        <v>1017</v>
      </c>
      <c r="B1056" s="3223" t="s">
        <v>5958</v>
      </c>
      <c r="C1056" s="3223"/>
      <c r="D1056" s="3223">
        <v>1694</v>
      </c>
      <c r="E1056" s="3223" t="s">
        <v>4786</v>
      </c>
      <c r="F1056" s="3223">
        <v>37.39</v>
      </c>
      <c r="G1056" s="3224">
        <f t="shared" si="35"/>
        <v>16.600000000000001</v>
      </c>
      <c r="H1056" s="3224">
        <f t="shared" si="36"/>
        <v>0.44408023116547801</v>
      </c>
      <c r="I1056" s="3227"/>
      <c r="J1056" s="3305"/>
      <c r="K1056" s="3306"/>
      <c r="L1056" s="3208"/>
    </row>
    <row r="1057" spans="1:12">
      <c r="A1057" s="3222">
        <v>1018</v>
      </c>
      <c r="B1057" s="3223" t="s">
        <v>5958</v>
      </c>
      <c r="C1057" s="3223"/>
      <c r="D1057" s="3223">
        <v>1696</v>
      </c>
      <c r="E1057" s="3223" t="s">
        <v>4786</v>
      </c>
      <c r="F1057" s="3223">
        <v>37.39</v>
      </c>
      <c r="G1057" s="3224">
        <f t="shared" si="35"/>
        <v>16.600000000000001</v>
      </c>
      <c r="H1057" s="3224">
        <f t="shared" si="36"/>
        <v>0.44408023116547801</v>
      </c>
      <c r="I1057" s="3227"/>
      <c r="J1057" s="3305"/>
      <c r="K1057" s="3306"/>
      <c r="L1057" s="3208"/>
    </row>
    <row r="1058" spans="1:12">
      <c r="A1058" s="3222">
        <v>1019</v>
      </c>
      <c r="B1058" s="3223" t="s">
        <v>5958</v>
      </c>
      <c r="C1058" s="3223"/>
      <c r="D1058" s="3223">
        <v>1697</v>
      </c>
      <c r="E1058" s="3223" t="s">
        <v>4786</v>
      </c>
      <c r="F1058" s="3223">
        <v>37.39</v>
      </c>
      <c r="G1058" s="3224">
        <f t="shared" si="35"/>
        <v>16.600000000000001</v>
      </c>
      <c r="H1058" s="3224">
        <f t="shared" si="36"/>
        <v>0.44408023116547801</v>
      </c>
      <c r="I1058" s="3227"/>
      <c r="J1058" s="3305"/>
      <c r="K1058" s="3306"/>
      <c r="L1058" s="3208"/>
    </row>
    <row r="1059" spans="1:12">
      <c r="A1059" s="3222">
        <v>1020</v>
      </c>
      <c r="B1059" s="3223" t="s">
        <v>5958</v>
      </c>
      <c r="C1059" s="3223"/>
      <c r="D1059" s="3223">
        <v>1699</v>
      </c>
      <c r="E1059" s="3223" t="s">
        <v>4786</v>
      </c>
      <c r="F1059" s="3223">
        <v>37.39</v>
      </c>
      <c r="G1059" s="3224">
        <f t="shared" si="35"/>
        <v>16.600000000000001</v>
      </c>
      <c r="H1059" s="3224">
        <f t="shared" si="36"/>
        <v>0.44408023116547801</v>
      </c>
      <c r="I1059" s="3227"/>
      <c r="J1059" s="3305"/>
      <c r="K1059" s="3306"/>
      <c r="L1059" s="3208"/>
    </row>
    <row r="1060" spans="1:12">
      <c r="A1060" s="3222">
        <v>1021</v>
      </c>
      <c r="B1060" s="3223" t="s">
        <v>5958</v>
      </c>
      <c r="C1060" s="3223"/>
      <c r="D1060" s="3223">
        <v>1700</v>
      </c>
      <c r="E1060" s="3223" t="s">
        <v>4786</v>
      </c>
      <c r="F1060" s="3223">
        <v>35.9</v>
      </c>
      <c r="G1060" s="3224">
        <f t="shared" si="35"/>
        <v>15.94</v>
      </c>
      <c r="H1060" s="3224">
        <f t="shared" si="36"/>
        <v>0.44408023116547801</v>
      </c>
      <c r="I1060" s="3227"/>
      <c r="J1060" s="3314"/>
      <c r="K1060" s="3315"/>
      <c r="L1060" s="3208"/>
    </row>
    <row r="1061" spans="1:12">
      <c r="A1061" s="3222">
        <v>1022</v>
      </c>
      <c r="B1061" s="3223" t="s">
        <v>5958</v>
      </c>
      <c r="C1061" s="3223"/>
      <c r="D1061" s="3223">
        <v>1703</v>
      </c>
      <c r="E1061" s="3223" t="s">
        <v>4786</v>
      </c>
      <c r="F1061" s="3223">
        <v>37.39</v>
      </c>
      <c r="G1061" s="3224">
        <f t="shared" si="35"/>
        <v>16.600000000000001</v>
      </c>
      <c r="H1061" s="3224">
        <f t="shared" si="36"/>
        <v>0.44408023116547801</v>
      </c>
      <c r="I1061" s="3227"/>
      <c r="J1061" s="3305"/>
      <c r="K1061" s="3306"/>
      <c r="L1061" s="3208"/>
    </row>
    <row r="1062" spans="1:12">
      <c r="A1062" s="3222">
        <v>1023</v>
      </c>
      <c r="B1062" s="3223" t="s">
        <v>5958</v>
      </c>
      <c r="C1062" s="3223"/>
      <c r="D1062" s="3223">
        <v>1704</v>
      </c>
      <c r="E1062" s="3223" t="s">
        <v>4786</v>
      </c>
      <c r="F1062" s="3223">
        <v>37.39</v>
      </c>
      <c r="G1062" s="3224">
        <f t="shared" si="35"/>
        <v>16.600000000000001</v>
      </c>
      <c r="H1062" s="3224">
        <f t="shared" si="36"/>
        <v>0.44408023116547801</v>
      </c>
      <c r="I1062" s="3227"/>
      <c r="J1062" s="3305"/>
      <c r="K1062" s="3306"/>
      <c r="L1062" s="3208"/>
    </row>
    <row r="1063" spans="1:12">
      <c r="A1063" s="3222">
        <v>1024</v>
      </c>
      <c r="B1063" s="3223" t="s">
        <v>5958</v>
      </c>
      <c r="C1063" s="3223"/>
      <c r="D1063" s="3223">
        <v>1705</v>
      </c>
      <c r="E1063" s="3223" t="s">
        <v>4786</v>
      </c>
      <c r="F1063" s="3223">
        <v>37.39</v>
      </c>
      <c r="G1063" s="3224">
        <f t="shared" si="35"/>
        <v>16.600000000000001</v>
      </c>
      <c r="H1063" s="3224">
        <f t="shared" si="36"/>
        <v>0.44408023116547801</v>
      </c>
      <c r="I1063" s="3227"/>
      <c r="J1063" s="3305"/>
      <c r="K1063" s="3306"/>
      <c r="L1063" s="3208"/>
    </row>
    <row r="1064" spans="1:12">
      <c r="A1064" s="3222">
        <v>1025</v>
      </c>
      <c r="B1064" s="3223" t="s">
        <v>5958</v>
      </c>
      <c r="C1064" s="3223"/>
      <c r="D1064" s="3223">
        <v>1706</v>
      </c>
      <c r="E1064" s="3223" t="s">
        <v>4786</v>
      </c>
      <c r="F1064" s="3223">
        <v>37.39</v>
      </c>
      <c r="G1064" s="3224">
        <f t="shared" si="35"/>
        <v>16.600000000000001</v>
      </c>
      <c r="H1064" s="3224">
        <f t="shared" si="36"/>
        <v>0.44408023116547801</v>
      </c>
      <c r="I1064" s="3227"/>
      <c r="J1064" s="3305"/>
      <c r="K1064" s="3306"/>
      <c r="L1064" s="3208"/>
    </row>
    <row r="1065" spans="1:12">
      <c r="A1065" s="3222">
        <v>1026</v>
      </c>
      <c r="B1065" s="3223" t="s">
        <v>5958</v>
      </c>
      <c r="C1065" s="3223"/>
      <c r="D1065" s="3223">
        <v>1707</v>
      </c>
      <c r="E1065" s="3223" t="s">
        <v>4786</v>
      </c>
      <c r="F1065" s="3223">
        <v>37.39</v>
      </c>
      <c r="G1065" s="3224">
        <f t="shared" ref="G1065:G1067" si="37">ROUND(F1065*H1065,2)</f>
        <v>16.600000000000001</v>
      </c>
      <c r="H1065" s="3224">
        <f t="shared" si="36"/>
        <v>0.44408023116547801</v>
      </c>
      <c r="I1065" s="3227"/>
      <c r="J1065" s="3305"/>
      <c r="K1065" s="3306"/>
      <c r="L1065" s="3208"/>
    </row>
    <row r="1066" spans="1:12">
      <c r="A1066" s="3222">
        <v>1027</v>
      </c>
      <c r="B1066" s="3223" t="s">
        <v>5958</v>
      </c>
      <c r="C1066" s="3223"/>
      <c r="D1066" s="3223">
        <v>1708</v>
      </c>
      <c r="E1066" s="3223" t="s">
        <v>4786</v>
      </c>
      <c r="F1066" s="3223">
        <v>37.39</v>
      </c>
      <c r="G1066" s="3224">
        <f t="shared" si="37"/>
        <v>16.600000000000001</v>
      </c>
      <c r="H1066" s="3224">
        <f t="shared" si="36"/>
        <v>0.44408023116547801</v>
      </c>
      <c r="I1066" s="3227"/>
      <c r="J1066" s="3305"/>
      <c r="K1066" s="3306"/>
      <c r="L1066" s="3208"/>
    </row>
    <row r="1067" spans="1:12">
      <c r="A1067" s="3222">
        <v>1028</v>
      </c>
      <c r="B1067" s="3223" t="s">
        <v>5958</v>
      </c>
      <c r="C1067" s="3223"/>
      <c r="D1067" s="3223">
        <v>1709</v>
      </c>
      <c r="E1067" s="3223" t="s">
        <v>4786</v>
      </c>
      <c r="F1067" s="3223">
        <v>35.9</v>
      </c>
      <c r="G1067" s="3224">
        <f t="shared" si="37"/>
        <v>15.94</v>
      </c>
      <c r="H1067" s="3224">
        <f t="shared" si="36"/>
        <v>0.44408023116547801</v>
      </c>
      <c r="I1067" s="3227"/>
      <c r="J1067" s="3314"/>
      <c r="K1067" s="3315"/>
      <c r="L1067" s="3208"/>
    </row>
    <row r="1068" spans="1:12" ht="19.5" thickBot="1">
      <c r="A1068" s="3311" t="s">
        <v>5961</v>
      </c>
      <c r="B1068" s="3312"/>
      <c r="C1068" s="3312"/>
      <c r="D1068" s="3312"/>
      <c r="E1068" s="3313"/>
      <c r="F1068" s="3230">
        <f>SUM(F40:F1067)</f>
        <v>67554.069999999861</v>
      </c>
      <c r="G1068" s="3228">
        <f>SUM(G40:G1067)</f>
        <v>29997.919999999434</v>
      </c>
      <c r="H1068" s="3228"/>
      <c r="I1068" s="3229"/>
      <c r="J1068" s="3322"/>
      <c r="K1068" s="3323"/>
      <c r="L1068" s="3216"/>
    </row>
    <row r="1069" spans="1:12">
      <c r="G1069" s="3232">
        <f>G1068-'数据-基础表'!A3</f>
        <v>-1.510000000565924</v>
      </c>
    </row>
  </sheetData>
  <mergeCells count="1033">
    <mergeCell ref="J1068:K1068"/>
    <mergeCell ref="J1066:K1066"/>
    <mergeCell ref="J1067:K1067"/>
    <mergeCell ref="J1064:K1064"/>
    <mergeCell ref="J1065:K1065"/>
    <mergeCell ref="J1047:K1047"/>
    <mergeCell ref="J1044:K1044"/>
    <mergeCell ref="J1045:K1045"/>
    <mergeCell ref="J1050:K1050"/>
    <mergeCell ref="J1051:K1051"/>
    <mergeCell ref="J1048:K1048"/>
    <mergeCell ref="J1049:K1049"/>
    <mergeCell ref="J1054:K1054"/>
    <mergeCell ref="J1055:K1055"/>
    <mergeCell ref="J1052:K1052"/>
    <mergeCell ref="J1053:K1053"/>
    <mergeCell ref="J1058:K1058"/>
    <mergeCell ref="J1059:K1059"/>
    <mergeCell ref="J1056:K1056"/>
    <mergeCell ref="J1057:K1057"/>
    <mergeCell ref="J1062:K1062"/>
    <mergeCell ref="J1063:K1063"/>
    <mergeCell ref="J1060:K1060"/>
    <mergeCell ref="J1061:K1061"/>
    <mergeCell ref="J1031:K1031"/>
    <mergeCell ref="J1030:K1030"/>
    <mergeCell ref="J1029:K1029"/>
    <mergeCell ref="J1028:K1028"/>
    <mergeCell ref="J1034:K1034"/>
    <mergeCell ref="J1035:K1035"/>
    <mergeCell ref="J1032:K1032"/>
    <mergeCell ref="J1033:K1033"/>
    <mergeCell ref="J1038:K1038"/>
    <mergeCell ref="J1039:K1039"/>
    <mergeCell ref="J1036:K1036"/>
    <mergeCell ref="J1037:K1037"/>
    <mergeCell ref="J1042:K1042"/>
    <mergeCell ref="J1043:K1043"/>
    <mergeCell ref="J1040:K1040"/>
    <mergeCell ref="J1041:K1041"/>
    <mergeCell ref="J1046:K1046"/>
    <mergeCell ref="J1011:K1011"/>
    <mergeCell ref="J1010:K1010"/>
    <mergeCell ref="J1009:K1009"/>
    <mergeCell ref="J1008:K1008"/>
    <mergeCell ref="J1015:K1015"/>
    <mergeCell ref="J1014:K1014"/>
    <mergeCell ref="J1013:K1013"/>
    <mergeCell ref="J1012:K1012"/>
    <mergeCell ref="J1019:K1019"/>
    <mergeCell ref="J1018:K1018"/>
    <mergeCell ref="J1017:K1017"/>
    <mergeCell ref="J1016:K1016"/>
    <mergeCell ref="J1023:K1023"/>
    <mergeCell ref="J1022:K1022"/>
    <mergeCell ref="J1021:K1021"/>
    <mergeCell ref="J1020:K1020"/>
    <mergeCell ref="J1027:K1027"/>
    <mergeCell ref="J1026:K1026"/>
    <mergeCell ref="J1025:K1025"/>
    <mergeCell ref="J1024:K1024"/>
    <mergeCell ref="J991:K991"/>
    <mergeCell ref="J990:K990"/>
    <mergeCell ref="J989:K989"/>
    <mergeCell ref="J988:K988"/>
    <mergeCell ref="J995:K995"/>
    <mergeCell ref="J994:K994"/>
    <mergeCell ref="J993:K993"/>
    <mergeCell ref="J992:K992"/>
    <mergeCell ref="J999:K999"/>
    <mergeCell ref="J998:K998"/>
    <mergeCell ref="J997:K997"/>
    <mergeCell ref="J996:K996"/>
    <mergeCell ref="J1003:K1003"/>
    <mergeCell ref="J1002:K1002"/>
    <mergeCell ref="J1001:K1001"/>
    <mergeCell ref="J1000:K1000"/>
    <mergeCell ref="J1007:K1007"/>
    <mergeCell ref="J1006:K1006"/>
    <mergeCell ref="J1005:K1005"/>
    <mergeCell ref="J1004:K1004"/>
    <mergeCell ref="J971:K971"/>
    <mergeCell ref="J970:K970"/>
    <mergeCell ref="J969:K969"/>
    <mergeCell ref="J968:K968"/>
    <mergeCell ref="J975:K975"/>
    <mergeCell ref="J974:K974"/>
    <mergeCell ref="J973:K973"/>
    <mergeCell ref="J972:K972"/>
    <mergeCell ref="J979:K979"/>
    <mergeCell ref="J978:K978"/>
    <mergeCell ref="J977:K977"/>
    <mergeCell ref="J976:K976"/>
    <mergeCell ref="J983:K983"/>
    <mergeCell ref="J982:K982"/>
    <mergeCell ref="J981:K981"/>
    <mergeCell ref="J980:K980"/>
    <mergeCell ref="J987:K987"/>
    <mergeCell ref="J986:K986"/>
    <mergeCell ref="J985:K985"/>
    <mergeCell ref="J984:K984"/>
    <mergeCell ref="J951:K951"/>
    <mergeCell ref="J950:K950"/>
    <mergeCell ref="J949:K949"/>
    <mergeCell ref="J948:K948"/>
    <mergeCell ref="J955:K955"/>
    <mergeCell ref="J954:K954"/>
    <mergeCell ref="J953:K953"/>
    <mergeCell ref="J952:K952"/>
    <mergeCell ref="J959:K959"/>
    <mergeCell ref="J958:K958"/>
    <mergeCell ref="J957:K957"/>
    <mergeCell ref="J956:K956"/>
    <mergeCell ref="J963:K963"/>
    <mergeCell ref="J962:K962"/>
    <mergeCell ref="J961:K961"/>
    <mergeCell ref="J960:K960"/>
    <mergeCell ref="J967:K967"/>
    <mergeCell ref="J966:K966"/>
    <mergeCell ref="J965:K965"/>
    <mergeCell ref="J964:K964"/>
    <mergeCell ref="J931:K931"/>
    <mergeCell ref="J930:K930"/>
    <mergeCell ref="J929:K929"/>
    <mergeCell ref="J928:K928"/>
    <mergeCell ref="J935:K935"/>
    <mergeCell ref="J934:K934"/>
    <mergeCell ref="J933:K933"/>
    <mergeCell ref="J932:K932"/>
    <mergeCell ref="J939:K939"/>
    <mergeCell ref="J938:K938"/>
    <mergeCell ref="J937:K937"/>
    <mergeCell ref="J936:K936"/>
    <mergeCell ref="J943:K943"/>
    <mergeCell ref="J942:K942"/>
    <mergeCell ref="J941:K941"/>
    <mergeCell ref="J940:K940"/>
    <mergeCell ref="J947:K947"/>
    <mergeCell ref="J946:K946"/>
    <mergeCell ref="J945:K945"/>
    <mergeCell ref="J944:K944"/>
    <mergeCell ref="J911:K911"/>
    <mergeCell ref="J910:K910"/>
    <mergeCell ref="J909:K909"/>
    <mergeCell ref="J908:K908"/>
    <mergeCell ref="J915:K915"/>
    <mergeCell ref="J914:K914"/>
    <mergeCell ref="J913:K913"/>
    <mergeCell ref="J912:K912"/>
    <mergeCell ref="J919:K919"/>
    <mergeCell ref="J918:K918"/>
    <mergeCell ref="J917:K917"/>
    <mergeCell ref="J916:K916"/>
    <mergeCell ref="J923:K923"/>
    <mergeCell ref="J922:K922"/>
    <mergeCell ref="J921:K921"/>
    <mergeCell ref="J920:K920"/>
    <mergeCell ref="J927:K927"/>
    <mergeCell ref="J926:K926"/>
    <mergeCell ref="J925:K925"/>
    <mergeCell ref="J924:K924"/>
    <mergeCell ref="J891:K891"/>
    <mergeCell ref="J890:K890"/>
    <mergeCell ref="J889:K889"/>
    <mergeCell ref="J888:K888"/>
    <mergeCell ref="J895:K895"/>
    <mergeCell ref="J894:K894"/>
    <mergeCell ref="J893:K893"/>
    <mergeCell ref="J892:K892"/>
    <mergeCell ref="J899:K899"/>
    <mergeCell ref="J898:K898"/>
    <mergeCell ref="J897:K897"/>
    <mergeCell ref="J896:K896"/>
    <mergeCell ref="J903:K903"/>
    <mergeCell ref="J902:K902"/>
    <mergeCell ref="J901:K901"/>
    <mergeCell ref="J900:K900"/>
    <mergeCell ref="J907:K907"/>
    <mergeCell ref="J906:K906"/>
    <mergeCell ref="J905:K905"/>
    <mergeCell ref="J904:K904"/>
    <mergeCell ref="J871:K871"/>
    <mergeCell ref="J870:K870"/>
    <mergeCell ref="J869:K869"/>
    <mergeCell ref="J868:K868"/>
    <mergeCell ref="J875:K875"/>
    <mergeCell ref="J874:K874"/>
    <mergeCell ref="J873:K873"/>
    <mergeCell ref="J872:K872"/>
    <mergeCell ref="J879:K879"/>
    <mergeCell ref="J878:K878"/>
    <mergeCell ref="J877:K877"/>
    <mergeCell ref="J876:K876"/>
    <mergeCell ref="J883:K883"/>
    <mergeCell ref="J882:K882"/>
    <mergeCell ref="J881:K881"/>
    <mergeCell ref="J880:K880"/>
    <mergeCell ref="J887:K887"/>
    <mergeCell ref="J886:K886"/>
    <mergeCell ref="J885:K885"/>
    <mergeCell ref="J884:K884"/>
    <mergeCell ref="J851:K851"/>
    <mergeCell ref="J850:K850"/>
    <mergeCell ref="J849:K849"/>
    <mergeCell ref="J848:K848"/>
    <mergeCell ref="J855:K855"/>
    <mergeCell ref="J854:K854"/>
    <mergeCell ref="J853:K853"/>
    <mergeCell ref="J852:K852"/>
    <mergeCell ref="J859:K859"/>
    <mergeCell ref="J858:K858"/>
    <mergeCell ref="J857:K857"/>
    <mergeCell ref="J856:K856"/>
    <mergeCell ref="J863:K863"/>
    <mergeCell ref="J862:K862"/>
    <mergeCell ref="J861:K861"/>
    <mergeCell ref="J860:K860"/>
    <mergeCell ref="J867:K867"/>
    <mergeCell ref="J866:K866"/>
    <mergeCell ref="J865:K865"/>
    <mergeCell ref="J864:K864"/>
    <mergeCell ref="J831:K831"/>
    <mergeCell ref="J830:K830"/>
    <mergeCell ref="J829:K829"/>
    <mergeCell ref="J828:K828"/>
    <mergeCell ref="J835:K835"/>
    <mergeCell ref="J834:K834"/>
    <mergeCell ref="J833:K833"/>
    <mergeCell ref="J832:K832"/>
    <mergeCell ref="J839:K839"/>
    <mergeCell ref="J838:K838"/>
    <mergeCell ref="J837:K837"/>
    <mergeCell ref="J836:K836"/>
    <mergeCell ref="J843:K843"/>
    <mergeCell ref="J842:K842"/>
    <mergeCell ref="J841:K841"/>
    <mergeCell ref="J840:K840"/>
    <mergeCell ref="J847:K847"/>
    <mergeCell ref="J846:K846"/>
    <mergeCell ref="J845:K845"/>
    <mergeCell ref="J844:K844"/>
    <mergeCell ref="J811:K811"/>
    <mergeCell ref="J810:K810"/>
    <mergeCell ref="J809:K809"/>
    <mergeCell ref="J808:K808"/>
    <mergeCell ref="J815:K815"/>
    <mergeCell ref="J814:K814"/>
    <mergeCell ref="J813:K813"/>
    <mergeCell ref="J812:K812"/>
    <mergeCell ref="J819:K819"/>
    <mergeCell ref="J818:K818"/>
    <mergeCell ref="J817:K817"/>
    <mergeCell ref="J816:K816"/>
    <mergeCell ref="J823:K823"/>
    <mergeCell ref="J822:K822"/>
    <mergeCell ref="J821:K821"/>
    <mergeCell ref="J820:K820"/>
    <mergeCell ref="J827:K827"/>
    <mergeCell ref="J826:K826"/>
    <mergeCell ref="J825:K825"/>
    <mergeCell ref="J824:K824"/>
    <mergeCell ref="J791:K791"/>
    <mergeCell ref="J790:K790"/>
    <mergeCell ref="J789:K789"/>
    <mergeCell ref="J788:K788"/>
    <mergeCell ref="J795:K795"/>
    <mergeCell ref="J794:K794"/>
    <mergeCell ref="J793:K793"/>
    <mergeCell ref="J792:K792"/>
    <mergeCell ref="J799:K799"/>
    <mergeCell ref="J798:K798"/>
    <mergeCell ref="J797:K797"/>
    <mergeCell ref="J796:K796"/>
    <mergeCell ref="J803:K803"/>
    <mergeCell ref="J802:K802"/>
    <mergeCell ref="J801:K801"/>
    <mergeCell ref="J800:K800"/>
    <mergeCell ref="J807:K807"/>
    <mergeCell ref="J806:K806"/>
    <mergeCell ref="J805:K805"/>
    <mergeCell ref="J804:K804"/>
    <mergeCell ref="J771:K771"/>
    <mergeCell ref="J770:K770"/>
    <mergeCell ref="J769:K769"/>
    <mergeCell ref="J768:K768"/>
    <mergeCell ref="J775:K775"/>
    <mergeCell ref="J774:K774"/>
    <mergeCell ref="J773:K773"/>
    <mergeCell ref="J772:K772"/>
    <mergeCell ref="J779:K779"/>
    <mergeCell ref="J778:K778"/>
    <mergeCell ref="J777:K777"/>
    <mergeCell ref="J776:K776"/>
    <mergeCell ref="J783:K783"/>
    <mergeCell ref="J782:K782"/>
    <mergeCell ref="J781:K781"/>
    <mergeCell ref="J780:K780"/>
    <mergeCell ref="J787:K787"/>
    <mergeCell ref="J786:K786"/>
    <mergeCell ref="J785:K785"/>
    <mergeCell ref="J784:K784"/>
    <mergeCell ref="J751:K751"/>
    <mergeCell ref="J750:K750"/>
    <mergeCell ref="J749:K749"/>
    <mergeCell ref="J748:K748"/>
    <mergeCell ref="J755:K755"/>
    <mergeCell ref="J754:K754"/>
    <mergeCell ref="J753:K753"/>
    <mergeCell ref="J752:K752"/>
    <mergeCell ref="J759:K759"/>
    <mergeCell ref="J758:K758"/>
    <mergeCell ref="J757:K757"/>
    <mergeCell ref="J756:K756"/>
    <mergeCell ref="J763:K763"/>
    <mergeCell ref="J762:K762"/>
    <mergeCell ref="J761:K761"/>
    <mergeCell ref="J760:K760"/>
    <mergeCell ref="J767:K767"/>
    <mergeCell ref="J766:K766"/>
    <mergeCell ref="J765:K765"/>
    <mergeCell ref="J764:K764"/>
    <mergeCell ref="J731:K731"/>
    <mergeCell ref="J730:K730"/>
    <mergeCell ref="J729:K729"/>
    <mergeCell ref="J728:K728"/>
    <mergeCell ref="J735:K735"/>
    <mergeCell ref="J734:K734"/>
    <mergeCell ref="J733:K733"/>
    <mergeCell ref="J732:K732"/>
    <mergeCell ref="J739:K739"/>
    <mergeCell ref="J738:K738"/>
    <mergeCell ref="J737:K737"/>
    <mergeCell ref="J736:K736"/>
    <mergeCell ref="J743:K743"/>
    <mergeCell ref="J742:K742"/>
    <mergeCell ref="J741:K741"/>
    <mergeCell ref="J740:K740"/>
    <mergeCell ref="J747:K747"/>
    <mergeCell ref="J746:K746"/>
    <mergeCell ref="J745:K745"/>
    <mergeCell ref="J744:K744"/>
    <mergeCell ref="J711:K711"/>
    <mergeCell ref="J710:K710"/>
    <mergeCell ref="J709:K709"/>
    <mergeCell ref="J708:K708"/>
    <mergeCell ref="J715:K715"/>
    <mergeCell ref="J714:K714"/>
    <mergeCell ref="J713:K713"/>
    <mergeCell ref="J712:K712"/>
    <mergeCell ref="J719:K719"/>
    <mergeCell ref="J718:K718"/>
    <mergeCell ref="J717:K717"/>
    <mergeCell ref="J716:K716"/>
    <mergeCell ref="J723:K723"/>
    <mergeCell ref="J722:K722"/>
    <mergeCell ref="J721:K721"/>
    <mergeCell ref="J720:K720"/>
    <mergeCell ref="J727:K727"/>
    <mergeCell ref="J726:K726"/>
    <mergeCell ref="J725:K725"/>
    <mergeCell ref="J724:K724"/>
    <mergeCell ref="J691:K691"/>
    <mergeCell ref="J690:K690"/>
    <mergeCell ref="J689:K689"/>
    <mergeCell ref="J688:K688"/>
    <mergeCell ref="J695:K695"/>
    <mergeCell ref="J694:K694"/>
    <mergeCell ref="J693:K693"/>
    <mergeCell ref="J692:K692"/>
    <mergeCell ref="J699:K699"/>
    <mergeCell ref="J698:K698"/>
    <mergeCell ref="J697:K697"/>
    <mergeCell ref="J696:K696"/>
    <mergeCell ref="J703:K703"/>
    <mergeCell ref="J702:K702"/>
    <mergeCell ref="J701:K701"/>
    <mergeCell ref="J700:K700"/>
    <mergeCell ref="J707:K707"/>
    <mergeCell ref="J706:K706"/>
    <mergeCell ref="J705:K705"/>
    <mergeCell ref="J704:K704"/>
    <mergeCell ref="J671:K671"/>
    <mergeCell ref="J670:K670"/>
    <mergeCell ref="J669:K669"/>
    <mergeCell ref="J668:K668"/>
    <mergeCell ref="J675:K675"/>
    <mergeCell ref="J674:K674"/>
    <mergeCell ref="J673:K673"/>
    <mergeCell ref="J672:K672"/>
    <mergeCell ref="J679:K679"/>
    <mergeCell ref="J678:K678"/>
    <mergeCell ref="J677:K677"/>
    <mergeCell ref="J676:K676"/>
    <mergeCell ref="J683:K683"/>
    <mergeCell ref="J682:K682"/>
    <mergeCell ref="J681:K681"/>
    <mergeCell ref="J680:K680"/>
    <mergeCell ref="J687:K687"/>
    <mergeCell ref="J686:K686"/>
    <mergeCell ref="J685:K685"/>
    <mergeCell ref="J684:K684"/>
    <mergeCell ref="J651:K651"/>
    <mergeCell ref="J650:K650"/>
    <mergeCell ref="J649:K649"/>
    <mergeCell ref="J648:K648"/>
    <mergeCell ref="J655:K655"/>
    <mergeCell ref="J654:K654"/>
    <mergeCell ref="J653:K653"/>
    <mergeCell ref="J652:K652"/>
    <mergeCell ref="J659:K659"/>
    <mergeCell ref="J658:K658"/>
    <mergeCell ref="J657:K657"/>
    <mergeCell ref="J656:K656"/>
    <mergeCell ref="J663:K663"/>
    <mergeCell ref="J662:K662"/>
    <mergeCell ref="J661:K661"/>
    <mergeCell ref="J660:K660"/>
    <mergeCell ref="J667:K667"/>
    <mergeCell ref="J666:K666"/>
    <mergeCell ref="J665:K665"/>
    <mergeCell ref="J664:K664"/>
    <mergeCell ref="J631:K631"/>
    <mergeCell ref="J630:K630"/>
    <mergeCell ref="J629:K629"/>
    <mergeCell ref="J628:K628"/>
    <mergeCell ref="J635:K635"/>
    <mergeCell ref="J634:K634"/>
    <mergeCell ref="J633:K633"/>
    <mergeCell ref="J632:K632"/>
    <mergeCell ref="J639:K639"/>
    <mergeCell ref="J638:K638"/>
    <mergeCell ref="J637:K637"/>
    <mergeCell ref="J636:K636"/>
    <mergeCell ref="J643:K643"/>
    <mergeCell ref="J642:K642"/>
    <mergeCell ref="J641:K641"/>
    <mergeCell ref="J640:K640"/>
    <mergeCell ref="J647:K647"/>
    <mergeCell ref="J646:K646"/>
    <mergeCell ref="J645:K645"/>
    <mergeCell ref="J644:K644"/>
    <mergeCell ref="J611:K611"/>
    <mergeCell ref="J610:K610"/>
    <mergeCell ref="J609:K609"/>
    <mergeCell ref="J608:K608"/>
    <mergeCell ref="J615:K615"/>
    <mergeCell ref="J614:K614"/>
    <mergeCell ref="J613:K613"/>
    <mergeCell ref="J612:K612"/>
    <mergeCell ref="J619:K619"/>
    <mergeCell ref="J618:K618"/>
    <mergeCell ref="J617:K617"/>
    <mergeCell ref="J616:K616"/>
    <mergeCell ref="J623:K623"/>
    <mergeCell ref="J622:K622"/>
    <mergeCell ref="J621:K621"/>
    <mergeCell ref="J620:K620"/>
    <mergeCell ref="J627:K627"/>
    <mergeCell ref="J626:K626"/>
    <mergeCell ref="J625:K625"/>
    <mergeCell ref="J624:K624"/>
    <mergeCell ref="J591:K591"/>
    <mergeCell ref="J590:K590"/>
    <mergeCell ref="J589:K589"/>
    <mergeCell ref="J588:K588"/>
    <mergeCell ref="J595:K595"/>
    <mergeCell ref="J594:K594"/>
    <mergeCell ref="J593:K593"/>
    <mergeCell ref="J592:K592"/>
    <mergeCell ref="J599:K599"/>
    <mergeCell ref="J598:K598"/>
    <mergeCell ref="J597:K597"/>
    <mergeCell ref="J596:K596"/>
    <mergeCell ref="J603:K603"/>
    <mergeCell ref="J602:K602"/>
    <mergeCell ref="J601:K601"/>
    <mergeCell ref="J600:K600"/>
    <mergeCell ref="J607:K607"/>
    <mergeCell ref="J606:K606"/>
    <mergeCell ref="J605:K605"/>
    <mergeCell ref="J604:K604"/>
    <mergeCell ref="J571:K571"/>
    <mergeCell ref="J570:K570"/>
    <mergeCell ref="J569:K569"/>
    <mergeCell ref="J568:K568"/>
    <mergeCell ref="J575:K575"/>
    <mergeCell ref="J574:K574"/>
    <mergeCell ref="J573:K573"/>
    <mergeCell ref="J572:K572"/>
    <mergeCell ref="J579:K579"/>
    <mergeCell ref="J578:K578"/>
    <mergeCell ref="J577:K577"/>
    <mergeCell ref="J576:K576"/>
    <mergeCell ref="J583:K583"/>
    <mergeCell ref="J582:K582"/>
    <mergeCell ref="J581:K581"/>
    <mergeCell ref="J580:K580"/>
    <mergeCell ref="J587:K587"/>
    <mergeCell ref="J586:K586"/>
    <mergeCell ref="J585:K585"/>
    <mergeCell ref="J584:K584"/>
    <mergeCell ref="J551:K551"/>
    <mergeCell ref="J550:K550"/>
    <mergeCell ref="J549:K549"/>
    <mergeCell ref="J548:K548"/>
    <mergeCell ref="J555:K555"/>
    <mergeCell ref="J554:K554"/>
    <mergeCell ref="J553:K553"/>
    <mergeCell ref="J552:K552"/>
    <mergeCell ref="J559:K559"/>
    <mergeCell ref="J558:K558"/>
    <mergeCell ref="J557:K557"/>
    <mergeCell ref="J556:K556"/>
    <mergeCell ref="J563:K563"/>
    <mergeCell ref="J562:K562"/>
    <mergeCell ref="J561:K561"/>
    <mergeCell ref="J560:K560"/>
    <mergeCell ref="J567:K567"/>
    <mergeCell ref="J566:K566"/>
    <mergeCell ref="J565:K565"/>
    <mergeCell ref="J564:K564"/>
    <mergeCell ref="J531:K531"/>
    <mergeCell ref="J530:K530"/>
    <mergeCell ref="J529:K529"/>
    <mergeCell ref="J528:K528"/>
    <mergeCell ref="J535:K535"/>
    <mergeCell ref="J534:K534"/>
    <mergeCell ref="J533:K533"/>
    <mergeCell ref="J532:K532"/>
    <mergeCell ref="J539:K539"/>
    <mergeCell ref="J538:K538"/>
    <mergeCell ref="J537:K537"/>
    <mergeCell ref="J536:K536"/>
    <mergeCell ref="J543:K543"/>
    <mergeCell ref="J542:K542"/>
    <mergeCell ref="J541:K541"/>
    <mergeCell ref="J540:K540"/>
    <mergeCell ref="J547:K547"/>
    <mergeCell ref="J546:K546"/>
    <mergeCell ref="J545:K545"/>
    <mergeCell ref="J544:K544"/>
    <mergeCell ref="J511:K511"/>
    <mergeCell ref="J510:K510"/>
    <mergeCell ref="J509:K509"/>
    <mergeCell ref="J508:K508"/>
    <mergeCell ref="J515:K515"/>
    <mergeCell ref="J514:K514"/>
    <mergeCell ref="J513:K513"/>
    <mergeCell ref="J512:K512"/>
    <mergeCell ref="J519:K519"/>
    <mergeCell ref="J518:K518"/>
    <mergeCell ref="J517:K517"/>
    <mergeCell ref="J516:K516"/>
    <mergeCell ref="J523:K523"/>
    <mergeCell ref="J522:K522"/>
    <mergeCell ref="J521:K521"/>
    <mergeCell ref="J520:K520"/>
    <mergeCell ref="J527:K527"/>
    <mergeCell ref="J526:K526"/>
    <mergeCell ref="J525:K525"/>
    <mergeCell ref="J524:K524"/>
    <mergeCell ref="J491:K491"/>
    <mergeCell ref="J490:K490"/>
    <mergeCell ref="J489:K489"/>
    <mergeCell ref="J488:K488"/>
    <mergeCell ref="J495:K495"/>
    <mergeCell ref="J494:K494"/>
    <mergeCell ref="J493:K493"/>
    <mergeCell ref="J492:K492"/>
    <mergeCell ref="J499:K499"/>
    <mergeCell ref="J498:K498"/>
    <mergeCell ref="J497:K497"/>
    <mergeCell ref="J496:K496"/>
    <mergeCell ref="J503:K503"/>
    <mergeCell ref="J502:K502"/>
    <mergeCell ref="J501:K501"/>
    <mergeCell ref="J500:K500"/>
    <mergeCell ref="J507:K507"/>
    <mergeCell ref="J506:K506"/>
    <mergeCell ref="J505:K505"/>
    <mergeCell ref="J504:K504"/>
    <mergeCell ref="J471:K471"/>
    <mergeCell ref="J470:K470"/>
    <mergeCell ref="J469:K469"/>
    <mergeCell ref="J468:K468"/>
    <mergeCell ref="J475:K475"/>
    <mergeCell ref="J474:K474"/>
    <mergeCell ref="J473:K473"/>
    <mergeCell ref="J472:K472"/>
    <mergeCell ref="J479:K479"/>
    <mergeCell ref="J478:K478"/>
    <mergeCell ref="J477:K477"/>
    <mergeCell ref="J476:K476"/>
    <mergeCell ref="J483:K483"/>
    <mergeCell ref="J482:K482"/>
    <mergeCell ref="J481:K481"/>
    <mergeCell ref="J480:K480"/>
    <mergeCell ref="J487:K487"/>
    <mergeCell ref="J486:K486"/>
    <mergeCell ref="J485:K485"/>
    <mergeCell ref="J484:K484"/>
    <mergeCell ref="J451:K451"/>
    <mergeCell ref="J450:K450"/>
    <mergeCell ref="J449:K449"/>
    <mergeCell ref="J448:K448"/>
    <mergeCell ref="J455:K455"/>
    <mergeCell ref="J454:K454"/>
    <mergeCell ref="J453:K453"/>
    <mergeCell ref="J452:K452"/>
    <mergeCell ref="J459:K459"/>
    <mergeCell ref="J458:K458"/>
    <mergeCell ref="J457:K457"/>
    <mergeCell ref="J456:K456"/>
    <mergeCell ref="J463:K463"/>
    <mergeCell ref="J462:K462"/>
    <mergeCell ref="J461:K461"/>
    <mergeCell ref="J460:K460"/>
    <mergeCell ref="J467:K467"/>
    <mergeCell ref="J466:K466"/>
    <mergeCell ref="J465:K465"/>
    <mergeCell ref="J464:K464"/>
    <mergeCell ref="J431:K431"/>
    <mergeCell ref="J430:K430"/>
    <mergeCell ref="J429:K429"/>
    <mergeCell ref="J428:K428"/>
    <mergeCell ref="J435:K435"/>
    <mergeCell ref="J434:K434"/>
    <mergeCell ref="J433:K433"/>
    <mergeCell ref="J432:K432"/>
    <mergeCell ref="J439:K439"/>
    <mergeCell ref="J438:K438"/>
    <mergeCell ref="J437:K437"/>
    <mergeCell ref="J436:K436"/>
    <mergeCell ref="J443:K443"/>
    <mergeCell ref="J442:K442"/>
    <mergeCell ref="J441:K441"/>
    <mergeCell ref="J440:K440"/>
    <mergeCell ref="J447:K447"/>
    <mergeCell ref="J446:K446"/>
    <mergeCell ref="J445:K445"/>
    <mergeCell ref="J444:K444"/>
    <mergeCell ref="J411:K411"/>
    <mergeCell ref="J410:K410"/>
    <mergeCell ref="J409:K409"/>
    <mergeCell ref="J408:K408"/>
    <mergeCell ref="J415:K415"/>
    <mergeCell ref="J414:K414"/>
    <mergeCell ref="J413:K413"/>
    <mergeCell ref="J412:K412"/>
    <mergeCell ref="J419:K419"/>
    <mergeCell ref="J418:K418"/>
    <mergeCell ref="J417:K417"/>
    <mergeCell ref="J416:K416"/>
    <mergeCell ref="J423:K423"/>
    <mergeCell ref="J422:K422"/>
    <mergeCell ref="J421:K421"/>
    <mergeCell ref="J420:K420"/>
    <mergeCell ref="J427:K427"/>
    <mergeCell ref="J426:K426"/>
    <mergeCell ref="J425:K425"/>
    <mergeCell ref="J424:K424"/>
    <mergeCell ref="J391:K391"/>
    <mergeCell ref="J390:K390"/>
    <mergeCell ref="J389:K389"/>
    <mergeCell ref="J388:K388"/>
    <mergeCell ref="J395:K395"/>
    <mergeCell ref="J394:K394"/>
    <mergeCell ref="J393:K393"/>
    <mergeCell ref="J392:K392"/>
    <mergeCell ref="J399:K399"/>
    <mergeCell ref="J398:K398"/>
    <mergeCell ref="J397:K397"/>
    <mergeCell ref="J396:K396"/>
    <mergeCell ref="J403:K403"/>
    <mergeCell ref="J402:K402"/>
    <mergeCell ref="J401:K401"/>
    <mergeCell ref="J400:K400"/>
    <mergeCell ref="J407:K407"/>
    <mergeCell ref="J406:K406"/>
    <mergeCell ref="J405:K405"/>
    <mergeCell ref="J404:K404"/>
    <mergeCell ref="J371:K371"/>
    <mergeCell ref="J370:K370"/>
    <mergeCell ref="J369:K369"/>
    <mergeCell ref="J368:K368"/>
    <mergeCell ref="J375:K375"/>
    <mergeCell ref="J374:K374"/>
    <mergeCell ref="J373:K373"/>
    <mergeCell ref="J372:K372"/>
    <mergeCell ref="J379:K379"/>
    <mergeCell ref="J378:K378"/>
    <mergeCell ref="J377:K377"/>
    <mergeCell ref="J376:K376"/>
    <mergeCell ref="J383:K383"/>
    <mergeCell ref="J382:K382"/>
    <mergeCell ref="J381:K381"/>
    <mergeCell ref="J380:K380"/>
    <mergeCell ref="J387:K387"/>
    <mergeCell ref="J386:K386"/>
    <mergeCell ref="J385:K385"/>
    <mergeCell ref="J384:K384"/>
    <mergeCell ref="J351:K351"/>
    <mergeCell ref="J350:K350"/>
    <mergeCell ref="J349:K349"/>
    <mergeCell ref="J348:K348"/>
    <mergeCell ref="J355:K355"/>
    <mergeCell ref="J354:K354"/>
    <mergeCell ref="J353:K353"/>
    <mergeCell ref="J352:K352"/>
    <mergeCell ref="J359:K359"/>
    <mergeCell ref="J358:K358"/>
    <mergeCell ref="J357:K357"/>
    <mergeCell ref="J356:K356"/>
    <mergeCell ref="J363:K363"/>
    <mergeCell ref="J362:K362"/>
    <mergeCell ref="J361:K361"/>
    <mergeCell ref="J360:K360"/>
    <mergeCell ref="J367:K367"/>
    <mergeCell ref="J366:K366"/>
    <mergeCell ref="J365:K365"/>
    <mergeCell ref="J364:K364"/>
    <mergeCell ref="J331:K331"/>
    <mergeCell ref="J330:K330"/>
    <mergeCell ref="J329:K329"/>
    <mergeCell ref="J328:K328"/>
    <mergeCell ref="J335:K335"/>
    <mergeCell ref="J334:K334"/>
    <mergeCell ref="J333:K333"/>
    <mergeCell ref="J332:K332"/>
    <mergeCell ref="J339:K339"/>
    <mergeCell ref="J338:K338"/>
    <mergeCell ref="J337:K337"/>
    <mergeCell ref="J336:K336"/>
    <mergeCell ref="J343:K343"/>
    <mergeCell ref="J342:K342"/>
    <mergeCell ref="J341:K341"/>
    <mergeCell ref="J340:K340"/>
    <mergeCell ref="J347:K347"/>
    <mergeCell ref="J346:K346"/>
    <mergeCell ref="J345:K345"/>
    <mergeCell ref="J344:K344"/>
    <mergeCell ref="J311:K311"/>
    <mergeCell ref="J310:K310"/>
    <mergeCell ref="J309:K309"/>
    <mergeCell ref="J308:K308"/>
    <mergeCell ref="J315:K315"/>
    <mergeCell ref="J314:K314"/>
    <mergeCell ref="J313:K313"/>
    <mergeCell ref="J312:K312"/>
    <mergeCell ref="J319:K319"/>
    <mergeCell ref="J318:K318"/>
    <mergeCell ref="J317:K317"/>
    <mergeCell ref="J316:K316"/>
    <mergeCell ref="J323:K323"/>
    <mergeCell ref="J322:K322"/>
    <mergeCell ref="J321:K321"/>
    <mergeCell ref="J320:K320"/>
    <mergeCell ref="J327:K327"/>
    <mergeCell ref="J326:K326"/>
    <mergeCell ref="J325:K325"/>
    <mergeCell ref="J324:K324"/>
    <mergeCell ref="J291:K291"/>
    <mergeCell ref="J290:K290"/>
    <mergeCell ref="J289:K289"/>
    <mergeCell ref="J288:K288"/>
    <mergeCell ref="J295:K295"/>
    <mergeCell ref="J294:K294"/>
    <mergeCell ref="J293:K293"/>
    <mergeCell ref="J292:K292"/>
    <mergeCell ref="J299:K299"/>
    <mergeCell ref="J298:K298"/>
    <mergeCell ref="J297:K297"/>
    <mergeCell ref="J296:K296"/>
    <mergeCell ref="J303:K303"/>
    <mergeCell ref="J302:K302"/>
    <mergeCell ref="J301:K301"/>
    <mergeCell ref="J300:K300"/>
    <mergeCell ref="J307:K307"/>
    <mergeCell ref="J306:K306"/>
    <mergeCell ref="J305:K305"/>
    <mergeCell ref="J304:K304"/>
    <mergeCell ref="J271:K271"/>
    <mergeCell ref="J270:K270"/>
    <mergeCell ref="J269:K269"/>
    <mergeCell ref="J268:K268"/>
    <mergeCell ref="J275:K275"/>
    <mergeCell ref="J274:K274"/>
    <mergeCell ref="J273:K273"/>
    <mergeCell ref="J272:K272"/>
    <mergeCell ref="J279:K279"/>
    <mergeCell ref="J278:K278"/>
    <mergeCell ref="J277:K277"/>
    <mergeCell ref="J276:K276"/>
    <mergeCell ref="J283:K283"/>
    <mergeCell ref="J282:K282"/>
    <mergeCell ref="J281:K281"/>
    <mergeCell ref="J280:K280"/>
    <mergeCell ref="J287:K287"/>
    <mergeCell ref="J286:K286"/>
    <mergeCell ref="J285:K285"/>
    <mergeCell ref="J284:K284"/>
    <mergeCell ref="J251:K251"/>
    <mergeCell ref="J250:K250"/>
    <mergeCell ref="J249:K249"/>
    <mergeCell ref="J248:K248"/>
    <mergeCell ref="J255:K255"/>
    <mergeCell ref="J254:K254"/>
    <mergeCell ref="J253:K253"/>
    <mergeCell ref="J252:K252"/>
    <mergeCell ref="J259:K259"/>
    <mergeCell ref="J258:K258"/>
    <mergeCell ref="J257:K257"/>
    <mergeCell ref="J256:K256"/>
    <mergeCell ref="J263:K263"/>
    <mergeCell ref="J262:K262"/>
    <mergeCell ref="J261:K261"/>
    <mergeCell ref="J260:K260"/>
    <mergeCell ref="J267:K267"/>
    <mergeCell ref="J266:K266"/>
    <mergeCell ref="J265:K265"/>
    <mergeCell ref="J264:K264"/>
    <mergeCell ref="J231:K231"/>
    <mergeCell ref="J230:K230"/>
    <mergeCell ref="J229:K229"/>
    <mergeCell ref="J228:K228"/>
    <mergeCell ref="J235:K235"/>
    <mergeCell ref="J234:K234"/>
    <mergeCell ref="J233:K233"/>
    <mergeCell ref="J232:K232"/>
    <mergeCell ref="J239:K239"/>
    <mergeCell ref="J238:K238"/>
    <mergeCell ref="J237:K237"/>
    <mergeCell ref="J236:K236"/>
    <mergeCell ref="J243:K243"/>
    <mergeCell ref="J242:K242"/>
    <mergeCell ref="J241:K241"/>
    <mergeCell ref="J240:K240"/>
    <mergeCell ref="J247:K247"/>
    <mergeCell ref="J246:K246"/>
    <mergeCell ref="J245:K245"/>
    <mergeCell ref="J244:K244"/>
    <mergeCell ref="J211:K211"/>
    <mergeCell ref="J210:K210"/>
    <mergeCell ref="J209:K209"/>
    <mergeCell ref="J208:K208"/>
    <mergeCell ref="J215:K215"/>
    <mergeCell ref="J214:K214"/>
    <mergeCell ref="J213:K213"/>
    <mergeCell ref="J212:K212"/>
    <mergeCell ref="J219:K219"/>
    <mergeCell ref="J218:K218"/>
    <mergeCell ref="J217:K217"/>
    <mergeCell ref="J216:K216"/>
    <mergeCell ref="J223:K223"/>
    <mergeCell ref="J222:K222"/>
    <mergeCell ref="J221:K221"/>
    <mergeCell ref="J220:K220"/>
    <mergeCell ref="J227:K227"/>
    <mergeCell ref="J226:K226"/>
    <mergeCell ref="J225:K225"/>
    <mergeCell ref="J224:K224"/>
    <mergeCell ref="J191:K191"/>
    <mergeCell ref="J190:K190"/>
    <mergeCell ref="J189:K189"/>
    <mergeCell ref="J188:K188"/>
    <mergeCell ref="J195:K195"/>
    <mergeCell ref="J194:K194"/>
    <mergeCell ref="J193:K193"/>
    <mergeCell ref="J192:K192"/>
    <mergeCell ref="J199:K199"/>
    <mergeCell ref="J198:K198"/>
    <mergeCell ref="J197:K197"/>
    <mergeCell ref="J196:K196"/>
    <mergeCell ref="J203:K203"/>
    <mergeCell ref="J202:K202"/>
    <mergeCell ref="J201:K201"/>
    <mergeCell ref="J200:K200"/>
    <mergeCell ref="J207:K207"/>
    <mergeCell ref="J206:K206"/>
    <mergeCell ref="J205:K205"/>
    <mergeCell ref="J204:K204"/>
    <mergeCell ref="J171:K171"/>
    <mergeCell ref="J170:K170"/>
    <mergeCell ref="J169:K169"/>
    <mergeCell ref="J168:K168"/>
    <mergeCell ref="J175:K175"/>
    <mergeCell ref="J174:K174"/>
    <mergeCell ref="J173:K173"/>
    <mergeCell ref="J172:K172"/>
    <mergeCell ref="J179:K179"/>
    <mergeCell ref="J178:K178"/>
    <mergeCell ref="J177:K177"/>
    <mergeCell ref="J176:K176"/>
    <mergeCell ref="J183:K183"/>
    <mergeCell ref="J182:K182"/>
    <mergeCell ref="J181:K181"/>
    <mergeCell ref="J180:K180"/>
    <mergeCell ref="J187:K187"/>
    <mergeCell ref="J186:K186"/>
    <mergeCell ref="J185:K185"/>
    <mergeCell ref="J184:K184"/>
    <mergeCell ref="J151:K151"/>
    <mergeCell ref="J150:K150"/>
    <mergeCell ref="J149:K149"/>
    <mergeCell ref="J148:K148"/>
    <mergeCell ref="J155:K155"/>
    <mergeCell ref="J154:K154"/>
    <mergeCell ref="J153:K153"/>
    <mergeCell ref="J152:K152"/>
    <mergeCell ref="J159:K159"/>
    <mergeCell ref="J158:K158"/>
    <mergeCell ref="J157:K157"/>
    <mergeCell ref="J156:K156"/>
    <mergeCell ref="J163:K163"/>
    <mergeCell ref="J162:K162"/>
    <mergeCell ref="J161:K161"/>
    <mergeCell ref="J160:K160"/>
    <mergeCell ref="J167:K167"/>
    <mergeCell ref="J166:K166"/>
    <mergeCell ref="J165:K165"/>
    <mergeCell ref="J164:K164"/>
    <mergeCell ref="J131:K131"/>
    <mergeCell ref="J130:K130"/>
    <mergeCell ref="J129:K129"/>
    <mergeCell ref="J128:K128"/>
    <mergeCell ref="J135:K135"/>
    <mergeCell ref="J134:K134"/>
    <mergeCell ref="J133:K133"/>
    <mergeCell ref="J132:K132"/>
    <mergeCell ref="J139:K139"/>
    <mergeCell ref="J138:K138"/>
    <mergeCell ref="J137:K137"/>
    <mergeCell ref="J136:K136"/>
    <mergeCell ref="J143:K143"/>
    <mergeCell ref="J142:K142"/>
    <mergeCell ref="J141:K141"/>
    <mergeCell ref="J140:K140"/>
    <mergeCell ref="J147:K147"/>
    <mergeCell ref="J146:K146"/>
    <mergeCell ref="J145:K145"/>
    <mergeCell ref="J144:K144"/>
    <mergeCell ref="J111:K111"/>
    <mergeCell ref="J110:K110"/>
    <mergeCell ref="J109:K109"/>
    <mergeCell ref="J108:K108"/>
    <mergeCell ref="J115:K115"/>
    <mergeCell ref="J114:K114"/>
    <mergeCell ref="J113:K113"/>
    <mergeCell ref="J112:K112"/>
    <mergeCell ref="J119:K119"/>
    <mergeCell ref="J118:K118"/>
    <mergeCell ref="J117:K117"/>
    <mergeCell ref="J116:K116"/>
    <mergeCell ref="J123:K123"/>
    <mergeCell ref="J122:K122"/>
    <mergeCell ref="J121:K121"/>
    <mergeCell ref="J120:K120"/>
    <mergeCell ref="J127:K127"/>
    <mergeCell ref="J126:K126"/>
    <mergeCell ref="J125:K125"/>
    <mergeCell ref="J124:K124"/>
    <mergeCell ref="J91:K91"/>
    <mergeCell ref="J90:K90"/>
    <mergeCell ref="J89:K89"/>
    <mergeCell ref="J88:K88"/>
    <mergeCell ref="J95:K95"/>
    <mergeCell ref="J94:K94"/>
    <mergeCell ref="J93:K93"/>
    <mergeCell ref="J92:K92"/>
    <mergeCell ref="J99:K99"/>
    <mergeCell ref="J98:K98"/>
    <mergeCell ref="J97:K97"/>
    <mergeCell ref="J96:K96"/>
    <mergeCell ref="J103:K103"/>
    <mergeCell ref="J102:K102"/>
    <mergeCell ref="J101:K101"/>
    <mergeCell ref="J100:K100"/>
    <mergeCell ref="J107:K107"/>
    <mergeCell ref="J106:K106"/>
    <mergeCell ref="J105:K105"/>
    <mergeCell ref="J104:K104"/>
    <mergeCell ref="J71:K71"/>
    <mergeCell ref="J70:K70"/>
    <mergeCell ref="J69:K69"/>
    <mergeCell ref="J68:K68"/>
    <mergeCell ref="J75:K75"/>
    <mergeCell ref="J74:K74"/>
    <mergeCell ref="J73:K73"/>
    <mergeCell ref="J72:K72"/>
    <mergeCell ref="J79:K79"/>
    <mergeCell ref="J78:K78"/>
    <mergeCell ref="J77:K77"/>
    <mergeCell ref="J76:K76"/>
    <mergeCell ref="J83:K83"/>
    <mergeCell ref="J82:K82"/>
    <mergeCell ref="J81:K81"/>
    <mergeCell ref="J80:K80"/>
    <mergeCell ref="J87:K87"/>
    <mergeCell ref="J86:K86"/>
    <mergeCell ref="J85:K85"/>
    <mergeCell ref="J84:K84"/>
    <mergeCell ref="J39:K39"/>
    <mergeCell ref="J38:K38"/>
    <mergeCell ref="A38:I38"/>
    <mergeCell ref="A1068:E1068"/>
    <mergeCell ref="J43:K43"/>
    <mergeCell ref="J42:K42"/>
    <mergeCell ref="J41:K41"/>
    <mergeCell ref="J40:K40"/>
    <mergeCell ref="J47:K47"/>
    <mergeCell ref="J46:K46"/>
    <mergeCell ref="J45:K45"/>
    <mergeCell ref="J44:K44"/>
    <mergeCell ref="J51:K51"/>
    <mergeCell ref="J50:K50"/>
    <mergeCell ref="J49:K49"/>
    <mergeCell ref="J48:K48"/>
    <mergeCell ref="J55:K55"/>
    <mergeCell ref="J54:K54"/>
    <mergeCell ref="J53:K53"/>
    <mergeCell ref="J52:K52"/>
    <mergeCell ref="J59:K59"/>
    <mergeCell ref="J58:K58"/>
    <mergeCell ref="J57:K57"/>
    <mergeCell ref="J56:K56"/>
    <mergeCell ref="J63:K63"/>
    <mergeCell ref="J62:K62"/>
    <mergeCell ref="J61:K61"/>
    <mergeCell ref="J60:K60"/>
    <mergeCell ref="J67:K67"/>
    <mergeCell ref="J66:K66"/>
    <mergeCell ref="J65:K65"/>
    <mergeCell ref="J64:K64"/>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196"/>
  <sheetViews>
    <sheetView topLeftCell="A170" zoomScaleNormal="100" zoomScaleSheetLayoutView="100" workbookViewId="0">
      <selection activeCell="R194" sqref="R194"/>
    </sheetView>
  </sheetViews>
  <sheetFormatPr defaultRowHeight="12"/>
  <cols>
    <col min="1" max="1" width="9" style="3162"/>
    <col min="2" max="3" width="15.875" style="3176" customWidth="1"/>
    <col min="4" max="4" width="36.375" style="3176" customWidth="1"/>
    <col min="5" max="6" width="15.875" style="3176" customWidth="1"/>
    <col min="7" max="7" width="16.5" style="3176" customWidth="1"/>
    <col min="8" max="9" width="15.5" style="3176" customWidth="1"/>
    <col min="10" max="10" width="14.75" style="3161" customWidth="1"/>
    <col min="11" max="12" width="31.125" style="3162" hidden="1" customWidth="1"/>
    <col min="13" max="13" width="10.125" style="3162" hidden="1" customWidth="1"/>
    <col min="14" max="16" width="0" style="3162" hidden="1" customWidth="1"/>
    <col min="17" max="257" width="9" style="3162"/>
    <col min="258" max="259" width="15.875" style="3162" customWidth="1"/>
    <col min="260" max="260" width="36.375" style="3162" customWidth="1"/>
    <col min="261" max="262" width="15.875" style="3162" customWidth="1"/>
    <col min="263" max="263" width="16.5" style="3162" customWidth="1"/>
    <col min="264" max="265" width="15.5" style="3162" customWidth="1"/>
    <col min="266" max="266" width="14.75" style="3162" customWidth="1"/>
    <col min="267" max="268" width="31.125" style="3162" customWidth="1"/>
    <col min="269" max="269" width="10.125" style="3162" bestFit="1" customWidth="1"/>
    <col min="270" max="513" width="9" style="3162"/>
    <col min="514" max="515" width="15.875" style="3162" customWidth="1"/>
    <col min="516" max="516" width="36.375" style="3162" customWidth="1"/>
    <col min="517" max="518" width="15.875" style="3162" customWidth="1"/>
    <col min="519" max="519" width="16.5" style="3162" customWidth="1"/>
    <col min="520" max="521" width="15.5" style="3162" customWidth="1"/>
    <col min="522" max="522" width="14.75" style="3162" customWidth="1"/>
    <col min="523" max="524" width="31.125" style="3162" customWidth="1"/>
    <col min="525" max="525" width="10.125" style="3162" bestFit="1" customWidth="1"/>
    <col min="526" max="769" width="9" style="3162"/>
    <col min="770" max="771" width="15.875" style="3162" customWidth="1"/>
    <col min="772" max="772" width="36.375" style="3162" customWidth="1"/>
    <col min="773" max="774" width="15.875" style="3162" customWidth="1"/>
    <col min="775" max="775" width="16.5" style="3162" customWidth="1"/>
    <col min="776" max="777" width="15.5" style="3162" customWidth="1"/>
    <col min="778" max="778" width="14.75" style="3162" customWidth="1"/>
    <col min="779" max="780" width="31.125" style="3162" customWidth="1"/>
    <col min="781" max="781" width="10.125" style="3162" bestFit="1" customWidth="1"/>
    <col min="782" max="1025" width="9" style="3162"/>
    <col min="1026" max="1027" width="15.875" style="3162" customWidth="1"/>
    <col min="1028" max="1028" width="36.375" style="3162" customWidth="1"/>
    <col min="1029" max="1030" width="15.875" style="3162" customWidth="1"/>
    <col min="1031" max="1031" width="16.5" style="3162" customWidth="1"/>
    <col min="1032" max="1033" width="15.5" style="3162" customWidth="1"/>
    <col min="1034" max="1034" width="14.75" style="3162" customWidth="1"/>
    <col min="1035" max="1036" width="31.125" style="3162" customWidth="1"/>
    <col min="1037" max="1037" width="10.125" style="3162" bestFit="1" customWidth="1"/>
    <col min="1038" max="1281" width="9" style="3162"/>
    <col min="1282" max="1283" width="15.875" style="3162" customWidth="1"/>
    <col min="1284" max="1284" width="36.375" style="3162" customWidth="1"/>
    <col min="1285" max="1286" width="15.875" style="3162" customWidth="1"/>
    <col min="1287" max="1287" width="16.5" style="3162" customWidth="1"/>
    <col min="1288" max="1289" width="15.5" style="3162" customWidth="1"/>
    <col min="1290" max="1290" width="14.75" style="3162" customWidth="1"/>
    <col min="1291" max="1292" width="31.125" style="3162" customWidth="1"/>
    <col min="1293" max="1293" width="10.125" style="3162" bestFit="1" customWidth="1"/>
    <col min="1294" max="1537" width="9" style="3162"/>
    <col min="1538" max="1539" width="15.875" style="3162" customWidth="1"/>
    <col min="1540" max="1540" width="36.375" style="3162" customWidth="1"/>
    <col min="1541" max="1542" width="15.875" style="3162" customWidth="1"/>
    <col min="1543" max="1543" width="16.5" style="3162" customWidth="1"/>
    <col min="1544" max="1545" width="15.5" style="3162" customWidth="1"/>
    <col min="1546" max="1546" width="14.75" style="3162" customWidth="1"/>
    <col min="1547" max="1548" width="31.125" style="3162" customWidth="1"/>
    <col min="1549" max="1549" width="10.125" style="3162" bestFit="1" customWidth="1"/>
    <col min="1550" max="1793" width="9" style="3162"/>
    <col min="1794" max="1795" width="15.875" style="3162" customWidth="1"/>
    <col min="1796" max="1796" width="36.375" style="3162" customWidth="1"/>
    <col min="1797" max="1798" width="15.875" style="3162" customWidth="1"/>
    <col min="1799" max="1799" width="16.5" style="3162" customWidth="1"/>
    <col min="1800" max="1801" width="15.5" style="3162" customWidth="1"/>
    <col min="1802" max="1802" width="14.75" style="3162" customWidth="1"/>
    <col min="1803" max="1804" width="31.125" style="3162" customWidth="1"/>
    <col min="1805" max="1805" width="10.125" style="3162" bestFit="1" customWidth="1"/>
    <col min="1806" max="2049" width="9" style="3162"/>
    <col min="2050" max="2051" width="15.875" style="3162" customWidth="1"/>
    <col min="2052" max="2052" width="36.375" style="3162" customWidth="1"/>
    <col min="2053" max="2054" width="15.875" style="3162" customWidth="1"/>
    <col min="2055" max="2055" width="16.5" style="3162" customWidth="1"/>
    <col min="2056" max="2057" width="15.5" style="3162" customWidth="1"/>
    <col min="2058" max="2058" width="14.75" style="3162" customWidth="1"/>
    <col min="2059" max="2060" width="31.125" style="3162" customWidth="1"/>
    <col min="2061" max="2061" width="10.125" style="3162" bestFit="1" customWidth="1"/>
    <col min="2062" max="2305" width="9" style="3162"/>
    <col min="2306" max="2307" width="15.875" style="3162" customWidth="1"/>
    <col min="2308" max="2308" width="36.375" style="3162" customWidth="1"/>
    <col min="2309" max="2310" width="15.875" style="3162" customWidth="1"/>
    <col min="2311" max="2311" width="16.5" style="3162" customWidth="1"/>
    <col min="2312" max="2313" width="15.5" style="3162" customWidth="1"/>
    <col min="2314" max="2314" width="14.75" style="3162" customWidth="1"/>
    <col min="2315" max="2316" width="31.125" style="3162" customWidth="1"/>
    <col min="2317" max="2317" width="10.125" style="3162" bestFit="1" customWidth="1"/>
    <col min="2318" max="2561" width="9" style="3162"/>
    <col min="2562" max="2563" width="15.875" style="3162" customWidth="1"/>
    <col min="2564" max="2564" width="36.375" style="3162" customWidth="1"/>
    <col min="2565" max="2566" width="15.875" style="3162" customWidth="1"/>
    <col min="2567" max="2567" width="16.5" style="3162" customWidth="1"/>
    <col min="2568" max="2569" width="15.5" style="3162" customWidth="1"/>
    <col min="2570" max="2570" width="14.75" style="3162" customWidth="1"/>
    <col min="2571" max="2572" width="31.125" style="3162" customWidth="1"/>
    <col min="2573" max="2573" width="10.125" style="3162" bestFit="1" customWidth="1"/>
    <col min="2574" max="2817" width="9" style="3162"/>
    <col min="2818" max="2819" width="15.875" style="3162" customWidth="1"/>
    <col min="2820" max="2820" width="36.375" style="3162" customWidth="1"/>
    <col min="2821" max="2822" width="15.875" style="3162" customWidth="1"/>
    <col min="2823" max="2823" width="16.5" style="3162" customWidth="1"/>
    <col min="2824" max="2825" width="15.5" style="3162" customWidth="1"/>
    <col min="2826" max="2826" width="14.75" style="3162" customWidth="1"/>
    <col min="2827" max="2828" width="31.125" style="3162" customWidth="1"/>
    <col min="2829" max="2829" width="10.125" style="3162" bestFit="1" customWidth="1"/>
    <col min="2830" max="3073" width="9" style="3162"/>
    <col min="3074" max="3075" width="15.875" style="3162" customWidth="1"/>
    <col min="3076" max="3076" width="36.375" style="3162" customWidth="1"/>
    <col min="3077" max="3078" width="15.875" style="3162" customWidth="1"/>
    <col min="3079" max="3079" width="16.5" style="3162" customWidth="1"/>
    <col min="3080" max="3081" width="15.5" style="3162" customWidth="1"/>
    <col min="3082" max="3082" width="14.75" style="3162" customWidth="1"/>
    <col min="3083" max="3084" width="31.125" style="3162" customWidth="1"/>
    <col min="3085" max="3085" width="10.125" style="3162" bestFit="1" customWidth="1"/>
    <col min="3086" max="3329" width="9" style="3162"/>
    <col min="3330" max="3331" width="15.875" style="3162" customWidth="1"/>
    <col min="3332" max="3332" width="36.375" style="3162" customWidth="1"/>
    <col min="3333" max="3334" width="15.875" style="3162" customWidth="1"/>
    <col min="3335" max="3335" width="16.5" style="3162" customWidth="1"/>
    <col min="3336" max="3337" width="15.5" style="3162" customWidth="1"/>
    <col min="3338" max="3338" width="14.75" style="3162" customWidth="1"/>
    <col min="3339" max="3340" width="31.125" style="3162" customWidth="1"/>
    <col min="3341" max="3341" width="10.125" style="3162" bestFit="1" customWidth="1"/>
    <col min="3342" max="3585" width="9" style="3162"/>
    <col min="3586" max="3587" width="15.875" style="3162" customWidth="1"/>
    <col min="3588" max="3588" width="36.375" style="3162" customWidth="1"/>
    <col min="3589" max="3590" width="15.875" style="3162" customWidth="1"/>
    <col min="3591" max="3591" width="16.5" style="3162" customWidth="1"/>
    <col min="3592" max="3593" width="15.5" style="3162" customWidth="1"/>
    <col min="3594" max="3594" width="14.75" style="3162" customWidth="1"/>
    <col min="3595" max="3596" width="31.125" style="3162" customWidth="1"/>
    <col min="3597" max="3597" width="10.125" style="3162" bestFit="1" customWidth="1"/>
    <col min="3598" max="3841" width="9" style="3162"/>
    <col min="3842" max="3843" width="15.875" style="3162" customWidth="1"/>
    <col min="3844" max="3844" width="36.375" style="3162" customWidth="1"/>
    <col min="3845" max="3846" width="15.875" style="3162" customWidth="1"/>
    <col min="3847" max="3847" width="16.5" style="3162" customWidth="1"/>
    <col min="3848" max="3849" width="15.5" style="3162" customWidth="1"/>
    <col min="3850" max="3850" width="14.75" style="3162" customWidth="1"/>
    <col min="3851" max="3852" width="31.125" style="3162" customWidth="1"/>
    <col min="3853" max="3853" width="10.125" style="3162" bestFit="1" customWidth="1"/>
    <col min="3854" max="4097" width="9" style="3162"/>
    <col min="4098" max="4099" width="15.875" style="3162" customWidth="1"/>
    <col min="4100" max="4100" width="36.375" style="3162" customWidth="1"/>
    <col min="4101" max="4102" width="15.875" style="3162" customWidth="1"/>
    <col min="4103" max="4103" width="16.5" style="3162" customWidth="1"/>
    <col min="4104" max="4105" width="15.5" style="3162" customWidth="1"/>
    <col min="4106" max="4106" width="14.75" style="3162" customWidth="1"/>
    <col min="4107" max="4108" width="31.125" style="3162" customWidth="1"/>
    <col min="4109" max="4109" width="10.125" style="3162" bestFit="1" customWidth="1"/>
    <col min="4110" max="4353" width="9" style="3162"/>
    <col min="4354" max="4355" width="15.875" style="3162" customWidth="1"/>
    <col min="4356" max="4356" width="36.375" style="3162" customWidth="1"/>
    <col min="4357" max="4358" width="15.875" style="3162" customWidth="1"/>
    <col min="4359" max="4359" width="16.5" style="3162" customWidth="1"/>
    <col min="4360" max="4361" width="15.5" style="3162" customWidth="1"/>
    <col min="4362" max="4362" width="14.75" style="3162" customWidth="1"/>
    <col min="4363" max="4364" width="31.125" style="3162" customWidth="1"/>
    <col min="4365" max="4365" width="10.125" style="3162" bestFit="1" customWidth="1"/>
    <col min="4366" max="4609" width="9" style="3162"/>
    <col min="4610" max="4611" width="15.875" style="3162" customWidth="1"/>
    <col min="4612" max="4612" width="36.375" style="3162" customWidth="1"/>
    <col min="4613" max="4614" width="15.875" style="3162" customWidth="1"/>
    <col min="4615" max="4615" width="16.5" style="3162" customWidth="1"/>
    <col min="4616" max="4617" width="15.5" style="3162" customWidth="1"/>
    <col min="4618" max="4618" width="14.75" style="3162" customWidth="1"/>
    <col min="4619" max="4620" width="31.125" style="3162" customWidth="1"/>
    <col min="4621" max="4621" width="10.125" style="3162" bestFit="1" customWidth="1"/>
    <col min="4622" max="4865" width="9" style="3162"/>
    <col min="4866" max="4867" width="15.875" style="3162" customWidth="1"/>
    <col min="4868" max="4868" width="36.375" style="3162" customWidth="1"/>
    <col min="4869" max="4870" width="15.875" style="3162" customWidth="1"/>
    <col min="4871" max="4871" width="16.5" style="3162" customWidth="1"/>
    <col min="4872" max="4873" width="15.5" style="3162" customWidth="1"/>
    <col min="4874" max="4874" width="14.75" style="3162" customWidth="1"/>
    <col min="4875" max="4876" width="31.125" style="3162" customWidth="1"/>
    <col min="4877" max="4877" width="10.125" style="3162" bestFit="1" customWidth="1"/>
    <col min="4878" max="5121" width="9" style="3162"/>
    <col min="5122" max="5123" width="15.875" style="3162" customWidth="1"/>
    <col min="5124" max="5124" width="36.375" style="3162" customWidth="1"/>
    <col min="5125" max="5126" width="15.875" style="3162" customWidth="1"/>
    <col min="5127" max="5127" width="16.5" style="3162" customWidth="1"/>
    <col min="5128" max="5129" width="15.5" style="3162" customWidth="1"/>
    <col min="5130" max="5130" width="14.75" style="3162" customWidth="1"/>
    <col min="5131" max="5132" width="31.125" style="3162" customWidth="1"/>
    <col min="5133" max="5133" width="10.125" style="3162" bestFit="1" customWidth="1"/>
    <col min="5134" max="5377" width="9" style="3162"/>
    <col min="5378" max="5379" width="15.875" style="3162" customWidth="1"/>
    <col min="5380" max="5380" width="36.375" style="3162" customWidth="1"/>
    <col min="5381" max="5382" width="15.875" style="3162" customWidth="1"/>
    <col min="5383" max="5383" width="16.5" style="3162" customWidth="1"/>
    <col min="5384" max="5385" width="15.5" style="3162" customWidth="1"/>
    <col min="5386" max="5386" width="14.75" style="3162" customWidth="1"/>
    <col min="5387" max="5388" width="31.125" style="3162" customWidth="1"/>
    <col min="5389" max="5389" width="10.125" style="3162" bestFit="1" customWidth="1"/>
    <col min="5390" max="5633" width="9" style="3162"/>
    <col min="5634" max="5635" width="15.875" style="3162" customWidth="1"/>
    <col min="5636" max="5636" width="36.375" style="3162" customWidth="1"/>
    <col min="5637" max="5638" width="15.875" style="3162" customWidth="1"/>
    <col min="5639" max="5639" width="16.5" style="3162" customWidth="1"/>
    <col min="5640" max="5641" width="15.5" style="3162" customWidth="1"/>
    <col min="5642" max="5642" width="14.75" style="3162" customWidth="1"/>
    <col min="5643" max="5644" width="31.125" style="3162" customWidth="1"/>
    <col min="5645" max="5645" width="10.125" style="3162" bestFit="1" customWidth="1"/>
    <col min="5646" max="5889" width="9" style="3162"/>
    <col min="5890" max="5891" width="15.875" style="3162" customWidth="1"/>
    <col min="5892" max="5892" width="36.375" style="3162" customWidth="1"/>
    <col min="5893" max="5894" width="15.875" style="3162" customWidth="1"/>
    <col min="5895" max="5895" width="16.5" style="3162" customWidth="1"/>
    <col min="5896" max="5897" width="15.5" style="3162" customWidth="1"/>
    <col min="5898" max="5898" width="14.75" style="3162" customWidth="1"/>
    <col min="5899" max="5900" width="31.125" style="3162" customWidth="1"/>
    <col min="5901" max="5901" width="10.125" style="3162" bestFit="1" customWidth="1"/>
    <col min="5902" max="6145" width="9" style="3162"/>
    <col min="6146" max="6147" width="15.875" style="3162" customWidth="1"/>
    <col min="6148" max="6148" width="36.375" style="3162" customWidth="1"/>
    <col min="6149" max="6150" width="15.875" style="3162" customWidth="1"/>
    <col min="6151" max="6151" width="16.5" style="3162" customWidth="1"/>
    <col min="6152" max="6153" width="15.5" style="3162" customWidth="1"/>
    <col min="6154" max="6154" width="14.75" style="3162" customWidth="1"/>
    <col min="6155" max="6156" width="31.125" style="3162" customWidth="1"/>
    <col min="6157" max="6157" width="10.125" style="3162" bestFit="1" customWidth="1"/>
    <col min="6158" max="6401" width="9" style="3162"/>
    <col min="6402" max="6403" width="15.875" style="3162" customWidth="1"/>
    <col min="6404" max="6404" width="36.375" style="3162" customWidth="1"/>
    <col min="6405" max="6406" width="15.875" style="3162" customWidth="1"/>
    <col min="6407" max="6407" width="16.5" style="3162" customWidth="1"/>
    <col min="6408" max="6409" width="15.5" style="3162" customWidth="1"/>
    <col min="6410" max="6410" width="14.75" style="3162" customWidth="1"/>
    <col min="6411" max="6412" width="31.125" style="3162" customWidth="1"/>
    <col min="6413" max="6413" width="10.125" style="3162" bestFit="1" customWidth="1"/>
    <col min="6414" max="6657" width="9" style="3162"/>
    <col min="6658" max="6659" width="15.875" style="3162" customWidth="1"/>
    <col min="6660" max="6660" width="36.375" style="3162" customWidth="1"/>
    <col min="6661" max="6662" width="15.875" style="3162" customWidth="1"/>
    <col min="6663" max="6663" width="16.5" style="3162" customWidth="1"/>
    <col min="6664" max="6665" width="15.5" style="3162" customWidth="1"/>
    <col min="6666" max="6666" width="14.75" style="3162" customWidth="1"/>
    <col min="6667" max="6668" width="31.125" style="3162" customWidth="1"/>
    <col min="6669" max="6669" width="10.125" style="3162" bestFit="1" customWidth="1"/>
    <col min="6670" max="6913" width="9" style="3162"/>
    <col min="6914" max="6915" width="15.875" style="3162" customWidth="1"/>
    <col min="6916" max="6916" width="36.375" style="3162" customWidth="1"/>
    <col min="6917" max="6918" width="15.875" style="3162" customWidth="1"/>
    <col min="6919" max="6919" width="16.5" style="3162" customWidth="1"/>
    <col min="6920" max="6921" width="15.5" style="3162" customWidth="1"/>
    <col min="6922" max="6922" width="14.75" style="3162" customWidth="1"/>
    <col min="6923" max="6924" width="31.125" style="3162" customWidth="1"/>
    <col min="6925" max="6925" width="10.125" style="3162" bestFit="1" customWidth="1"/>
    <col min="6926" max="7169" width="9" style="3162"/>
    <col min="7170" max="7171" width="15.875" style="3162" customWidth="1"/>
    <col min="7172" max="7172" width="36.375" style="3162" customWidth="1"/>
    <col min="7173" max="7174" width="15.875" style="3162" customWidth="1"/>
    <col min="7175" max="7175" width="16.5" style="3162" customWidth="1"/>
    <col min="7176" max="7177" width="15.5" style="3162" customWidth="1"/>
    <col min="7178" max="7178" width="14.75" style="3162" customWidth="1"/>
    <col min="7179" max="7180" width="31.125" style="3162" customWidth="1"/>
    <col min="7181" max="7181" width="10.125" style="3162" bestFit="1" customWidth="1"/>
    <col min="7182" max="7425" width="9" style="3162"/>
    <col min="7426" max="7427" width="15.875" style="3162" customWidth="1"/>
    <col min="7428" max="7428" width="36.375" style="3162" customWidth="1"/>
    <col min="7429" max="7430" width="15.875" style="3162" customWidth="1"/>
    <col min="7431" max="7431" width="16.5" style="3162" customWidth="1"/>
    <col min="7432" max="7433" width="15.5" style="3162" customWidth="1"/>
    <col min="7434" max="7434" width="14.75" style="3162" customWidth="1"/>
    <col min="7435" max="7436" width="31.125" style="3162" customWidth="1"/>
    <col min="7437" max="7437" width="10.125" style="3162" bestFit="1" customWidth="1"/>
    <col min="7438" max="7681" width="9" style="3162"/>
    <col min="7682" max="7683" width="15.875" style="3162" customWidth="1"/>
    <col min="7684" max="7684" width="36.375" style="3162" customWidth="1"/>
    <col min="7685" max="7686" width="15.875" style="3162" customWidth="1"/>
    <col min="7687" max="7687" width="16.5" style="3162" customWidth="1"/>
    <col min="7688" max="7689" width="15.5" style="3162" customWidth="1"/>
    <col min="7690" max="7690" width="14.75" style="3162" customWidth="1"/>
    <col min="7691" max="7692" width="31.125" style="3162" customWidth="1"/>
    <col min="7693" max="7693" width="10.125" style="3162" bestFit="1" customWidth="1"/>
    <col min="7694" max="7937" width="9" style="3162"/>
    <col min="7938" max="7939" width="15.875" style="3162" customWidth="1"/>
    <col min="7940" max="7940" width="36.375" style="3162" customWidth="1"/>
    <col min="7941" max="7942" width="15.875" style="3162" customWidth="1"/>
    <col min="7943" max="7943" width="16.5" style="3162" customWidth="1"/>
    <col min="7944" max="7945" width="15.5" style="3162" customWidth="1"/>
    <col min="7946" max="7946" width="14.75" style="3162" customWidth="1"/>
    <col min="7947" max="7948" width="31.125" style="3162" customWidth="1"/>
    <col min="7949" max="7949" width="10.125" style="3162" bestFit="1" customWidth="1"/>
    <col min="7950" max="8193" width="9" style="3162"/>
    <col min="8194" max="8195" width="15.875" style="3162" customWidth="1"/>
    <col min="8196" max="8196" width="36.375" style="3162" customWidth="1"/>
    <col min="8197" max="8198" width="15.875" style="3162" customWidth="1"/>
    <col min="8199" max="8199" width="16.5" style="3162" customWidth="1"/>
    <col min="8200" max="8201" width="15.5" style="3162" customWidth="1"/>
    <col min="8202" max="8202" width="14.75" style="3162" customWidth="1"/>
    <col min="8203" max="8204" width="31.125" style="3162" customWidth="1"/>
    <col min="8205" max="8205" width="10.125" style="3162" bestFit="1" customWidth="1"/>
    <col min="8206" max="8449" width="9" style="3162"/>
    <col min="8450" max="8451" width="15.875" style="3162" customWidth="1"/>
    <col min="8452" max="8452" width="36.375" style="3162" customWidth="1"/>
    <col min="8453" max="8454" width="15.875" style="3162" customWidth="1"/>
    <col min="8455" max="8455" width="16.5" style="3162" customWidth="1"/>
    <col min="8456" max="8457" width="15.5" style="3162" customWidth="1"/>
    <col min="8458" max="8458" width="14.75" style="3162" customWidth="1"/>
    <col min="8459" max="8460" width="31.125" style="3162" customWidth="1"/>
    <col min="8461" max="8461" width="10.125" style="3162" bestFit="1" customWidth="1"/>
    <col min="8462" max="8705" width="9" style="3162"/>
    <col min="8706" max="8707" width="15.875" style="3162" customWidth="1"/>
    <col min="8708" max="8708" width="36.375" style="3162" customWidth="1"/>
    <col min="8709" max="8710" width="15.875" style="3162" customWidth="1"/>
    <col min="8711" max="8711" width="16.5" style="3162" customWidth="1"/>
    <col min="8712" max="8713" width="15.5" style="3162" customWidth="1"/>
    <col min="8714" max="8714" width="14.75" style="3162" customWidth="1"/>
    <col min="8715" max="8716" width="31.125" style="3162" customWidth="1"/>
    <col min="8717" max="8717" width="10.125" style="3162" bestFit="1" customWidth="1"/>
    <col min="8718" max="8961" width="9" style="3162"/>
    <col min="8962" max="8963" width="15.875" style="3162" customWidth="1"/>
    <col min="8964" max="8964" width="36.375" style="3162" customWidth="1"/>
    <col min="8965" max="8966" width="15.875" style="3162" customWidth="1"/>
    <col min="8967" max="8967" width="16.5" style="3162" customWidth="1"/>
    <col min="8968" max="8969" width="15.5" style="3162" customWidth="1"/>
    <col min="8970" max="8970" width="14.75" style="3162" customWidth="1"/>
    <col min="8971" max="8972" width="31.125" style="3162" customWidth="1"/>
    <col min="8973" max="8973" width="10.125" style="3162" bestFit="1" customWidth="1"/>
    <col min="8974" max="9217" width="9" style="3162"/>
    <col min="9218" max="9219" width="15.875" style="3162" customWidth="1"/>
    <col min="9220" max="9220" width="36.375" style="3162" customWidth="1"/>
    <col min="9221" max="9222" width="15.875" style="3162" customWidth="1"/>
    <col min="9223" max="9223" width="16.5" style="3162" customWidth="1"/>
    <col min="9224" max="9225" width="15.5" style="3162" customWidth="1"/>
    <col min="9226" max="9226" width="14.75" style="3162" customWidth="1"/>
    <col min="9227" max="9228" width="31.125" style="3162" customWidth="1"/>
    <col min="9229" max="9229" width="10.125" style="3162" bestFit="1" customWidth="1"/>
    <col min="9230" max="9473" width="9" style="3162"/>
    <col min="9474" max="9475" width="15.875" style="3162" customWidth="1"/>
    <col min="9476" max="9476" width="36.375" style="3162" customWidth="1"/>
    <col min="9477" max="9478" width="15.875" style="3162" customWidth="1"/>
    <col min="9479" max="9479" width="16.5" style="3162" customWidth="1"/>
    <col min="9480" max="9481" width="15.5" style="3162" customWidth="1"/>
    <col min="9482" max="9482" width="14.75" style="3162" customWidth="1"/>
    <col min="9483" max="9484" width="31.125" style="3162" customWidth="1"/>
    <col min="9485" max="9485" width="10.125" style="3162" bestFit="1" customWidth="1"/>
    <col min="9486" max="9729" width="9" style="3162"/>
    <col min="9730" max="9731" width="15.875" style="3162" customWidth="1"/>
    <col min="9732" max="9732" width="36.375" style="3162" customWidth="1"/>
    <col min="9733" max="9734" width="15.875" style="3162" customWidth="1"/>
    <col min="9735" max="9735" width="16.5" style="3162" customWidth="1"/>
    <col min="9736" max="9737" width="15.5" style="3162" customWidth="1"/>
    <col min="9738" max="9738" width="14.75" style="3162" customWidth="1"/>
    <col min="9739" max="9740" width="31.125" style="3162" customWidth="1"/>
    <col min="9741" max="9741" width="10.125" style="3162" bestFit="1" customWidth="1"/>
    <col min="9742" max="9985" width="9" style="3162"/>
    <col min="9986" max="9987" width="15.875" style="3162" customWidth="1"/>
    <col min="9988" max="9988" width="36.375" style="3162" customWidth="1"/>
    <col min="9989" max="9990" width="15.875" style="3162" customWidth="1"/>
    <col min="9991" max="9991" width="16.5" style="3162" customWidth="1"/>
    <col min="9992" max="9993" width="15.5" style="3162" customWidth="1"/>
    <col min="9994" max="9994" width="14.75" style="3162" customWidth="1"/>
    <col min="9995" max="9996" width="31.125" style="3162" customWidth="1"/>
    <col min="9997" max="9997" width="10.125" style="3162" bestFit="1" customWidth="1"/>
    <col min="9998" max="10241" width="9" style="3162"/>
    <col min="10242" max="10243" width="15.875" style="3162" customWidth="1"/>
    <col min="10244" max="10244" width="36.375" style="3162" customWidth="1"/>
    <col min="10245" max="10246" width="15.875" style="3162" customWidth="1"/>
    <col min="10247" max="10247" width="16.5" style="3162" customWidth="1"/>
    <col min="10248" max="10249" width="15.5" style="3162" customWidth="1"/>
    <col min="10250" max="10250" width="14.75" style="3162" customWidth="1"/>
    <col min="10251" max="10252" width="31.125" style="3162" customWidth="1"/>
    <col min="10253" max="10253" width="10.125" style="3162" bestFit="1" customWidth="1"/>
    <col min="10254" max="10497" width="9" style="3162"/>
    <col min="10498" max="10499" width="15.875" style="3162" customWidth="1"/>
    <col min="10500" max="10500" width="36.375" style="3162" customWidth="1"/>
    <col min="10501" max="10502" width="15.875" style="3162" customWidth="1"/>
    <col min="10503" max="10503" width="16.5" style="3162" customWidth="1"/>
    <col min="10504" max="10505" width="15.5" style="3162" customWidth="1"/>
    <col min="10506" max="10506" width="14.75" style="3162" customWidth="1"/>
    <col min="10507" max="10508" width="31.125" style="3162" customWidth="1"/>
    <col min="10509" max="10509" width="10.125" style="3162" bestFit="1" customWidth="1"/>
    <col min="10510" max="10753" width="9" style="3162"/>
    <col min="10754" max="10755" width="15.875" style="3162" customWidth="1"/>
    <col min="10756" max="10756" width="36.375" style="3162" customWidth="1"/>
    <col min="10757" max="10758" width="15.875" style="3162" customWidth="1"/>
    <col min="10759" max="10759" width="16.5" style="3162" customWidth="1"/>
    <col min="10760" max="10761" width="15.5" style="3162" customWidth="1"/>
    <col min="10762" max="10762" width="14.75" style="3162" customWidth="1"/>
    <col min="10763" max="10764" width="31.125" style="3162" customWidth="1"/>
    <col min="10765" max="10765" width="10.125" style="3162" bestFit="1" customWidth="1"/>
    <col min="10766" max="11009" width="9" style="3162"/>
    <col min="11010" max="11011" width="15.875" style="3162" customWidth="1"/>
    <col min="11012" max="11012" width="36.375" style="3162" customWidth="1"/>
    <col min="11013" max="11014" width="15.875" style="3162" customWidth="1"/>
    <col min="11015" max="11015" width="16.5" style="3162" customWidth="1"/>
    <col min="11016" max="11017" width="15.5" style="3162" customWidth="1"/>
    <col min="11018" max="11018" width="14.75" style="3162" customWidth="1"/>
    <col min="11019" max="11020" width="31.125" style="3162" customWidth="1"/>
    <col min="11021" max="11021" width="10.125" style="3162" bestFit="1" customWidth="1"/>
    <col min="11022" max="11265" width="9" style="3162"/>
    <col min="11266" max="11267" width="15.875" style="3162" customWidth="1"/>
    <col min="11268" max="11268" width="36.375" style="3162" customWidth="1"/>
    <col min="11269" max="11270" width="15.875" style="3162" customWidth="1"/>
    <col min="11271" max="11271" width="16.5" style="3162" customWidth="1"/>
    <col min="11272" max="11273" width="15.5" style="3162" customWidth="1"/>
    <col min="11274" max="11274" width="14.75" style="3162" customWidth="1"/>
    <col min="11275" max="11276" width="31.125" style="3162" customWidth="1"/>
    <col min="11277" max="11277" width="10.125" style="3162" bestFit="1" customWidth="1"/>
    <col min="11278" max="11521" width="9" style="3162"/>
    <col min="11522" max="11523" width="15.875" style="3162" customWidth="1"/>
    <col min="11524" max="11524" width="36.375" style="3162" customWidth="1"/>
    <col min="11525" max="11526" width="15.875" style="3162" customWidth="1"/>
    <col min="11527" max="11527" width="16.5" style="3162" customWidth="1"/>
    <col min="11528" max="11529" width="15.5" style="3162" customWidth="1"/>
    <col min="11530" max="11530" width="14.75" style="3162" customWidth="1"/>
    <col min="11531" max="11532" width="31.125" style="3162" customWidth="1"/>
    <col min="11533" max="11533" width="10.125" style="3162" bestFit="1" customWidth="1"/>
    <col min="11534" max="11777" width="9" style="3162"/>
    <col min="11778" max="11779" width="15.875" style="3162" customWidth="1"/>
    <col min="11780" max="11780" width="36.375" style="3162" customWidth="1"/>
    <col min="11781" max="11782" width="15.875" style="3162" customWidth="1"/>
    <col min="11783" max="11783" width="16.5" style="3162" customWidth="1"/>
    <col min="11784" max="11785" width="15.5" style="3162" customWidth="1"/>
    <col min="11786" max="11786" width="14.75" style="3162" customWidth="1"/>
    <col min="11787" max="11788" width="31.125" style="3162" customWidth="1"/>
    <col min="11789" max="11789" width="10.125" style="3162" bestFit="1" customWidth="1"/>
    <col min="11790" max="12033" width="9" style="3162"/>
    <col min="12034" max="12035" width="15.875" style="3162" customWidth="1"/>
    <col min="12036" max="12036" width="36.375" style="3162" customWidth="1"/>
    <col min="12037" max="12038" width="15.875" style="3162" customWidth="1"/>
    <col min="12039" max="12039" width="16.5" style="3162" customWidth="1"/>
    <col min="12040" max="12041" width="15.5" style="3162" customWidth="1"/>
    <col min="12042" max="12042" width="14.75" style="3162" customWidth="1"/>
    <col min="12043" max="12044" width="31.125" style="3162" customWidth="1"/>
    <col min="12045" max="12045" width="10.125" style="3162" bestFit="1" customWidth="1"/>
    <col min="12046" max="12289" width="9" style="3162"/>
    <col min="12290" max="12291" width="15.875" style="3162" customWidth="1"/>
    <col min="12292" max="12292" width="36.375" style="3162" customWidth="1"/>
    <col min="12293" max="12294" width="15.875" style="3162" customWidth="1"/>
    <col min="12295" max="12295" width="16.5" style="3162" customWidth="1"/>
    <col min="12296" max="12297" width="15.5" style="3162" customWidth="1"/>
    <col min="12298" max="12298" width="14.75" style="3162" customWidth="1"/>
    <col min="12299" max="12300" width="31.125" style="3162" customWidth="1"/>
    <col min="12301" max="12301" width="10.125" style="3162" bestFit="1" customWidth="1"/>
    <col min="12302" max="12545" width="9" style="3162"/>
    <col min="12546" max="12547" width="15.875" style="3162" customWidth="1"/>
    <col min="12548" max="12548" width="36.375" style="3162" customWidth="1"/>
    <col min="12549" max="12550" width="15.875" style="3162" customWidth="1"/>
    <col min="12551" max="12551" width="16.5" style="3162" customWidth="1"/>
    <col min="12552" max="12553" width="15.5" style="3162" customWidth="1"/>
    <col min="12554" max="12554" width="14.75" style="3162" customWidth="1"/>
    <col min="12555" max="12556" width="31.125" style="3162" customWidth="1"/>
    <col min="12557" max="12557" width="10.125" style="3162" bestFit="1" customWidth="1"/>
    <col min="12558" max="12801" width="9" style="3162"/>
    <col min="12802" max="12803" width="15.875" style="3162" customWidth="1"/>
    <col min="12804" max="12804" width="36.375" style="3162" customWidth="1"/>
    <col min="12805" max="12806" width="15.875" style="3162" customWidth="1"/>
    <col min="12807" max="12807" width="16.5" style="3162" customWidth="1"/>
    <col min="12808" max="12809" width="15.5" style="3162" customWidth="1"/>
    <col min="12810" max="12810" width="14.75" style="3162" customWidth="1"/>
    <col min="12811" max="12812" width="31.125" style="3162" customWidth="1"/>
    <col min="12813" max="12813" width="10.125" style="3162" bestFit="1" customWidth="1"/>
    <col min="12814" max="13057" width="9" style="3162"/>
    <col min="13058" max="13059" width="15.875" style="3162" customWidth="1"/>
    <col min="13060" max="13060" width="36.375" style="3162" customWidth="1"/>
    <col min="13061" max="13062" width="15.875" style="3162" customWidth="1"/>
    <col min="13063" max="13063" width="16.5" style="3162" customWidth="1"/>
    <col min="13064" max="13065" width="15.5" style="3162" customWidth="1"/>
    <col min="13066" max="13066" width="14.75" style="3162" customWidth="1"/>
    <col min="13067" max="13068" width="31.125" style="3162" customWidth="1"/>
    <col min="13069" max="13069" width="10.125" style="3162" bestFit="1" customWidth="1"/>
    <col min="13070" max="13313" width="9" style="3162"/>
    <col min="13314" max="13315" width="15.875" style="3162" customWidth="1"/>
    <col min="13316" max="13316" width="36.375" style="3162" customWidth="1"/>
    <col min="13317" max="13318" width="15.875" style="3162" customWidth="1"/>
    <col min="13319" max="13319" width="16.5" style="3162" customWidth="1"/>
    <col min="13320" max="13321" width="15.5" style="3162" customWidth="1"/>
    <col min="13322" max="13322" width="14.75" style="3162" customWidth="1"/>
    <col min="13323" max="13324" width="31.125" style="3162" customWidth="1"/>
    <col min="13325" max="13325" width="10.125" style="3162" bestFit="1" customWidth="1"/>
    <col min="13326" max="13569" width="9" style="3162"/>
    <col min="13570" max="13571" width="15.875" style="3162" customWidth="1"/>
    <col min="13572" max="13572" width="36.375" style="3162" customWidth="1"/>
    <col min="13573" max="13574" width="15.875" style="3162" customWidth="1"/>
    <col min="13575" max="13575" width="16.5" style="3162" customWidth="1"/>
    <col min="13576" max="13577" width="15.5" style="3162" customWidth="1"/>
    <col min="13578" max="13578" width="14.75" style="3162" customWidth="1"/>
    <col min="13579" max="13580" width="31.125" style="3162" customWidth="1"/>
    <col min="13581" max="13581" width="10.125" style="3162" bestFit="1" customWidth="1"/>
    <col min="13582" max="13825" width="9" style="3162"/>
    <col min="13826" max="13827" width="15.875" style="3162" customWidth="1"/>
    <col min="13828" max="13828" width="36.375" style="3162" customWidth="1"/>
    <col min="13829" max="13830" width="15.875" style="3162" customWidth="1"/>
    <col min="13831" max="13831" width="16.5" style="3162" customWidth="1"/>
    <col min="13832" max="13833" width="15.5" style="3162" customWidth="1"/>
    <col min="13834" max="13834" width="14.75" style="3162" customWidth="1"/>
    <col min="13835" max="13836" width="31.125" style="3162" customWidth="1"/>
    <col min="13837" max="13837" width="10.125" style="3162" bestFit="1" customWidth="1"/>
    <col min="13838" max="14081" width="9" style="3162"/>
    <col min="14082" max="14083" width="15.875" style="3162" customWidth="1"/>
    <col min="14084" max="14084" width="36.375" style="3162" customWidth="1"/>
    <col min="14085" max="14086" width="15.875" style="3162" customWidth="1"/>
    <col min="14087" max="14087" width="16.5" style="3162" customWidth="1"/>
    <col min="14088" max="14089" width="15.5" style="3162" customWidth="1"/>
    <col min="14090" max="14090" width="14.75" style="3162" customWidth="1"/>
    <col min="14091" max="14092" width="31.125" style="3162" customWidth="1"/>
    <col min="14093" max="14093" width="10.125" style="3162" bestFit="1" customWidth="1"/>
    <col min="14094" max="14337" width="9" style="3162"/>
    <col min="14338" max="14339" width="15.875" style="3162" customWidth="1"/>
    <col min="14340" max="14340" width="36.375" style="3162" customWidth="1"/>
    <col min="14341" max="14342" width="15.875" style="3162" customWidth="1"/>
    <col min="14343" max="14343" width="16.5" style="3162" customWidth="1"/>
    <col min="14344" max="14345" width="15.5" style="3162" customWidth="1"/>
    <col min="14346" max="14346" width="14.75" style="3162" customWidth="1"/>
    <col min="14347" max="14348" width="31.125" style="3162" customWidth="1"/>
    <col min="14349" max="14349" width="10.125" style="3162" bestFit="1" customWidth="1"/>
    <col min="14350" max="14593" width="9" style="3162"/>
    <col min="14594" max="14595" width="15.875" style="3162" customWidth="1"/>
    <col min="14596" max="14596" width="36.375" style="3162" customWidth="1"/>
    <col min="14597" max="14598" width="15.875" style="3162" customWidth="1"/>
    <col min="14599" max="14599" width="16.5" style="3162" customWidth="1"/>
    <col min="14600" max="14601" width="15.5" style="3162" customWidth="1"/>
    <col min="14602" max="14602" width="14.75" style="3162" customWidth="1"/>
    <col min="14603" max="14604" width="31.125" style="3162" customWidth="1"/>
    <col min="14605" max="14605" width="10.125" style="3162" bestFit="1" customWidth="1"/>
    <col min="14606" max="14849" width="9" style="3162"/>
    <col min="14850" max="14851" width="15.875" style="3162" customWidth="1"/>
    <col min="14852" max="14852" width="36.375" style="3162" customWidth="1"/>
    <col min="14853" max="14854" width="15.875" style="3162" customWidth="1"/>
    <col min="14855" max="14855" width="16.5" style="3162" customWidth="1"/>
    <col min="14856" max="14857" width="15.5" style="3162" customWidth="1"/>
    <col min="14858" max="14858" width="14.75" style="3162" customWidth="1"/>
    <col min="14859" max="14860" width="31.125" style="3162" customWidth="1"/>
    <col min="14861" max="14861" width="10.125" style="3162" bestFit="1" customWidth="1"/>
    <col min="14862" max="15105" width="9" style="3162"/>
    <col min="15106" max="15107" width="15.875" style="3162" customWidth="1"/>
    <col min="15108" max="15108" width="36.375" style="3162" customWidth="1"/>
    <col min="15109" max="15110" width="15.875" style="3162" customWidth="1"/>
    <col min="15111" max="15111" width="16.5" style="3162" customWidth="1"/>
    <col min="15112" max="15113" width="15.5" style="3162" customWidth="1"/>
    <col min="15114" max="15114" width="14.75" style="3162" customWidth="1"/>
    <col min="15115" max="15116" width="31.125" style="3162" customWidth="1"/>
    <col min="15117" max="15117" width="10.125" style="3162" bestFit="1" customWidth="1"/>
    <col min="15118" max="15361" width="9" style="3162"/>
    <col min="15362" max="15363" width="15.875" style="3162" customWidth="1"/>
    <col min="15364" max="15364" width="36.375" style="3162" customWidth="1"/>
    <col min="15365" max="15366" width="15.875" style="3162" customWidth="1"/>
    <col min="15367" max="15367" width="16.5" style="3162" customWidth="1"/>
    <col min="15368" max="15369" width="15.5" style="3162" customWidth="1"/>
    <col min="15370" max="15370" width="14.75" style="3162" customWidth="1"/>
    <col min="15371" max="15372" width="31.125" style="3162" customWidth="1"/>
    <col min="15373" max="15373" width="10.125" style="3162" bestFit="1" customWidth="1"/>
    <col min="15374" max="15617" width="9" style="3162"/>
    <col min="15618" max="15619" width="15.875" style="3162" customWidth="1"/>
    <col min="15620" max="15620" width="36.375" style="3162" customWidth="1"/>
    <col min="15621" max="15622" width="15.875" style="3162" customWidth="1"/>
    <col min="15623" max="15623" width="16.5" style="3162" customWidth="1"/>
    <col min="15624" max="15625" width="15.5" style="3162" customWidth="1"/>
    <col min="15626" max="15626" width="14.75" style="3162" customWidth="1"/>
    <col min="15627" max="15628" width="31.125" style="3162" customWidth="1"/>
    <col min="15629" max="15629" width="10.125" style="3162" bestFit="1" customWidth="1"/>
    <col min="15630" max="15873" width="9" style="3162"/>
    <col min="15874" max="15875" width="15.875" style="3162" customWidth="1"/>
    <col min="15876" max="15876" width="36.375" style="3162" customWidth="1"/>
    <col min="15877" max="15878" width="15.875" style="3162" customWidth="1"/>
    <col min="15879" max="15879" width="16.5" style="3162" customWidth="1"/>
    <col min="15880" max="15881" width="15.5" style="3162" customWidth="1"/>
    <col min="15882" max="15882" width="14.75" style="3162" customWidth="1"/>
    <col min="15883" max="15884" width="31.125" style="3162" customWidth="1"/>
    <col min="15885" max="15885" width="10.125" style="3162" bestFit="1" customWidth="1"/>
    <col min="15886" max="16129" width="9" style="3162"/>
    <col min="16130" max="16131" width="15.875" style="3162" customWidth="1"/>
    <col min="16132" max="16132" width="36.375" style="3162" customWidth="1"/>
    <col min="16133" max="16134" width="15.875" style="3162" customWidth="1"/>
    <col min="16135" max="16135" width="16.5" style="3162" customWidth="1"/>
    <col min="16136" max="16137" width="15.5" style="3162" customWidth="1"/>
    <col min="16138" max="16138" width="14.75" style="3162" customWidth="1"/>
    <col min="16139" max="16140" width="31.125" style="3162" customWidth="1"/>
    <col min="16141" max="16141" width="10.125" style="3162" bestFit="1" customWidth="1"/>
    <col min="16142" max="16384" width="9" style="3162"/>
  </cols>
  <sheetData>
    <row r="1" spans="1:13" ht="18.75">
      <c r="A1" s="3324" t="s">
        <v>3431</v>
      </c>
      <c r="B1" s="3324"/>
      <c r="C1" s="3324"/>
      <c r="D1" s="3324"/>
      <c r="E1" s="3324"/>
      <c r="F1" s="3324"/>
      <c r="G1" s="3324"/>
      <c r="H1" s="3324"/>
      <c r="I1" s="3160"/>
      <c r="J1" s="3161" t="s">
        <v>3432</v>
      </c>
    </row>
    <row r="2" spans="1:13">
      <c r="A2" s="3163" t="s">
        <v>3433</v>
      </c>
      <c r="B2" s="3164" t="s">
        <v>3434</v>
      </c>
      <c r="C2" s="3164" t="s">
        <v>3435</v>
      </c>
      <c r="D2" s="3164" t="s">
        <v>3436</v>
      </c>
      <c r="E2" s="3164" t="s">
        <v>3437</v>
      </c>
      <c r="F2" s="3165" t="s">
        <v>3438</v>
      </c>
      <c r="G2" s="3165" t="s">
        <v>3439</v>
      </c>
      <c r="H2" s="3165" t="s">
        <v>3440</v>
      </c>
      <c r="I2" s="3165" t="s">
        <v>3441</v>
      </c>
      <c r="J2" s="3166" t="s">
        <v>3442</v>
      </c>
      <c r="K2" s="3167" t="s">
        <v>3443</v>
      </c>
    </row>
    <row r="3" spans="1:13" ht="16.5">
      <c r="A3" s="3168">
        <v>1</v>
      </c>
      <c r="B3" s="3169" t="s">
        <v>3444</v>
      </c>
      <c r="C3" s="3170" t="s">
        <v>3395</v>
      </c>
      <c r="D3" s="3171" t="s">
        <v>3445</v>
      </c>
      <c r="E3" s="3170" t="s">
        <v>3446</v>
      </c>
      <c r="F3" s="3169">
        <v>1</v>
      </c>
      <c r="G3" s="3169">
        <v>101</v>
      </c>
      <c r="H3" s="3172">
        <v>192.35</v>
      </c>
      <c r="I3" s="3173">
        <v>22327843.739999998</v>
      </c>
      <c r="J3" s="3174" t="s">
        <v>3447</v>
      </c>
      <c r="K3" s="3161"/>
      <c r="M3" s="3161"/>
    </row>
    <row r="4" spans="1:13" ht="16.5">
      <c r="A4" s="3168">
        <v>2</v>
      </c>
      <c r="B4" s="3169" t="s">
        <v>3444</v>
      </c>
      <c r="C4" s="3170" t="s">
        <v>3395</v>
      </c>
      <c r="D4" s="3171" t="s">
        <v>3448</v>
      </c>
      <c r="E4" s="3170" t="s">
        <v>3449</v>
      </c>
      <c r="F4" s="3169">
        <v>1</v>
      </c>
      <c r="G4" s="3169">
        <v>102</v>
      </c>
      <c r="H4" s="3172">
        <v>161.68</v>
      </c>
      <c r="I4" s="3173">
        <v>18375536.68</v>
      </c>
      <c r="J4" s="3174" t="s">
        <v>3447</v>
      </c>
      <c r="K4" s="3161"/>
      <c r="M4" s="3161"/>
    </row>
    <row r="5" spans="1:13" ht="16.5">
      <c r="A5" s="3168">
        <v>3</v>
      </c>
      <c r="B5" s="3169" t="s">
        <v>3444</v>
      </c>
      <c r="C5" s="3170" t="s">
        <v>3395</v>
      </c>
      <c r="D5" s="3171" t="s">
        <v>3450</v>
      </c>
      <c r="E5" s="3170" t="s">
        <v>3451</v>
      </c>
      <c r="F5" s="3169">
        <v>1</v>
      </c>
      <c r="G5" s="3169">
        <v>202</v>
      </c>
      <c r="H5" s="3172">
        <v>184.32</v>
      </c>
      <c r="I5" s="3173">
        <v>21501617.359999999</v>
      </c>
      <c r="J5" s="3174" t="s">
        <v>3447</v>
      </c>
      <c r="K5" s="3161"/>
      <c r="M5" s="3161"/>
    </row>
    <row r="6" spans="1:13" ht="16.5">
      <c r="A6" s="3168">
        <v>4</v>
      </c>
      <c r="B6" s="3169" t="s">
        <v>3444</v>
      </c>
      <c r="C6" s="3170" t="s">
        <v>3395</v>
      </c>
      <c r="D6" s="3171" t="s">
        <v>3452</v>
      </c>
      <c r="E6" s="3170" t="s">
        <v>3453</v>
      </c>
      <c r="F6" s="3169">
        <v>1</v>
      </c>
      <c r="G6" s="3169">
        <v>301</v>
      </c>
      <c r="H6" s="3172">
        <v>192.37</v>
      </c>
      <c r="I6" s="3173">
        <v>23869125.32</v>
      </c>
      <c r="J6" s="3174" t="s">
        <v>3447</v>
      </c>
      <c r="K6" s="3161"/>
      <c r="M6" s="3161"/>
    </row>
    <row r="7" spans="1:13" ht="16.5">
      <c r="A7" s="3168">
        <v>5</v>
      </c>
      <c r="B7" s="3169" t="s">
        <v>3444</v>
      </c>
      <c r="C7" s="3170" t="s">
        <v>3395</v>
      </c>
      <c r="D7" s="3171" t="s">
        <v>3454</v>
      </c>
      <c r="E7" s="3170" t="s">
        <v>3455</v>
      </c>
      <c r="F7" s="3169">
        <v>1</v>
      </c>
      <c r="G7" s="3169">
        <v>302</v>
      </c>
      <c r="H7" s="3172">
        <v>184.32</v>
      </c>
      <c r="I7" s="3173">
        <v>22423217.359999999</v>
      </c>
      <c r="J7" s="3174" t="s">
        <v>3447</v>
      </c>
      <c r="K7" s="3161"/>
      <c r="M7" s="3161"/>
    </row>
    <row r="8" spans="1:13" ht="16.5">
      <c r="A8" s="3168">
        <v>6</v>
      </c>
      <c r="B8" s="3169" t="s">
        <v>3444</v>
      </c>
      <c r="C8" s="3170" t="s">
        <v>3395</v>
      </c>
      <c r="D8" s="3171" t="s">
        <v>3456</v>
      </c>
      <c r="E8" s="3170" t="s">
        <v>3457</v>
      </c>
      <c r="F8" s="3169">
        <v>2</v>
      </c>
      <c r="G8" s="3169">
        <v>101</v>
      </c>
      <c r="H8" s="3172">
        <v>161.68</v>
      </c>
      <c r="I8" s="3173">
        <v>18375536.68</v>
      </c>
      <c r="J8" s="3174" t="s">
        <v>3458</v>
      </c>
      <c r="K8" s="3161"/>
      <c r="M8" s="3161"/>
    </row>
    <row r="9" spans="1:13" ht="16.5">
      <c r="A9" s="3168">
        <v>7</v>
      </c>
      <c r="B9" s="3169" t="s">
        <v>3444</v>
      </c>
      <c r="C9" s="3170" t="s">
        <v>3395</v>
      </c>
      <c r="D9" s="3171" t="s">
        <v>3459</v>
      </c>
      <c r="E9" s="3170" t="s">
        <v>3460</v>
      </c>
      <c r="F9" s="3169">
        <v>2</v>
      </c>
      <c r="G9" s="3169">
        <v>102</v>
      </c>
      <c r="H9" s="3172">
        <v>184.78</v>
      </c>
      <c r="I9" s="3173">
        <v>21000938.079999998</v>
      </c>
      <c r="J9" s="3174" t="s">
        <v>3447</v>
      </c>
      <c r="K9" s="3161"/>
      <c r="M9" s="3161"/>
    </row>
    <row r="10" spans="1:13" ht="16.5">
      <c r="A10" s="3168">
        <v>8</v>
      </c>
      <c r="B10" s="3169" t="s">
        <v>3444</v>
      </c>
      <c r="C10" s="3170" t="s">
        <v>3395</v>
      </c>
      <c r="D10" s="3171" t="s">
        <v>3461</v>
      </c>
      <c r="E10" s="3170" t="s">
        <v>3462</v>
      </c>
      <c r="F10" s="3169">
        <v>2</v>
      </c>
      <c r="G10" s="3169">
        <v>201</v>
      </c>
      <c r="H10" s="3172">
        <v>184.32</v>
      </c>
      <c r="I10" s="3173">
        <v>21501617.359999999</v>
      </c>
      <c r="J10" s="3174" t="s">
        <v>3463</v>
      </c>
      <c r="K10" s="3161"/>
      <c r="M10" s="3161"/>
    </row>
    <row r="11" spans="1:13" ht="16.5">
      <c r="A11" s="3168">
        <v>9</v>
      </c>
      <c r="B11" s="3169" t="s">
        <v>3444</v>
      </c>
      <c r="C11" s="3170" t="s">
        <v>3395</v>
      </c>
      <c r="D11" s="3171" t="s">
        <v>3464</v>
      </c>
      <c r="E11" s="3170" t="s">
        <v>3465</v>
      </c>
      <c r="F11" s="3169">
        <v>2</v>
      </c>
      <c r="G11" s="3169">
        <v>301</v>
      </c>
      <c r="H11" s="3172">
        <v>184.32</v>
      </c>
      <c r="I11" s="3173">
        <v>22423217.359999999</v>
      </c>
      <c r="J11" s="3174" t="s">
        <v>3447</v>
      </c>
      <c r="K11" s="3161"/>
      <c r="M11" s="3161"/>
    </row>
    <row r="12" spans="1:13" ht="16.5">
      <c r="A12" s="3168">
        <v>10</v>
      </c>
      <c r="B12" s="3169" t="s">
        <v>3444</v>
      </c>
      <c r="C12" s="3170" t="s">
        <v>3395</v>
      </c>
      <c r="D12" s="3171" t="s">
        <v>3466</v>
      </c>
      <c r="E12" s="3170" t="s">
        <v>3467</v>
      </c>
      <c r="F12" s="3169">
        <v>2</v>
      </c>
      <c r="G12" s="3169">
        <v>302</v>
      </c>
      <c r="H12" s="3172">
        <v>184.82</v>
      </c>
      <c r="I12" s="3173">
        <v>22484044.23</v>
      </c>
      <c r="J12" s="3174" t="s">
        <v>3447</v>
      </c>
      <c r="K12" s="3161"/>
      <c r="M12" s="3161"/>
    </row>
    <row r="13" spans="1:13" ht="16.5">
      <c r="A13" s="3168">
        <v>11</v>
      </c>
      <c r="B13" s="3169" t="s">
        <v>3444</v>
      </c>
      <c r="C13" s="3170" t="s">
        <v>3395</v>
      </c>
      <c r="D13" s="3171" t="s">
        <v>3468</v>
      </c>
      <c r="E13" s="3170" t="s">
        <v>3469</v>
      </c>
      <c r="F13" s="3169">
        <v>2</v>
      </c>
      <c r="G13" s="3169">
        <v>401</v>
      </c>
      <c r="H13" s="3172">
        <v>184.32</v>
      </c>
      <c r="I13" s="3173">
        <v>22238897.359999999</v>
      </c>
      <c r="J13" s="3174" t="s">
        <v>3447</v>
      </c>
      <c r="K13" s="3161"/>
      <c r="M13" s="3161"/>
    </row>
    <row r="14" spans="1:13" ht="16.5">
      <c r="A14" s="3168">
        <v>12</v>
      </c>
      <c r="B14" s="3169" t="s">
        <v>3444</v>
      </c>
      <c r="C14" s="3170" t="s">
        <v>3395</v>
      </c>
      <c r="D14" s="3171" t="s">
        <v>3470</v>
      </c>
      <c r="E14" s="3170" t="s">
        <v>3471</v>
      </c>
      <c r="F14" s="3169">
        <v>2</v>
      </c>
      <c r="G14" s="3169">
        <v>402</v>
      </c>
      <c r="H14" s="3172">
        <v>184.82</v>
      </c>
      <c r="I14" s="3173">
        <v>22299224.23</v>
      </c>
      <c r="J14" s="3174" t="s">
        <v>3447</v>
      </c>
      <c r="K14" s="3161"/>
      <c r="M14" s="3161"/>
    </row>
    <row r="15" spans="1:13" ht="16.5">
      <c r="A15" s="3168">
        <v>13</v>
      </c>
      <c r="B15" s="3169" t="s">
        <v>3472</v>
      </c>
      <c r="C15" s="3170" t="s">
        <v>3395</v>
      </c>
      <c r="D15" s="3171" t="s">
        <v>3473</v>
      </c>
      <c r="E15" s="3170" t="s">
        <v>3474</v>
      </c>
      <c r="F15" s="3169">
        <v>1</v>
      </c>
      <c r="G15" s="3169">
        <v>101</v>
      </c>
      <c r="H15" s="3172">
        <v>184.9</v>
      </c>
      <c r="I15" s="3173">
        <v>21493208.670000002</v>
      </c>
      <c r="J15" s="3174" t="s">
        <v>3447</v>
      </c>
      <c r="K15" s="3161"/>
      <c r="M15" s="3161"/>
    </row>
    <row r="16" spans="1:13" ht="16.5">
      <c r="A16" s="3168">
        <v>14</v>
      </c>
      <c r="B16" s="3169" t="s">
        <v>3472</v>
      </c>
      <c r="C16" s="3170" t="s">
        <v>3395</v>
      </c>
      <c r="D16" s="3172" t="s">
        <v>3475</v>
      </c>
      <c r="E16" s="3170" t="s">
        <v>3476</v>
      </c>
      <c r="F16" s="3169">
        <v>1</v>
      </c>
      <c r="G16" s="3169">
        <v>301</v>
      </c>
      <c r="H16" s="3172">
        <v>184.94</v>
      </c>
      <c r="I16" s="3173">
        <v>22977378.359999999</v>
      </c>
      <c r="J16" s="3174" t="s">
        <v>3447</v>
      </c>
      <c r="K16" s="3161"/>
      <c r="M16" s="3161"/>
    </row>
    <row r="17" spans="1:13" ht="16.5">
      <c r="A17" s="3168">
        <v>15</v>
      </c>
      <c r="B17" s="3169" t="s">
        <v>3472</v>
      </c>
      <c r="C17" s="3170" t="s">
        <v>3395</v>
      </c>
      <c r="D17" s="3171" t="s">
        <v>3477</v>
      </c>
      <c r="E17" s="3170" t="s">
        <v>3478</v>
      </c>
      <c r="F17" s="3169">
        <v>2</v>
      </c>
      <c r="G17" s="3169">
        <v>101</v>
      </c>
      <c r="H17" s="3172">
        <v>161.79</v>
      </c>
      <c r="I17" s="3173">
        <v>18806848.190000001</v>
      </c>
      <c r="J17" s="3174" t="s">
        <v>3447</v>
      </c>
      <c r="K17" s="3161"/>
      <c r="M17" s="3161"/>
    </row>
    <row r="18" spans="1:13" ht="16.5">
      <c r="A18" s="3168">
        <v>16</v>
      </c>
      <c r="B18" s="3169" t="s">
        <v>3472</v>
      </c>
      <c r="C18" s="3170" t="s">
        <v>3395</v>
      </c>
      <c r="D18" s="3171" t="s">
        <v>3479</v>
      </c>
      <c r="E18" s="3170" t="s">
        <v>3480</v>
      </c>
      <c r="F18" s="3169">
        <v>2</v>
      </c>
      <c r="G18" s="3169">
        <v>102</v>
      </c>
      <c r="H18" s="3172">
        <v>192.47</v>
      </c>
      <c r="I18" s="3173">
        <v>22977182.16</v>
      </c>
      <c r="J18" s="3174" t="s">
        <v>3447</v>
      </c>
      <c r="K18" s="3161"/>
      <c r="M18" s="3161"/>
    </row>
    <row r="19" spans="1:13" ht="16.5">
      <c r="A19" s="3168">
        <v>17</v>
      </c>
      <c r="B19" s="3169" t="s">
        <v>3481</v>
      </c>
      <c r="C19" s="3170" t="s">
        <v>3395</v>
      </c>
      <c r="D19" s="3171" t="s">
        <v>3482</v>
      </c>
      <c r="E19" s="3170" t="s">
        <v>3483</v>
      </c>
      <c r="F19" s="3169">
        <v>1</v>
      </c>
      <c r="G19" s="3169">
        <v>102</v>
      </c>
      <c r="H19" s="3172">
        <v>168.09</v>
      </c>
      <c r="I19" s="3173">
        <v>19719785.949999999</v>
      </c>
      <c r="J19" s="3174" t="s">
        <v>3447</v>
      </c>
      <c r="K19" s="3161"/>
      <c r="M19" s="3161"/>
    </row>
    <row r="20" spans="1:13" ht="16.5">
      <c r="A20" s="3168">
        <v>18</v>
      </c>
      <c r="B20" s="3169" t="s">
        <v>3481</v>
      </c>
      <c r="C20" s="3170" t="s">
        <v>3395</v>
      </c>
      <c r="D20" s="3171" t="s">
        <v>3484</v>
      </c>
      <c r="E20" s="3170" t="s">
        <v>3485</v>
      </c>
      <c r="F20" s="3169">
        <v>2</v>
      </c>
      <c r="G20" s="3169">
        <v>101</v>
      </c>
      <c r="H20" s="3172">
        <v>168.09</v>
      </c>
      <c r="I20" s="3173">
        <v>19719785.949999999</v>
      </c>
      <c r="J20" s="3174" t="s">
        <v>3458</v>
      </c>
      <c r="K20" s="3161"/>
      <c r="M20" s="3161"/>
    </row>
    <row r="21" spans="1:13" ht="16.5">
      <c r="A21" s="3168">
        <v>19</v>
      </c>
      <c r="B21" s="3169" t="s">
        <v>3481</v>
      </c>
      <c r="C21" s="3170" t="s">
        <v>3395</v>
      </c>
      <c r="D21" s="3172" t="s">
        <v>3486</v>
      </c>
      <c r="E21" s="3170" t="s">
        <v>3487</v>
      </c>
      <c r="F21" s="3169">
        <v>2</v>
      </c>
      <c r="G21" s="3169">
        <v>302</v>
      </c>
      <c r="H21" s="3172">
        <v>184.5</v>
      </c>
      <c r="I21" s="3173">
        <v>22751955.140000001</v>
      </c>
      <c r="J21" s="3174" t="s">
        <v>3463</v>
      </c>
      <c r="K21" s="3161"/>
      <c r="M21" s="3161"/>
    </row>
    <row r="22" spans="1:13" ht="16.5">
      <c r="A22" s="3168">
        <v>20</v>
      </c>
      <c r="B22" s="3169" t="s">
        <v>3481</v>
      </c>
      <c r="C22" s="3170" t="s">
        <v>3395</v>
      </c>
      <c r="D22" s="3172" t="s">
        <v>3488</v>
      </c>
      <c r="E22" s="3170" t="s">
        <v>3489</v>
      </c>
      <c r="F22" s="3169">
        <v>2</v>
      </c>
      <c r="G22" s="3169">
        <v>402</v>
      </c>
      <c r="H22" s="3172">
        <v>184.5</v>
      </c>
      <c r="I22" s="3173">
        <v>22567455.140000001</v>
      </c>
      <c r="J22" s="3174" t="s">
        <v>3463</v>
      </c>
      <c r="K22" s="3161"/>
      <c r="M22" s="3161"/>
    </row>
    <row r="23" spans="1:13" ht="16.5">
      <c r="A23" s="3168">
        <v>21</v>
      </c>
      <c r="B23" s="3169" t="s">
        <v>3481</v>
      </c>
      <c r="C23" s="3170" t="s">
        <v>3395</v>
      </c>
      <c r="D23" s="3171" t="s">
        <v>3490</v>
      </c>
      <c r="E23" s="3170" t="s">
        <v>3491</v>
      </c>
      <c r="F23" s="3169">
        <v>3</v>
      </c>
      <c r="G23" s="3169">
        <v>101</v>
      </c>
      <c r="H23" s="3172">
        <v>168.09</v>
      </c>
      <c r="I23" s="3173">
        <v>19639914.629999999</v>
      </c>
      <c r="J23" s="3174" t="s">
        <v>3447</v>
      </c>
      <c r="K23" s="3161"/>
      <c r="M23" s="3161"/>
    </row>
    <row r="24" spans="1:13" ht="16.5">
      <c r="A24" s="3168">
        <v>22</v>
      </c>
      <c r="B24" s="3169" t="s">
        <v>3481</v>
      </c>
      <c r="C24" s="3170" t="s">
        <v>3395</v>
      </c>
      <c r="D24" s="3172" t="s">
        <v>3492</v>
      </c>
      <c r="E24" s="3170" t="s">
        <v>3493</v>
      </c>
      <c r="F24" s="3169">
        <v>3</v>
      </c>
      <c r="G24" s="3169">
        <v>302</v>
      </c>
      <c r="H24" s="3172">
        <v>185</v>
      </c>
      <c r="I24" s="3173">
        <v>22725707.100000001</v>
      </c>
      <c r="J24" s="3174" t="s">
        <v>3463</v>
      </c>
      <c r="K24" s="3161"/>
      <c r="M24" s="3161"/>
    </row>
    <row r="25" spans="1:13" ht="16.5">
      <c r="A25" s="3168">
        <v>23</v>
      </c>
      <c r="B25" s="3169" t="s">
        <v>3494</v>
      </c>
      <c r="C25" s="3170" t="s">
        <v>3395</v>
      </c>
      <c r="D25" s="3171" t="s">
        <v>3495</v>
      </c>
      <c r="E25" s="3170" t="s">
        <v>3496</v>
      </c>
      <c r="F25" s="3169">
        <v>1</v>
      </c>
      <c r="G25" s="3169">
        <v>102</v>
      </c>
      <c r="H25" s="3172">
        <v>210.98</v>
      </c>
      <c r="I25" s="3173">
        <v>24450752.800000001</v>
      </c>
      <c r="J25" s="3174" t="s">
        <v>3447</v>
      </c>
      <c r="K25" s="3161"/>
      <c r="M25" s="3161"/>
    </row>
    <row r="26" spans="1:13" ht="16.5">
      <c r="A26" s="3168">
        <v>24</v>
      </c>
      <c r="B26" s="3169" t="s">
        <v>3494</v>
      </c>
      <c r="C26" s="3170" t="s">
        <v>3395</v>
      </c>
      <c r="D26" s="3172" t="s">
        <v>3497</v>
      </c>
      <c r="E26" s="3170" t="s">
        <v>3498</v>
      </c>
      <c r="F26" s="3169">
        <v>1</v>
      </c>
      <c r="G26" s="3169">
        <v>202</v>
      </c>
      <c r="H26" s="3172">
        <v>221.84</v>
      </c>
      <c r="I26" s="3173">
        <v>25931172.649999999</v>
      </c>
      <c r="J26" s="3174" t="s">
        <v>3447</v>
      </c>
      <c r="K26" s="3161"/>
      <c r="M26" s="3161"/>
    </row>
    <row r="27" spans="1:13" ht="16.5">
      <c r="A27" s="3168">
        <v>25</v>
      </c>
      <c r="B27" s="3169" t="s">
        <v>3494</v>
      </c>
      <c r="C27" s="3170" t="s">
        <v>3395</v>
      </c>
      <c r="D27" s="3171" t="s">
        <v>3499</v>
      </c>
      <c r="E27" s="3170" t="s">
        <v>3500</v>
      </c>
      <c r="F27" s="3169">
        <v>1</v>
      </c>
      <c r="G27" s="3169">
        <v>301</v>
      </c>
      <c r="H27" s="3172">
        <v>230.89</v>
      </c>
      <c r="I27" s="3173">
        <v>29165292.879999999</v>
      </c>
      <c r="J27" s="3174" t="s">
        <v>3463</v>
      </c>
      <c r="K27" s="3161"/>
      <c r="M27" s="3161"/>
    </row>
    <row r="28" spans="1:13" ht="16.5">
      <c r="A28" s="3168">
        <v>26</v>
      </c>
      <c r="B28" s="3169" t="s">
        <v>3494</v>
      </c>
      <c r="C28" s="3170" t="s">
        <v>3395</v>
      </c>
      <c r="D28" s="3172" t="s">
        <v>3501</v>
      </c>
      <c r="E28" s="3170" t="s">
        <v>3502</v>
      </c>
      <c r="F28" s="3169">
        <v>1</v>
      </c>
      <c r="G28" s="3169">
        <v>302</v>
      </c>
      <c r="H28" s="3172">
        <v>221.84</v>
      </c>
      <c r="I28" s="3173">
        <v>27040372.649999999</v>
      </c>
      <c r="J28" s="3174" t="s">
        <v>3447</v>
      </c>
      <c r="K28" s="3161"/>
      <c r="M28" s="3161"/>
    </row>
    <row r="29" spans="1:13" ht="16.5">
      <c r="A29" s="3168">
        <v>27</v>
      </c>
      <c r="B29" s="3169" t="s">
        <v>3494</v>
      </c>
      <c r="C29" s="3170" t="s">
        <v>3395</v>
      </c>
      <c r="D29" s="3171" t="s">
        <v>3503</v>
      </c>
      <c r="E29" s="3170" t="s">
        <v>3504</v>
      </c>
      <c r="F29" s="3169">
        <v>2</v>
      </c>
      <c r="G29" s="3169">
        <v>101</v>
      </c>
      <c r="H29" s="3172">
        <v>210.98</v>
      </c>
      <c r="I29" s="3173">
        <v>24450752.800000001</v>
      </c>
      <c r="J29" s="3174" t="s">
        <v>3447</v>
      </c>
      <c r="K29" s="3161"/>
      <c r="M29" s="3161"/>
    </row>
    <row r="30" spans="1:13" ht="16.5">
      <c r="A30" s="3168">
        <v>28</v>
      </c>
      <c r="B30" s="3169" t="s">
        <v>3494</v>
      </c>
      <c r="C30" s="3170" t="s">
        <v>3395</v>
      </c>
      <c r="D30" s="3171" t="s">
        <v>3505</v>
      </c>
      <c r="E30" s="3170" t="s">
        <v>3506</v>
      </c>
      <c r="F30" s="3169">
        <v>2</v>
      </c>
      <c r="G30" s="3169">
        <v>102</v>
      </c>
      <c r="H30" s="3172">
        <v>210.98</v>
      </c>
      <c r="I30" s="3173">
        <v>24450752.800000001</v>
      </c>
      <c r="J30" s="3174" t="s">
        <v>3447</v>
      </c>
      <c r="K30" s="3161"/>
      <c r="M30" s="3161"/>
    </row>
    <row r="31" spans="1:13" ht="16.5">
      <c r="A31" s="3168">
        <v>29</v>
      </c>
      <c r="B31" s="3169" t="s">
        <v>3494</v>
      </c>
      <c r="C31" s="3170" t="s">
        <v>3395</v>
      </c>
      <c r="D31" s="3172" t="s">
        <v>3507</v>
      </c>
      <c r="E31" s="3170" t="s">
        <v>3508</v>
      </c>
      <c r="F31" s="3169">
        <v>2</v>
      </c>
      <c r="G31" s="3169">
        <v>201</v>
      </c>
      <c r="H31" s="3172">
        <v>221.84</v>
      </c>
      <c r="I31" s="3173">
        <v>25931172.649999999</v>
      </c>
      <c r="J31" s="3174" t="s">
        <v>3447</v>
      </c>
      <c r="K31" s="3161"/>
      <c r="M31" s="3161"/>
    </row>
    <row r="32" spans="1:13" ht="16.5">
      <c r="A32" s="3168">
        <v>30</v>
      </c>
      <c r="B32" s="3169" t="s">
        <v>3494</v>
      </c>
      <c r="C32" s="3170" t="s">
        <v>3395</v>
      </c>
      <c r="D32" s="3172" t="s">
        <v>3509</v>
      </c>
      <c r="E32" s="3170" t="s">
        <v>3510</v>
      </c>
      <c r="F32" s="3169">
        <v>2</v>
      </c>
      <c r="G32" s="3169">
        <v>202</v>
      </c>
      <c r="H32" s="3172">
        <v>221.84</v>
      </c>
      <c r="I32" s="3173">
        <v>25931172.649999999</v>
      </c>
      <c r="J32" s="3174" t="s">
        <v>3447</v>
      </c>
      <c r="K32" s="3161"/>
      <c r="M32" s="3161"/>
    </row>
    <row r="33" spans="1:13" ht="16.5">
      <c r="A33" s="3168">
        <v>31</v>
      </c>
      <c r="B33" s="3169" t="s">
        <v>3494</v>
      </c>
      <c r="C33" s="3170" t="s">
        <v>3395</v>
      </c>
      <c r="D33" s="3171" t="s">
        <v>3511</v>
      </c>
      <c r="E33" s="3170" t="s">
        <v>3512</v>
      </c>
      <c r="F33" s="3169">
        <v>2</v>
      </c>
      <c r="G33" s="3169">
        <v>301</v>
      </c>
      <c r="H33" s="3172">
        <v>221.84</v>
      </c>
      <c r="I33" s="3173">
        <v>27040372.649999999</v>
      </c>
      <c r="J33" s="3174" t="s">
        <v>3447</v>
      </c>
      <c r="K33" s="3161"/>
      <c r="M33" s="3161"/>
    </row>
    <row r="34" spans="1:13" ht="16.5">
      <c r="A34" s="3168">
        <v>32</v>
      </c>
      <c r="B34" s="3169" t="s">
        <v>3494</v>
      </c>
      <c r="C34" s="3170" t="s">
        <v>3395</v>
      </c>
      <c r="D34" s="3172" t="s">
        <v>3513</v>
      </c>
      <c r="E34" s="3170" t="s">
        <v>3514</v>
      </c>
      <c r="F34" s="3169">
        <v>2</v>
      </c>
      <c r="G34" s="3169">
        <v>302</v>
      </c>
      <c r="H34" s="3172">
        <v>221.84</v>
      </c>
      <c r="I34" s="3173">
        <v>27040372.649999999</v>
      </c>
      <c r="J34" s="3174" t="s">
        <v>3447</v>
      </c>
      <c r="K34" s="3161"/>
      <c r="M34" s="3161"/>
    </row>
    <row r="35" spans="1:13" ht="16.5">
      <c r="A35" s="3168">
        <v>33</v>
      </c>
      <c r="B35" s="3169" t="s">
        <v>3494</v>
      </c>
      <c r="C35" s="3170" t="s">
        <v>3395</v>
      </c>
      <c r="D35" s="3172" t="s">
        <v>3515</v>
      </c>
      <c r="E35" s="3170" t="s">
        <v>3516</v>
      </c>
      <c r="F35" s="3169">
        <v>2</v>
      </c>
      <c r="G35" s="3169">
        <v>401</v>
      </c>
      <c r="H35" s="3172">
        <v>221.84</v>
      </c>
      <c r="I35" s="3173">
        <v>26818532.649999999</v>
      </c>
      <c r="J35" s="3174" t="s">
        <v>3447</v>
      </c>
      <c r="K35" s="3161"/>
      <c r="M35" s="3161"/>
    </row>
    <row r="36" spans="1:13" ht="16.5">
      <c r="A36" s="3168">
        <v>34</v>
      </c>
      <c r="B36" s="3169" t="s">
        <v>3494</v>
      </c>
      <c r="C36" s="3170" t="s">
        <v>3395</v>
      </c>
      <c r="D36" s="3172" t="s">
        <v>3517</v>
      </c>
      <c r="E36" s="3170" t="s">
        <v>3518</v>
      </c>
      <c r="F36" s="3169">
        <v>2</v>
      </c>
      <c r="G36" s="3169">
        <v>402</v>
      </c>
      <c r="H36" s="3172">
        <v>221.84</v>
      </c>
      <c r="I36" s="3173">
        <v>26818532.649999999</v>
      </c>
      <c r="J36" s="3174" t="s">
        <v>3458</v>
      </c>
      <c r="K36" s="3161"/>
      <c r="M36" s="3161"/>
    </row>
    <row r="37" spans="1:13" ht="16.5">
      <c r="A37" s="3168">
        <v>35</v>
      </c>
      <c r="B37" s="3169" t="s">
        <v>3494</v>
      </c>
      <c r="C37" s="3170" t="s">
        <v>3395</v>
      </c>
      <c r="D37" s="3171" t="s">
        <v>3519</v>
      </c>
      <c r="E37" s="3170" t="s">
        <v>3520</v>
      </c>
      <c r="F37" s="3169">
        <v>3</v>
      </c>
      <c r="G37" s="3169">
        <v>101</v>
      </c>
      <c r="H37" s="3172">
        <v>210.98</v>
      </c>
      <c r="I37" s="3173">
        <v>24350501.440000001</v>
      </c>
      <c r="J37" s="3174" t="s">
        <v>3447</v>
      </c>
      <c r="K37" s="3161"/>
      <c r="M37" s="3161"/>
    </row>
    <row r="38" spans="1:13" ht="16.5">
      <c r="A38" s="3168">
        <v>36</v>
      </c>
      <c r="B38" s="3169" t="s">
        <v>3494</v>
      </c>
      <c r="C38" s="3170" t="s">
        <v>3395</v>
      </c>
      <c r="D38" s="3171" t="s">
        <v>3521</v>
      </c>
      <c r="E38" s="3170" t="s">
        <v>3522</v>
      </c>
      <c r="F38" s="3169">
        <v>3</v>
      </c>
      <c r="G38" s="3169">
        <v>102</v>
      </c>
      <c r="H38" s="3172">
        <v>212.29</v>
      </c>
      <c r="I38" s="3173">
        <v>24501696.609999999</v>
      </c>
      <c r="J38" s="3174" t="s">
        <v>3447</v>
      </c>
      <c r="K38" s="3161"/>
      <c r="M38" s="3161"/>
    </row>
    <row r="39" spans="1:13" ht="16.5">
      <c r="A39" s="3168">
        <v>37</v>
      </c>
      <c r="B39" s="3169" t="s">
        <v>3494</v>
      </c>
      <c r="C39" s="3170" t="s">
        <v>3395</v>
      </c>
      <c r="D39" s="3172" t="s">
        <v>3523</v>
      </c>
      <c r="E39" s="3170" t="s">
        <v>3524</v>
      </c>
      <c r="F39" s="3169">
        <v>3</v>
      </c>
      <c r="G39" s="3169">
        <v>201</v>
      </c>
      <c r="H39" s="3172">
        <v>221.84</v>
      </c>
      <c r="I39" s="3173">
        <v>25825760.93</v>
      </c>
      <c r="J39" s="3174" t="s">
        <v>3447</v>
      </c>
      <c r="K39" s="3161"/>
      <c r="M39" s="3161"/>
    </row>
    <row r="40" spans="1:13" ht="16.5">
      <c r="A40" s="3168">
        <v>38</v>
      </c>
      <c r="B40" s="3169" t="s">
        <v>3494</v>
      </c>
      <c r="C40" s="3170" t="s">
        <v>3395</v>
      </c>
      <c r="D40" s="3172" t="s">
        <v>3525</v>
      </c>
      <c r="E40" s="3170" t="s">
        <v>3526</v>
      </c>
      <c r="F40" s="3169">
        <v>3</v>
      </c>
      <c r="G40" s="3169">
        <v>202</v>
      </c>
      <c r="H40" s="3172">
        <v>223.15</v>
      </c>
      <c r="I40" s="3173">
        <v>25978266.100000001</v>
      </c>
      <c r="J40" s="3174" t="s">
        <v>3447</v>
      </c>
      <c r="K40" s="3161"/>
      <c r="M40" s="3161"/>
    </row>
    <row r="41" spans="1:13" ht="16.5">
      <c r="A41" s="3168">
        <v>39</v>
      </c>
      <c r="B41" s="3169" t="s">
        <v>3494</v>
      </c>
      <c r="C41" s="3170" t="s">
        <v>3395</v>
      </c>
      <c r="D41" s="3171" t="s">
        <v>3527</v>
      </c>
      <c r="E41" s="3170" t="s">
        <v>3528</v>
      </c>
      <c r="F41" s="3169">
        <v>3</v>
      </c>
      <c r="G41" s="3169">
        <v>301</v>
      </c>
      <c r="H41" s="3172">
        <v>221.84</v>
      </c>
      <c r="I41" s="3173">
        <v>26934960.93</v>
      </c>
      <c r="J41" s="3174" t="s">
        <v>3447</v>
      </c>
      <c r="K41" s="3161"/>
      <c r="M41" s="3161"/>
    </row>
    <row r="42" spans="1:13" ht="16.5">
      <c r="A42" s="3168">
        <v>40</v>
      </c>
      <c r="B42" s="3169" t="s">
        <v>3494</v>
      </c>
      <c r="C42" s="3170" t="s">
        <v>3395</v>
      </c>
      <c r="D42" s="3172" t="s">
        <v>3529</v>
      </c>
      <c r="E42" s="3170" t="s">
        <v>3530</v>
      </c>
      <c r="F42" s="3169">
        <v>3</v>
      </c>
      <c r="G42" s="3169">
        <v>302</v>
      </c>
      <c r="H42" s="3172">
        <v>223.15</v>
      </c>
      <c r="I42" s="3173">
        <v>27094016.100000001</v>
      </c>
      <c r="J42" s="3174" t="s">
        <v>3447</v>
      </c>
      <c r="K42" s="3161"/>
      <c r="M42" s="3161"/>
    </row>
    <row r="43" spans="1:13" ht="16.5">
      <c r="A43" s="3168">
        <v>41</v>
      </c>
      <c r="B43" s="3169" t="s">
        <v>3494</v>
      </c>
      <c r="C43" s="3170" t="s">
        <v>3395</v>
      </c>
      <c r="D43" s="3172" t="s">
        <v>3531</v>
      </c>
      <c r="E43" s="3170" t="s">
        <v>3532</v>
      </c>
      <c r="F43" s="3169">
        <v>3</v>
      </c>
      <c r="G43" s="3169">
        <v>401</v>
      </c>
      <c r="H43" s="3172">
        <v>221.84</v>
      </c>
      <c r="I43" s="3173">
        <v>26713120.93</v>
      </c>
      <c r="J43" s="3174" t="s">
        <v>3463</v>
      </c>
      <c r="K43" s="3161"/>
      <c r="M43" s="3161"/>
    </row>
    <row r="44" spans="1:13" ht="16.5">
      <c r="A44" s="3168">
        <v>42</v>
      </c>
      <c r="B44" s="3169" t="s">
        <v>3494</v>
      </c>
      <c r="C44" s="3170" t="s">
        <v>3395</v>
      </c>
      <c r="D44" s="3172" t="s">
        <v>3533</v>
      </c>
      <c r="E44" s="3170" t="s">
        <v>3534</v>
      </c>
      <c r="F44" s="3169">
        <v>3</v>
      </c>
      <c r="G44" s="3169">
        <v>402</v>
      </c>
      <c r="H44" s="3172">
        <v>223.15</v>
      </c>
      <c r="I44" s="3173">
        <v>26870866.100000001</v>
      </c>
      <c r="J44" s="3174" t="s">
        <v>3447</v>
      </c>
      <c r="K44" s="3161"/>
      <c r="M44" s="3161"/>
    </row>
    <row r="45" spans="1:13" ht="16.5">
      <c r="A45" s="3168">
        <v>43</v>
      </c>
      <c r="B45" s="3169" t="s">
        <v>3535</v>
      </c>
      <c r="C45" s="3170" t="s">
        <v>3395</v>
      </c>
      <c r="D45" s="3171" t="s">
        <v>3536</v>
      </c>
      <c r="E45" s="3170" t="s">
        <v>3537</v>
      </c>
      <c r="F45" s="3169">
        <v>1</v>
      </c>
      <c r="G45" s="3169">
        <v>101</v>
      </c>
      <c r="H45" s="3172">
        <v>272.99</v>
      </c>
      <c r="I45" s="3173">
        <v>33091165.329999998</v>
      </c>
      <c r="J45" s="3174" t="s">
        <v>3447</v>
      </c>
      <c r="K45" s="3161"/>
      <c r="M45" s="3161"/>
    </row>
    <row r="46" spans="1:13" ht="16.5">
      <c r="A46" s="3168">
        <v>44</v>
      </c>
      <c r="B46" s="3169" t="s">
        <v>3535</v>
      </c>
      <c r="C46" s="3170" t="s">
        <v>3395</v>
      </c>
      <c r="D46" s="3171" t="s">
        <v>3538</v>
      </c>
      <c r="E46" s="3170" t="s">
        <v>3539</v>
      </c>
      <c r="F46" s="3169">
        <v>1</v>
      </c>
      <c r="G46" s="3169">
        <v>102</v>
      </c>
      <c r="H46" s="3172">
        <v>271.81</v>
      </c>
      <c r="I46" s="3173">
        <v>32017043.52</v>
      </c>
      <c r="J46" s="3174" t="s">
        <v>3447</v>
      </c>
      <c r="K46" s="3161"/>
      <c r="M46" s="3161"/>
    </row>
    <row r="47" spans="1:13" ht="16.5">
      <c r="A47" s="3168">
        <v>45</v>
      </c>
      <c r="B47" s="3169" t="s">
        <v>3535</v>
      </c>
      <c r="C47" s="3170" t="s">
        <v>3395</v>
      </c>
      <c r="D47" s="3172" t="s">
        <v>3540</v>
      </c>
      <c r="E47" s="3170" t="s">
        <v>3541</v>
      </c>
      <c r="F47" s="3169">
        <v>1</v>
      </c>
      <c r="G47" s="3169">
        <v>201</v>
      </c>
      <c r="H47" s="3172">
        <v>273.05</v>
      </c>
      <c r="I47" s="3173">
        <v>33371488.379999999</v>
      </c>
      <c r="J47" s="3174" t="s">
        <v>3447</v>
      </c>
      <c r="K47" s="3161"/>
      <c r="M47" s="3161"/>
    </row>
    <row r="48" spans="1:13" ht="16.5">
      <c r="A48" s="3168">
        <v>46</v>
      </c>
      <c r="B48" s="3169" t="s">
        <v>3535</v>
      </c>
      <c r="C48" s="3170" t="s">
        <v>3395</v>
      </c>
      <c r="D48" s="3172" t="s">
        <v>3542</v>
      </c>
      <c r="E48" s="3170" t="s">
        <v>3543</v>
      </c>
      <c r="F48" s="3169">
        <v>1</v>
      </c>
      <c r="G48" s="3169">
        <v>202</v>
      </c>
      <c r="H48" s="3172">
        <v>271.88</v>
      </c>
      <c r="I48" s="3173">
        <v>32297168.960000001</v>
      </c>
      <c r="J48" s="3174" t="s">
        <v>3447</v>
      </c>
      <c r="K48" s="3161"/>
      <c r="M48" s="3161"/>
    </row>
    <row r="49" spans="1:13" ht="16.5">
      <c r="A49" s="3168">
        <v>47</v>
      </c>
      <c r="B49" s="3169" t="s">
        <v>3535</v>
      </c>
      <c r="C49" s="3170" t="s">
        <v>3395</v>
      </c>
      <c r="D49" s="3171" t="s">
        <v>3544</v>
      </c>
      <c r="E49" s="3170" t="s">
        <v>3545</v>
      </c>
      <c r="F49" s="3169">
        <v>1</v>
      </c>
      <c r="G49" s="3169">
        <v>301</v>
      </c>
      <c r="H49" s="3172">
        <v>273.05</v>
      </c>
      <c r="I49" s="3173">
        <v>34736738.380000003</v>
      </c>
      <c r="J49" s="3174" t="s">
        <v>3447</v>
      </c>
      <c r="K49" s="3161"/>
      <c r="M49" s="3161"/>
    </row>
    <row r="50" spans="1:13" ht="16.5">
      <c r="A50" s="3168">
        <v>48</v>
      </c>
      <c r="B50" s="3169" t="s">
        <v>3535</v>
      </c>
      <c r="C50" s="3170" t="s">
        <v>3395</v>
      </c>
      <c r="D50" s="3172" t="s">
        <v>3546</v>
      </c>
      <c r="E50" s="3170" t="s">
        <v>3547</v>
      </c>
      <c r="F50" s="3169">
        <v>1</v>
      </c>
      <c r="G50" s="3169">
        <v>302</v>
      </c>
      <c r="H50" s="3172">
        <v>271.88</v>
      </c>
      <c r="I50" s="3173">
        <v>33656568.960000001</v>
      </c>
      <c r="J50" s="3174" t="s">
        <v>3447</v>
      </c>
      <c r="K50" s="3161"/>
      <c r="M50" s="3161"/>
    </row>
    <row r="51" spans="1:13" ht="16.5">
      <c r="A51" s="3168">
        <v>49</v>
      </c>
      <c r="B51" s="3169" t="s">
        <v>3535</v>
      </c>
      <c r="C51" s="3170" t="s">
        <v>3395</v>
      </c>
      <c r="D51" s="3172" t="s">
        <v>3548</v>
      </c>
      <c r="E51" s="3170" t="s">
        <v>3549</v>
      </c>
      <c r="F51" s="3169">
        <v>1</v>
      </c>
      <c r="G51" s="3169">
        <v>402</v>
      </c>
      <c r="H51" s="3172">
        <v>271.88</v>
      </c>
      <c r="I51" s="3173">
        <v>33384688.960000001</v>
      </c>
      <c r="J51" s="3174" t="s">
        <v>3447</v>
      </c>
      <c r="K51" s="3161"/>
      <c r="M51" s="3161"/>
    </row>
    <row r="52" spans="1:13" ht="16.5">
      <c r="A52" s="3168">
        <v>50</v>
      </c>
      <c r="B52" s="3169" t="s">
        <v>3535</v>
      </c>
      <c r="C52" s="3170" t="s">
        <v>3395</v>
      </c>
      <c r="D52" s="3171" t="s">
        <v>3550</v>
      </c>
      <c r="E52" s="3170" t="s">
        <v>3551</v>
      </c>
      <c r="F52" s="3169">
        <v>2</v>
      </c>
      <c r="G52" s="3169">
        <v>101</v>
      </c>
      <c r="H52" s="3172">
        <v>271.81</v>
      </c>
      <c r="I52" s="3173">
        <v>32017043.52</v>
      </c>
      <c r="J52" s="3174" t="s">
        <v>3447</v>
      </c>
      <c r="K52" s="3161"/>
      <c r="M52" s="3161"/>
    </row>
    <row r="53" spans="1:13" ht="16.5">
      <c r="A53" s="3168">
        <v>51</v>
      </c>
      <c r="B53" s="3169" t="s">
        <v>3535</v>
      </c>
      <c r="C53" s="3170" t="s">
        <v>3395</v>
      </c>
      <c r="D53" s="3171" t="s">
        <v>3552</v>
      </c>
      <c r="E53" s="3170" t="s">
        <v>3553</v>
      </c>
      <c r="F53" s="3169">
        <v>2</v>
      </c>
      <c r="G53" s="3169">
        <v>102</v>
      </c>
      <c r="H53" s="3172">
        <v>272.99</v>
      </c>
      <c r="I53" s="3173">
        <v>33558731.68</v>
      </c>
      <c r="J53" s="3174" t="s">
        <v>3447</v>
      </c>
      <c r="K53" s="3161"/>
      <c r="M53" s="3161"/>
    </row>
    <row r="54" spans="1:13" ht="16.5">
      <c r="A54" s="3168">
        <v>52</v>
      </c>
      <c r="B54" s="3169" t="s">
        <v>3535</v>
      </c>
      <c r="C54" s="3170" t="s">
        <v>3395</v>
      </c>
      <c r="D54" s="3172" t="s">
        <v>3554</v>
      </c>
      <c r="E54" s="3170" t="s">
        <v>3555</v>
      </c>
      <c r="F54" s="3169">
        <v>2</v>
      </c>
      <c r="G54" s="3169">
        <v>201</v>
      </c>
      <c r="H54" s="3172">
        <v>271.88</v>
      </c>
      <c r="I54" s="3173">
        <v>32297168.960000001</v>
      </c>
      <c r="J54" s="3174" t="s">
        <v>3447</v>
      </c>
      <c r="K54" s="3161"/>
      <c r="M54" s="3161"/>
    </row>
    <row r="55" spans="1:13" ht="16.5">
      <c r="A55" s="3168">
        <v>53</v>
      </c>
      <c r="B55" s="3169" t="s">
        <v>3535</v>
      </c>
      <c r="C55" s="3170" t="s">
        <v>3395</v>
      </c>
      <c r="D55" s="3171" t="s">
        <v>3556</v>
      </c>
      <c r="E55" s="3170" t="s">
        <v>3557</v>
      </c>
      <c r="F55" s="3169">
        <v>2</v>
      </c>
      <c r="G55" s="3169">
        <v>301</v>
      </c>
      <c r="H55" s="3172">
        <v>271.88</v>
      </c>
      <c r="I55" s="3173">
        <v>33656568.960000001</v>
      </c>
      <c r="J55" s="3174" t="s">
        <v>3447</v>
      </c>
      <c r="K55" s="3161"/>
      <c r="M55" s="3161"/>
    </row>
    <row r="56" spans="1:13" ht="16.5">
      <c r="A56" s="3168">
        <v>54</v>
      </c>
      <c r="B56" s="3169" t="s">
        <v>3535</v>
      </c>
      <c r="C56" s="3170" t="s">
        <v>3395</v>
      </c>
      <c r="D56" s="3172" t="s">
        <v>3558</v>
      </c>
      <c r="E56" s="3170" t="s">
        <v>3559</v>
      </c>
      <c r="F56" s="3169">
        <v>2</v>
      </c>
      <c r="G56" s="3169">
        <v>401</v>
      </c>
      <c r="H56" s="3172">
        <v>271.88</v>
      </c>
      <c r="I56" s="3173">
        <v>33384688.960000001</v>
      </c>
      <c r="J56" s="3174" t="s">
        <v>3447</v>
      </c>
      <c r="K56" s="3161"/>
      <c r="M56" s="3161"/>
    </row>
    <row r="57" spans="1:13" ht="16.5">
      <c r="A57" s="3168">
        <v>55</v>
      </c>
      <c r="B57" s="3169" t="s">
        <v>3560</v>
      </c>
      <c r="C57" s="3170" t="s">
        <v>3395</v>
      </c>
      <c r="D57" s="3172" t="s">
        <v>3561</v>
      </c>
      <c r="E57" s="3170" t="s">
        <v>3562</v>
      </c>
      <c r="F57" s="3169">
        <v>1</v>
      </c>
      <c r="G57" s="3169">
        <v>202</v>
      </c>
      <c r="H57" s="3172">
        <v>230.81</v>
      </c>
      <c r="I57" s="3173">
        <v>27089361.870000001</v>
      </c>
      <c r="J57" s="3174" t="s">
        <v>3447</v>
      </c>
      <c r="K57" s="3161"/>
      <c r="M57" s="3161"/>
    </row>
    <row r="58" spans="1:13" ht="16.5">
      <c r="A58" s="3168">
        <v>56</v>
      </c>
      <c r="B58" s="3169" t="s">
        <v>3560</v>
      </c>
      <c r="C58" s="3170" t="s">
        <v>3395</v>
      </c>
      <c r="D58" s="3171" t="s">
        <v>3563</v>
      </c>
      <c r="E58" s="3170" t="s">
        <v>3564</v>
      </c>
      <c r="F58" s="3169">
        <v>1</v>
      </c>
      <c r="G58" s="3169">
        <v>301</v>
      </c>
      <c r="H58" s="3172">
        <v>230.81</v>
      </c>
      <c r="I58" s="3173">
        <v>29034051.52</v>
      </c>
      <c r="J58" s="3174" t="s">
        <v>3458</v>
      </c>
      <c r="K58" s="3161"/>
      <c r="M58" s="3161"/>
    </row>
    <row r="59" spans="1:13" ht="16.5">
      <c r="A59" s="3168">
        <v>57</v>
      </c>
      <c r="B59" s="3169" t="s">
        <v>3560</v>
      </c>
      <c r="C59" s="3170" t="s">
        <v>3395</v>
      </c>
      <c r="D59" s="3172" t="s">
        <v>3565</v>
      </c>
      <c r="E59" s="3170" t="s">
        <v>3566</v>
      </c>
      <c r="F59" s="3169">
        <v>1</v>
      </c>
      <c r="G59" s="3169">
        <v>302</v>
      </c>
      <c r="H59" s="3172">
        <v>230.81</v>
      </c>
      <c r="I59" s="3173">
        <v>28243411.870000001</v>
      </c>
      <c r="J59" s="3174" t="s">
        <v>3447</v>
      </c>
      <c r="K59" s="3161"/>
      <c r="M59" s="3161"/>
    </row>
    <row r="60" spans="1:13" ht="16.5">
      <c r="A60" s="3168">
        <v>58</v>
      </c>
      <c r="B60" s="3169" t="s">
        <v>3567</v>
      </c>
      <c r="C60" s="3170" t="s">
        <v>3395</v>
      </c>
      <c r="D60" s="3172" t="s">
        <v>3568</v>
      </c>
      <c r="E60" s="3170" t="s">
        <v>3569</v>
      </c>
      <c r="F60" s="3169">
        <v>1</v>
      </c>
      <c r="G60" s="3169">
        <v>102</v>
      </c>
      <c r="H60" s="3172">
        <v>272.83</v>
      </c>
      <c r="I60" s="3173">
        <v>32266831.989999998</v>
      </c>
      <c r="J60" s="3174" t="s">
        <v>3447</v>
      </c>
      <c r="K60" s="3161"/>
      <c r="M60" s="3161"/>
    </row>
    <row r="61" spans="1:13" ht="16.5">
      <c r="A61" s="3168">
        <v>59</v>
      </c>
      <c r="B61" s="3169" t="s">
        <v>3567</v>
      </c>
      <c r="C61" s="3170" t="s">
        <v>3395</v>
      </c>
      <c r="D61" s="3172" t="s">
        <v>3570</v>
      </c>
      <c r="E61" s="3170" t="s">
        <v>3571</v>
      </c>
      <c r="F61" s="3169">
        <v>1</v>
      </c>
      <c r="G61" s="3169">
        <v>402</v>
      </c>
      <c r="H61" s="3172">
        <v>272.89</v>
      </c>
      <c r="I61" s="3173">
        <v>33638378.020000003</v>
      </c>
      <c r="J61" s="3174" t="s">
        <v>3463</v>
      </c>
      <c r="K61" s="3161"/>
      <c r="M61" s="3161"/>
    </row>
    <row r="62" spans="1:13" ht="16.5">
      <c r="A62" s="3168">
        <v>60</v>
      </c>
      <c r="B62" s="3169" t="s">
        <v>3572</v>
      </c>
      <c r="C62" s="3170" t="s">
        <v>3395</v>
      </c>
      <c r="D62" s="3171" t="s">
        <v>3573</v>
      </c>
      <c r="E62" s="3170" t="s">
        <v>3574</v>
      </c>
      <c r="F62" s="3169">
        <v>1</v>
      </c>
      <c r="G62" s="3169">
        <v>101</v>
      </c>
      <c r="H62" s="3172">
        <v>272.91000000000003</v>
      </c>
      <c r="I62" s="3173">
        <v>32535647.93</v>
      </c>
      <c r="J62" s="3174" t="s">
        <v>3447</v>
      </c>
      <c r="K62" s="3161"/>
      <c r="M62" s="3161"/>
    </row>
    <row r="63" spans="1:13" ht="16.5">
      <c r="A63" s="3168">
        <v>61</v>
      </c>
      <c r="B63" s="3169" t="s">
        <v>3572</v>
      </c>
      <c r="C63" s="3170" t="s">
        <v>3395</v>
      </c>
      <c r="D63" s="3171" t="s">
        <v>3575</v>
      </c>
      <c r="E63" s="3170" t="s">
        <v>3576</v>
      </c>
      <c r="F63" s="3169">
        <v>1</v>
      </c>
      <c r="G63" s="3169">
        <v>102</v>
      </c>
      <c r="H63" s="3172">
        <v>271.69</v>
      </c>
      <c r="I63" s="3173">
        <v>32390205.289999999</v>
      </c>
      <c r="J63" s="3174" t="s">
        <v>3447</v>
      </c>
      <c r="K63" s="3161"/>
      <c r="M63" s="3161"/>
    </row>
    <row r="64" spans="1:13" ht="16.5">
      <c r="A64" s="3168">
        <v>62</v>
      </c>
      <c r="B64" s="3169" t="s">
        <v>3572</v>
      </c>
      <c r="C64" s="3170" t="s">
        <v>3395</v>
      </c>
      <c r="D64" s="3171" t="s">
        <v>3577</v>
      </c>
      <c r="E64" s="3170" t="s">
        <v>3578</v>
      </c>
      <c r="F64" s="3169">
        <v>1</v>
      </c>
      <c r="G64" s="3169">
        <v>201</v>
      </c>
      <c r="H64" s="3172">
        <v>272.97000000000003</v>
      </c>
      <c r="I64" s="3173">
        <v>32815770.98</v>
      </c>
      <c r="J64" s="3174" t="s">
        <v>3447</v>
      </c>
      <c r="K64" s="3161"/>
      <c r="M64" s="3161"/>
    </row>
    <row r="65" spans="1:13" ht="16.5">
      <c r="A65" s="3168">
        <v>63</v>
      </c>
      <c r="B65" s="3169" t="s">
        <v>3572</v>
      </c>
      <c r="C65" s="3170" t="s">
        <v>3395</v>
      </c>
      <c r="D65" s="3171" t="s">
        <v>3579</v>
      </c>
      <c r="E65" s="3170" t="s">
        <v>3580</v>
      </c>
      <c r="F65" s="3169">
        <v>1</v>
      </c>
      <c r="G65" s="3169">
        <v>202</v>
      </c>
      <c r="H65" s="3172">
        <v>271.75</v>
      </c>
      <c r="I65" s="3173">
        <v>32669108.34</v>
      </c>
      <c r="J65" s="3174" t="s">
        <v>3447</v>
      </c>
      <c r="K65" s="3161"/>
      <c r="M65" s="3161"/>
    </row>
    <row r="66" spans="1:13" ht="16.5">
      <c r="A66" s="3168">
        <v>64</v>
      </c>
      <c r="B66" s="3169" t="s">
        <v>3572</v>
      </c>
      <c r="C66" s="3170" t="s">
        <v>3395</v>
      </c>
      <c r="D66" s="3171" t="s">
        <v>3581</v>
      </c>
      <c r="E66" s="3170" t="s">
        <v>3582</v>
      </c>
      <c r="F66" s="3169">
        <v>1</v>
      </c>
      <c r="G66" s="3169">
        <v>301</v>
      </c>
      <c r="H66" s="3172">
        <v>272.97000000000003</v>
      </c>
      <c r="I66" s="3173">
        <v>34180620.979999997</v>
      </c>
      <c r="J66" s="3174" t="s">
        <v>3447</v>
      </c>
      <c r="K66" s="3161"/>
      <c r="M66" s="3161"/>
    </row>
    <row r="67" spans="1:13" ht="16.5">
      <c r="A67" s="3168">
        <v>65</v>
      </c>
      <c r="B67" s="3169" t="s">
        <v>3572</v>
      </c>
      <c r="C67" s="3170" t="s">
        <v>3395</v>
      </c>
      <c r="D67" s="3171" t="s">
        <v>3583</v>
      </c>
      <c r="E67" s="3170" t="s">
        <v>3584</v>
      </c>
      <c r="F67" s="3169">
        <v>1</v>
      </c>
      <c r="G67" s="3169">
        <v>401</v>
      </c>
      <c r="H67" s="3172">
        <v>272.97000000000003</v>
      </c>
      <c r="I67" s="3173">
        <v>33907650.979999997</v>
      </c>
      <c r="J67" s="3174" t="s">
        <v>3447</v>
      </c>
      <c r="K67" s="3161"/>
      <c r="M67" s="3161"/>
    </row>
    <row r="68" spans="1:13" ht="16.5">
      <c r="A68" s="3168">
        <v>66</v>
      </c>
      <c r="B68" s="3169" t="s">
        <v>3572</v>
      </c>
      <c r="C68" s="3170" t="s">
        <v>3395</v>
      </c>
      <c r="D68" s="3171" t="s">
        <v>3585</v>
      </c>
      <c r="E68" s="3170" t="s">
        <v>3586</v>
      </c>
      <c r="F68" s="3169">
        <v>2</v>
      </c>
      <c r="G68" s="3169">
        <v>101</v>
      </c>
      <c r="H68" s="3172">
        <v>271.69</v>
      </c>
      <c r="I68" s="3173">
        <v>32583852.34</v>
      </c>
      <c r="J68" s="3174" t="s">
        <v>3447</v>
      </c>
      <c r="K68" s="3161"/>
      <c r="M68" s="3161"/>
    </row>
    <row r="69" spans="1:13" ht="16.5">
      <c r="A69" s="3168">
        <v>67</v>
      </c>
      <c r="B69" s="3169" t="s">
        <v>3572</v>
      </c>
      <c r="C69" s="3170" t="s">
        <v>3395</v>
      </c>
      <c r="D69" s="3171" t="s">
        <v>3587</v>
      </c>
      <c r="E69" s="3170" t="s">
        <v>3588</v>
      </c>
      <c r="F69" s="3169">
        <v>2</v>
      </c>
      <c r="G69" s="3169">
        <v>102</v>
      </c>
      <c r="H69" s="3172">
        <v>272.86</v>
      </c>
      <c r="I69" s="3173">
        <v>34126193.640000001</v>
      </c>
      <c r="J69" s="3174" t="s">
        <v>3447</v>
      </c>
      <c r="K69" s="3161"/>
      <c r="M69" s="3161"/>
    </row>
    <row r="70" spans="1:13" ht="16.5">
      <c r="A70" s="3168">
        <v>68</v>
      </c>
      <c r="B70" s="3169" t="s">
        <v>3572</v>
      </c>
      <c r="C70" s="3170" t="s">
        <v>3395</v>
      </c>
      <c r="D70" s="3171" t="s">
        <v>3589</v>
      </c>
      <c r="E70" s="3170" t="s">
        <v>3590</v>
      </c>
      <c r="F70" s="3169">
        <v>2</v>
      </c>
      <c r="G70" s="3169">
        <v>202</v>
      </c>
      <c r="H70" s="3172">
        <v>272.92</v>
      </c>
      <c r="I70" s="3173">
        <v>34406617.75</v>
      </c>
      <c r="J70" s="3174" t="s">
        <v>3463</v>
      </c>
      <c r="K70" s="3161"/>
      <c r="M70" s="3161"/>
    </row>
    <row r="71" spans="1:13" ht="16.5">
      <c r="A71" s="3168">
        <v>69</v>
      </c>
      <c r="B71" s="3169" t="s">
        <v>3591</v>
      </c>
      <c r="C71" s="3170" t="s">
        <v>3395</v>
      </c>
      <c r="D71" s="3171" t="s">
        <v>3592</v>
      </c>
      <c r="E71" s="3170" t="s">
        <v>3593</v>
      </c>
      <c r="F71" s="3169">
        <v>2</v>
      </c>
      <c r="G71" s="3169">
        <v>101</v>
      </c>
      <c r="H71" s="3172">
        <v>168.06</v>
      </c>
      <c r="I71" s="3173">
        <v>19739502.43</v>
      </c>
      <c r="J71" s="3174" t="s">
        <v>3447</v>
      </c>
      <c r="K71" s="3161"/>
      <c r="M71" s="3161"/>
    </row>
    <row r="72" spans="1:13" ht="16.5">
      <c r="A72" s="3168">
        <v>70</v>
      </c>
      <c r="B72" s="3169" t="s">
        <v>3591</v>
      </c>
      <c r="C72" s="3170" t="s">
        <v>3395</v>
      </c>
      <c r="D72" s="3171" t="s">
        <v>3594</v>
      </c>
      <c r="E72" s="3170" t="s">
        <v>3595</v>
      </c>
      <c r="F72" s="3169">
        <v>3</v>
      </c>
      <c r="G72" s="3169">
        <v>101</v>
      </c>
      <c r="H72" s="3172">
        <v>168.06</v>
      </c>
      <c r="I72" s="3173">
        <v>18764527.539999999</v>
      </c>
      <c r="J72" s="3174" t="s">
        <v>3447</v>
      </c>
      <c r="K72" s="3161"/>
      <c r="M72" s="3161"/>
    </row>
    <row r="73" spans="1:13" ht="16.5">
      <c r="A73" s="3168">
        <v>71</v>
      </c>
      <c r="B73" s="3169" t="s">
        <v>3591</v>
      </c>
      <c r="C73" s="3170" t="s">
        <v>3395</v>
      </c>
      <c r="D73" s="3171" t="s">
        <v>3596</v>
      </c>
      <c r="E73" s="3170" t="s">
        <v>3597</v>
      </c>
      <c r="F73" s="3169">
        <v>3</v>
      </c>
      <c r="G73" s="3169">
        <v>102</v>
      </c>
      <c r="H73" s="3172">
        <v>192.5</v>
      </c>
      <c r="I73" s="3173">
        <v>22289960</v>
      </c>
      <c r="J73" s="3174" t="s">
        <v>3447</v>
      </c>
      <c r="K73" s="3161"/>
      <c r="M73" s="3161"/>
    </row>
    <row r="74" spans="1:13" ht="16.5">
      <c r="A74" s="3168">
        <v>72</v>
      </c>
      <c r="B74" s="3169" t="s">
        <v>3591</v>
      </c>
      <c r="C74" s="3170" t="s">
        <v>3395</v>
      </c>
      <c r="D74" s="3171" t="s">
        <v>3598</v>
      </c>
      <c r="E74" s="3170" t="s">
        <v>3599</v>
      </c>
      <c r="F74" s="3169">
        <v>3</v>
      </c>
      <c r="G74" s="3169">
        <v>202</v>
      </c>
      <c r="H74" s="3172">
        <v>192.53</v>
      </c>
      <c r="I74" s="3173">
        <v>22871023.760000002</v>
      </c>
      <c r="J74" s="3174" t="s">
        <v>3447</v>
      </c>
      <c r="K74" s="3161"/>
      <c r="M74" s="3161"/>
    </row>
    <row r="75" spans="1:13" ht="16.5">
      <c r="A75" s="3168">
        <v>73</v>
      </c>
      <c r="B75" s="3169" t="s">
        <v>3600</v>
      </c>
      <c r="C75" s="3170" t="s">
        <v>3395</v>
      </c>
      <c r="D75" s="3171" t="s">
        <v>3601</v>
      </c>
      <c r="E75" s="3170" t="s">
        <v>3602</v>
      </c>
      <c r="F75" s="3169">
        <v>1</v>
      </c>
      <c r="G75" s="3169">
        <v>101</v>
      </c>
      <c r="H75" s="3172">
        <v>272.91000000000003</v>
      </c>
      <c r="I75" s="3173">
        <v>33470503.859999999</v>
      </c>
      <c r="J75" s="3174" t="s">
        <v>3447</v>
      </c>
      <c r="K75" s="3161"/>
      <c r="M75" s="3161"/>
    </row>
    <row r="76" spans="1:13" ht="16.5">
      <c r="A76" s="3168">
        <v>74</v>
      </c>
      <c r="B76" s="3169" t="s">
        <v>3600</v>
      </c>
      <c r="C76" s="3170" t="s">
        <v>3395</v>
      </c>
      <c r="D76" s="3171" t="s">
        <v>3603</v>
      </c>
      <c r="E76" s="3170" t="s">
        <v>3604</v>
      </c>
      <c r="F76" s="3169">
        <v>1</v>
      </c>
      <c r="G76" s="3169">
        <v>102</v>
      </c>
      <c r="H76" s="3172">
        <v>271.73</v>
      </c>
      <c r="I76" s="3173">
        <v>32394971.280000001</v>
      </c>
      <c r="J76" s="3174" t="s">
        <v>3447</v>
      </c>
      <c r="K76" s="3161"/>
      <c r="M76" s="3161"/>
    </row>
    <row r="77" spans="1:13" ht="16.5">
      <c r="A77" s="3168">
        <v>75</v>
      </c>
      <c r="B77" s="3169" t="s">
        <v>3600</v>
      </c>
      <c r="C77" s="3170" t="s">
        <v>3395</v>
      </c>
      <c r="D77" s="3171" t="s">
        <v>3605</v>
      </c>
      <c r="E77" s="3170" t="s">
        <v>3606</v>
      </c>
      <c r="F77" s="3169">
        <v>1</v>
      </c>
      <c r="G77" s="3169">
        <v>202</v>
      </c>
      <c r="H77" s="3172">
        <v>271.8</v>
      </c>
      <c r="I77" s="3173">
        <v>32675119.219999999</v>
      </c>
      <c r="J77" s="3174" t="s">
        <v>3447</v>
      </c>
      <c r="K77" s="3161"/>
      <c r="M77" s="3161"/>
    </row>
    <row r="78" spans="1:13" ht="16.5">
      <c r="A78" s="3168">
        <v>76</v>
      </c>
      <c r="B78" s="3169" t="s">
        <v>3600</v>
      </c>
      <c r="C78" s="3170" t="s">
        <v>3395</v>
      </c>
      <c r="D78" s="3171" t="s">
        <v>3607</v>
      </c>
      <c r="E78" s="3170" t="s">
        <v>3608</v>
      </c>
      <c r="F78" s="3169">
        <v>1</v>
      </c>
      <c r="G78" s="3169">
        <v>402</v>
      </c>
      <c r="H78" s="3172">
        <v>271.8</v>
      </c>
      <c r="I78" s="3173">
        <v>33762319.219999999</v>
      </c>
      <c r="J78" s="3174" t="s">
        <v>3447</v>
      </c>
      <c r="K78" s="3161"/>
      <c r="M78" s="3161"/>
    </row>
    <row r="79" spans="1:13" ht="16.5">
      <c r="A79" s="3168">
        <v>77</v>
      </c>
      <c r="B79" s="3169" t="s">
        <v>3600</v>
      </c>
      <c r="C79" s="3170" t="s">
        <v>3395</v>
      </c>
      <c r="D79" s="3171" t="s">
        <v>3609</v>
      </c>
      <c r="E79" s="3170" t="s">
        <v>3610</v>
      </c>
      <c r="F79" s="3169">
        <v>2</v>
      </c>
      <c r="G79" s="3169">
        <v>101</v>
      </c>
      <c r="H79" s="3172">
        <v>271.73</v>
      </c>
      <c r="I79" s="3173">
        <v>32588646.829999998</v>
      </c>
      <c r="J79" s="3174" t="s">
        <v>3447</v>
      </c>
      <c r="K79" s="3161"/>
      <c r="M79" s="3161"/>
    </row>
    <row r="80" spans="1:13" ht="16.5">
      <c r="A80" s="3168">
        <v>78</v>
      </c>
      <c r="B80" s="3169" t="s">
        <v>3600</v>
      </c>
      <c r="C80" s="3170" t="s">
        <v>3395</v>
      </c>
      <c r="D80" s="3171" t="s">
        <v>3611</v>
      </c>
      <c r="E80" s="3170" t="s">
        <v>3612</v>
      </c>
      <c r="F80" s="3169">
        <v>2</v>
      </c>
      <c r="G80" s="3169">
        <v>201</v>
      </c>
      <c r="H80" s="3172">
        <v>271.8</v>
      </c>
      <c r="I80" s="3173">
        <v>32868844.670000002</v>
      </c>
      <c r="J80" s="3174" t="s">
        <v>3447</v>
      </c>
      <c r="K80" s="3161"/>
      <c r="M80" s="3161"/>
    </row>
    <row r="81" spans="1:13" ht="16.5">
      <c r="A81" s="3168">
        <v>79</v>
      </c>
      <c r="B81" s="3169" t="s">
        <v>3613</v>
      </c>
      <c r="C81" s="3170" t="s">
        <v>3395</v>
      </c>
      <c r="D81" s="3171" t="s">
        <v>3614</v>
      </c>
      <c r="E81" s="3170" t="s">
        <v>3615</v>
      </c>
      <c r="F81" s="3169">
        <v>1</v>
      </c>
      <c r="G81" s="3169">
        <v>102</v>
      </c>
      <c r="H81" s="3172">
        <v>161.83000000000001</v>
      </c>
      <c r="I81" s="3173">
        <v>18772224</v>
      </c>
      <c r="J81" s="3174" t="s">
        <v>3447</v>
      </c>
      <c r="K81" s="3161"/>
      <c r="M81" s="3161"/>
    </row>
    <row r="82" spans="1:13" ht="16.5">
      <c r="A82" s="3168">
        <v>80</v>
      </c>
      <c r="B82" s="3169" t="s">
        <v>3613</v>
      </c>
      <c r="C82" s="3170" t="s">
        <v>3395</v>
      </c>
      <c r="D82" s="3171" t="s">
        <v>3616</v>
      </c>
      <c r="E82" s="3170" t="s">
        <v>3617</v>
      </c>
      <c r="F82" s="3169">
        <v>1</v>
      </c>
      <c r="G82" s="3169">
        <v>301</v>
      </c>
      <c r="H82" s="3172">
        <v>192.55</v>
      </c>
      <c r="I82" s="3173">
        <v>24346984</v>
      </c>
      <c r="J82" s="3174" t="s">
        <v>3447</v>
      </c>
      <c r="K82" s="3161"/>
      <c r="M82" s="3161"/>
    </row>
    <row r="83" spans="1:13" ht="16.5">
      <c r="A83" s="3168">
        <v>81</v>
      </c>
      <c r="B83" s="3169" t="s">
        <v>3613</v>
      </c>
      <c r="C83" s="3170" t="s">
        <v>3395</v>
      </c>
      <c r="D83" s="3171" t="s">
        <v>3618</v>
      </c>
      <c r="E83" s="3170" t="s">
        <v>3619</v>
      </c>
      <c r="F83" s="3169">
        <v>1</v>
      </c>
      <c r="G83" s="3169">
        <v>402</v>
      </c>
      <c r="H83" s="3172">
        <v>184.49</v>
      </c>
      <c r="I83" s="3173">
        <v>22692207</v>
      </c>
      <c r="J83" s="3174" t="s">
        <v>3463</v>
      </c>
      <c r="K83" s="3161"/>
      <c r="M83" s="3161"/>
    </row>
    <row r="84" spans="1:13" ht="16.5">
      <c r="A84" s="3168">
        <v>82</v>
      </c>
      <c r="B84" s="3169" t="s">
        <v>3613</v>
      </c>
      <c r="C84" s="3170" t="s">
        <v>3395</v>
      </c>
      <c r="D84" s="3171" t="s">
        <v>3620</v>
      </c>
      <c r="E84" s="3170" t="s">
        <v>3621</v>
      </c>
      <c r="F84" s="3169">
        <v>2</v>
      </c>
      <c r="G84" s="3169">
        <v>101</v>
      </c>
      <c r="H84" s="3172">
        <v>161.83000000000001</v>
      </c>
      <c r="I84" s="3173">
        <v>18772224</v>
      </c>
      <c r="J84" s="3174" t="s">
        <v>3447</v>
      </c>
      <c r="K84" s="3161"/>
      <c r="M84" s="3161"/>
    </row>
    <row r="85" spans="1:13" ht="16.5">
      <c r="A85" s="3168">
        <v>83</v>
      </c>
      <c r="B85" s="3169" t="s">
        <v>3613</v>
      </c>
      <c r="C85" s="3170" t="s">
        <v>3395</v>
      </c>
      <c r="D85" s="3171" t="s">
        <v>3622</v>
      </c>
      <c r="E85" s="3170" t="s">
        <v>3623</v>
      </c>
      <c r="F85" s="3169">
        <v>2</v>
      </c>
      <c r="G85" s="3169">
        <v>102</v>
      </c>
      <c r="H85" s="3172">
        <v>184.45</v>
      </c>
      <c r="I85" s="3173">
        <v>21396137</v>
      </c>
      <c r="J85" s="3174" t="s">
        <v>3447</v>
      </c>
      <c r="K85" s="3161"/>
      <c r="M85" s="3161"/>
    </row>
    <row r="86" spans="1:13" ht="16.5">
      <c r="A86" s="3168">
        <v>84</v>
      </c>
      <c r="B86" s="3169" t="s">
        <v>3613</v>
      </c>
      <c r="C86" s="3170" t="s">
        <v>3395</v>
      </c>
      <c r="D86" s="3171" t="s">
        <v>3624</v>
      </c>
      <c r="E86" s="3170" t="s">
        <v>3625</v>
      </c>
      <c r="F86" s="3169">
        <v>2</v>
      </c>
      <c r="G86" s="3169">
        <v>302</v>
      </c>
      <c r="H86" s="3172">
        <v>184.49</v>
      </c>
      <c r="I86" s="3173">
        <v>22876697</v>
      </c>
      <c r="J86" s="3174" t="s">
        <v>3447</v>
      </c>
      <c r="K86" s="3161"/>
      <c r="M86" s="3161"/>
    </row>
    <row r="87" spans="1:13" ht="16.5">
      <c r="A87" s="3168">
        <v>85</v>
      </c>
      <c r="B87" s="3169" t="s">
        <v>3613</v>
      </c>
      <c r="C87" s="3170" t="s">
        <v>3395</v>
      </c>
      <c r="D87" s="3171" t="s">
        <v>3626</v>
      </c>
      <c r="E87" s="3170" t="s">
        <v>3627</v>
      </c>
      <c r="F87" s="3169">
        <v>2</v>
      </c>
      <c r="G87" s="3169">
        <v>401</v>
      </c>
      <c r="H87" s="3172">
        <v>184.49</v>
      </c>
      <c r="I87" s="3173">
        <v>22692207</v>
      </c>
      <c r="J87" s="3174" t="s">
        <v>3463</v>
      </c>
      <c r="K87" s="3161"/>
      <c r="M87" s="3161"/>
    </row>
    <row r="88" spans="1:13" ht="16.5">
      <c r="A88" s="3168">
        <v>86</v>
      </c>
      <c r="B88" s="3169" t="s">
        <v>3613</v>
      </c>
      <c r="C88" s="3170" t="s">
        <v>3395</v>
      </c>
      <c r="D88" s="3171" t="s">
        <v>3628</v>
      </c>
      <c r="E88" s="3170" t="s">
        <v>3629</v>
      </c>
      <c r="F88" s="3169">
        <v>3</v>
      </c>
      <c r="G88" s="3169">
        <v>101</v>
      </c>
      <c r="H88" s="3172">
        <v>161.83000000000001</v>
      </c>
      <c r="I88" s="3173">
        <v>18772224</v>
      </c>
      <c r="J88" s="3174" t="s">
        <v>3447</v>
      </c>
      <c r="K88" s="3161"/>
      <c r="M88" s="3161"/>
    </row>
    <row r="89" spans="1:13" ht="16.5">
      <c r="A89" s="3168">
        <v>87</v>
      </c>
      <c r="B89" s="3169" t="s">
        <v>3613</v>
      </c>
      <c r="C89" s="3170" t="s">
        <v>3395</v>
      </c>
      <c r="D89" s="3171" t="s">
        <v>3630</v>
      </c>
      <c r="E89" s="3170" t="s">
        <v>3631</v>
      </c>
      <c r="F89" s="3169">
        <v>3</v>
      </c>
      <c r="G89" s="3169">
        <v>102</v>
      </c>
      <c r="H89" s="3172">
        <v>184.95</v>
      </c>
      <c r="I89" s="3173">
        <v>21454137</v>
      </c>
      <c r="J89" s="3174" t="s">
        <v>3447</v>
      </c>
      <c r="K89" s="3161"/>
      <c r="M89" s="3161"/>
    </row>
    <row r="90" spans="1:13" ht="16.5">
      <c r="A90" s="3168">
        <v>88</v>
      </c>
      <c r="B90" s="3169" t="s">
        <v>3613</v>
      </c>
      <c r="C90" s="3170" t="s">
        <v>3395</v>
      </c>
      <c r="D90" s="3171" t="s">
        <v>3632</v>
      </c>
      <c r="E90" s="3170" t="s">
        <v>3633</v>
      </c>
      <c r="F90" s="3169">
        <v>3</v>
      </c>
      <c r="G90" s="3169">
        <v>201</v>
      </c>
      <c r="H90" s="3172">
        <v>184.49</v>
      </c>
      <c r="I90" s="3173">
        <v>21954247</v>
      </c>
      <c r="J90" s="3174" t="s">
        <v>3447</v>
      </c>
      <c r="K90" s="3161"/>
      <c r="M90" s="3161"/>
    </row>
    <row r="91" spans="1:13" ht="16.5">
      <c r="A91" s="3168">
        <v>89</v>
      </c>
      <c r="B91" s="3169" t="s">
        <v>3613</v>
      </c>
      <c r="C91" s="3170" t="s">
        <v>3395</v>
      </c>
      <c r="D91" s="3171" t="s">
        <v>3634</v>
      </c>
      <c r="E91" s="3170" t="s">
        <v>3635</v>
      </c>
      <c r="F91" s="3169">
        <v>3</v>
      </c>
      <c r="G91" s="3169">
        <v>202</v>
      </c>
      <c r="H91" s="3172">
        <v>184.99</v>
      </c>
      <c r="I91" s="3173">
        <v>22013747</v>
      </c>
      <c r="J91" s="3174" t="s">
        <v>3447</v>
      </c>
      <c r="K91" s="3161"/>
      <c r="M91" s="3161"/>
    </row>
    <row r="92" spans="1:13" ht="16.5">
      <c r="A92" s="3168">
        <v>90</v>
      </c>
      <c r="B92" s="3169" t="s">
        <v>3613</v>
      </c>
      <c r="C92" s="3170" t="s">
        <v>3395</v>
      </c>
      <c r="D92" s="3171" t="s">
        <v>3636</v>
      </c>
      <c r="E92" s="3170" t="s">
        <v>3637</v>
      </c>
      <c r="F92" s="3169">
        <v>3</v>
      </c>
      <c r="G92" s="3169">
        <v>301</v>
      </c>
      <c r="H92" s="3172">
        <v>184.49</v>
      </c>
      <c r="I92" s="3173">
        <v>22876697</v>
      </c>
      <c r="J92" s="3174" t="s">
        <v>3447</v>
      </c>
      <c r="K92" s="3161"/>
      <c r="M92" s="3161"/>
    </row>
    <row r="93" spans="1:13" ht="16.5">
      <c r="A93" s="3168">
        <v>91</v>
      </c>
      <c r="B93" s="3169" t="s">
        <v>3613</v>
      </c>
      <c r="C93" s="3170" t="s">
        <v>3395</v>
      </c>
      <c r="D93" s="3171" t="s">
        <v>3638</v>
      </c>
      <c r="E93" s="3170" t="s">
        <v>3639</v>
      </c>
      <c r="F93" s="3169">
        <v>3</v>
      </c>
      <c r="G93" s="3169">
        <v>302</v>
      </c>
      <c r="H93" s="3172">
        <v>184.99</v>
      </c>
      <c r="I93" s="3173">
        <v>22938697</v>
      </c>
      <c r="J93" s="3174" t="s">
        <v>3463</v>
      </c>
      <c r="K93" s="3161"/>
      <c r="M93" s="3161"/>
    </row>
    <row r="94" spans="1:13" ht="16.5">
      <c r="A94" s="3168">
        <v>92</v>
      </c>
      <c r="B94" s="3169" t="s">
        <v>3613</v>
      </c>
      <c r="C94" s="3170" t="s">
        <v>3395</v>
      </c>
      <c r="D94" s="3171" t="s">
        <v>3640</v>
      </c>
      <c r="E94" s="3170" t="s">
        <v>3641</v>
      </c>
      <c r="F94" s="3169">
        <v>3</v>
      </c>
      <c r="G94" s="3169">
        <v>401</v>
      </c>
      <c r="H94" s="3172">
        <v>184.49</v>
      </c>
      <c r="I94" s="3173">
        <v>22692207</v>
      </c>
      <c r="J94" s="3174" t="s">
        <v>3447</v>
      </c>
      <c r="K94" s="3161"/>
      <c r="M94" s="3161"/>
    </row>
    <row r="95" spans="1:13" ht="16.5">
      <c r="A95" s="3168">
        <v>93</v>
      </c>
      <c r="B95" s="3169" t="s">
        <v>3642</v>
      </c>
      <c r="C95" s="3170" t="s">
        <v>3395</v>
      </c>
      <c r="D95" s="3171" t="s">
        <v>3643</v>
      </c>
      <c r="E95" s="3170" t="s">
        <v>3644</v>
      </c>
      <c r="F95" s="3169">
        <v>1</v>
      </c>
      <c r="G95" s="3169">
        <v>102</v>
      </c>
      <c r="H95" s="3172">
        <v>210.91</v>
      </c>
      <c r="I95" s="3173">
        <v>24331948.52</v>
      </c>
      <c r="J95" s="3174" t="s">
        <v>3447</v>
      </c>
      <c r="K95" s="3161"/>
      <c r="M95" s="3161"/>
    </row>
    <row r="96" spans="1:13" ht="16.5">
      <c r="A96" s="3168">
        <v>94</v>
      </c>
      <c r="B96" s="3169" t="s">
        <v>3642</v>
      </c>
      <c r="C96" s="3170" t="s">
        <v>3395</v>
      </c>
      <c r="D96" s="3171" t="s">
        <v>3645</v>
      </c>
      <c r="E96" s="3170" t="s">
        <v>3646</v>
      </c>
      <c r="F96" s="3169">
        <v>1</v>
      </c>
      <c r="G96" s="3169">
        <v>201</v>
      </c>
      <c r="H96" s="3172">
        <v>230.81</v>
      </c>
      <c r="I96" s="3173">
        <v>28044511.350000001</v>
      </c>
      <c r="J96" s="3174" t="s">
        <v>3463</v>
      </c>
      <c r="K96" s="3161"/>
      <c r="M96" s="3161"/>
    </row>
    <row r="97" spans="1:13" ht="16.5">
      <c r="A97" s="3168">
        <v>95</v>
      </c>
      <c r="B97" s="3169" t="s">
        <v>3642</v>
      </c>
      <c r="C97" s="3170" t="s">
        <v>3395</v>
      </c>
      <c r="D97" s="3171" t="s">
        <v>3647</v>
      </c>
      <c r="E97" s="3170" t="s">
        <v>3648</v>
      </c>
      <c r="F97" s="3169">
        <v>2</v>
      </c>
      <c r="G97" s="3169">
        <v>101</v>
      </c>
      <c r="H97" s="3172">
        <v>210.91</v>
      </c>
      <c r="I97" s="3173">
        <v>23248238.100000001</v>
      </c>
      <c r="J97" s="3174" t="s">
        <v>3447</v>
      </c>
      <c r="K97" s="3161"/>
      <c r="M97" s="3161"/>
    </row>
    <row r="98" spans="1:13" ht="16.5">
      <c r="A98" s="3168">
        <v>96</v>
      </c>
      <c r="B98" s="3169" t="s">
        <v>3642</v>
      </c>
      <c r="C98" s="3170" t="s">
        <v>3395</v>
      </c>
      <c r="D98" s="3171" t="s">
        <v>3649</v>
      </c>
      <c r="E98" s="3170" t="s">
        <v>3650</v>
      </c>
      <c r="F98" s="3169">
        <v>2</v>
      </c>
      <c r="G98" s="3169">
        <v>102</v>
      </c>
      <c r="H98" s="3172">
        <v>219.73</v>
      </c>
      <c r="I98" s="3173">
        <v>25286363.600000001</v>
      </c>
      <c r="J98" s="3174" t="s">
        <v>3447</v>
      </c>
      <c r="K98" s="3161"/>
      <c r="M98" s="3161"/>
    </row>
    <row r="99" spans="1:13" ht="16.5">
      <c r="A99" s="3168">
        <v>97</v>
      </c>
      <c r="B99" s="3169" t="s">
        <v>3642</v>
      </c>
      <c r="C99" s="3170" t="s">
        <v>3395</v>
      </c>
      <c r="D99" s="3171" t="s">
        <v>3651</v>
      </c>
      <c r="E99" s="3170" t="s">
        <v>3652</v>
      </c>
      <c r="F99" s="3169">
        <v>2</v>
      </c>
      <c r="G99" s="3169">
        <v>202</v>
      </c>
      <c r="H99" s="3172">
        <v>230.81</v>
      </c>
      <c r="I99" s="3173">
        <v>27253871.690000001</v>
      </c>
      <c r="J99" s="3174" t="s">
        <v>3447</v>
      </c>
      <c r="K99" s="3161"/>
      <c r="M99" s="3161"/>
    </row>
    <row r="100" spans="1:13" ht="16.5">
      <c r="A100" s="3168">
        <v>98</v>
      </c>
      <c r="B100" s="3169" t="s">
        <v>3642</v>
      </c>
      <c r="C100" s="3170" t="s">
        <v>3395</v>
      </c>
      <c r="D100" s="3171" t="s">
        <v>3653</v>
      </c>
      <c r="E100" s="3170" t="s">
        <v>3654</v>
      </c>
      <c r="F100" s="3169">
        <v>2</v>
      </c>
      <c r="G100" s="3169">
        <v>302</v>
      </c>
      <c r="H100" s="3172">
        <v>230.81</v>
      </c>
      <c r="I100" s="3173">
        <v>28407921.690000001</v>
      </c>
      <c r="J100" s="3174" t="s">
        <v>3447</v>
      </c>
      <c r="K100" s="3161"/>
      <c r="M100" s="3161"/>
    </row>
    <row r="101" spans="1:13" ht="16.5">
      <c r="A101" s="3168">
        <v>99</v>
      </c>
      <c r="B101" s="3169" t="s">
        <v>3655</v>
      </c>
      <c r="C101" s="3170" t="s">
        <v>3395</v>
      </c>
      <c r="D101" s="3171" t="s">
        <v>3656</v>
      </c>
      <c r="E101" s="3170" t="s">
        <v>3657</v>
      </c>
      <c r="F101" s="3169">
        <v>1</v>
      </c>
      <c r="G101" s="3169">
        <v>102</v>
      </c>
      <c r="H101" s="3172">
        <v>210.96</v>
      </c>
      <c r="I101" s="3173">
        <v>24899520.199999999</v>
      </c>
      <c r="J101" s="3174" t="s">
        <v>3447</v>
      </c>
      <c r="K101" s="3161"/>
      <c r="M101" s="3161"/>
    </row>
    <row r="102" spans="1:13" ht="16.5">
      <c r="A102" s="3168">
        <v>100</v>
      </c>
      <c r="B102" s="3169" t="s">
        <v>3655</v>
      </c>
      <c r="C102" s="3170" t="s">
        <v>3395</v>
      </c>
      <c r="D102" s="3171" t="s">
        <v>3658</v>
      </c>
      <c r="E102" s="3170" t="s">
        <v>3659</v>
      </c>
      <c r="F102" s="3169">
        <v>1</v>
      </c>
      <c r="G102" s="3169">
        <v>302</v>
      </c>
      <c r="H102" s="3172">
        <v>221.82</v>
      </c>
      <c r="I102" s="3173">
        <v>27512241.440000001</v>
      </c>
      <c r="J102" s="3174" t="s">
        <v>3463</v>
      </c>
      <c r="K102" s="3161"/>
      <c r="M102" s="3161"/>
    </row>
    <row r="103" spans="1:13" ht="16.5">
      <c r="A103" s="3168">
        <v>101</v>
      </c>
      <c r="B103" s="3169" t="s">
        <v>3655</v>
      </c>
      <c r="C103" s="3170" t="s">
        <v>3395</v>
      </c>
      <c r="D103" s="3171" t="s">
        <v>3660</v>
      </c>
      <c r="E103" s="3170" t="s">
        <v>3661</v>
      </c>
      <c r="F103" s="3169">
        <v>2</v>
      </c>
      <c r="G103" s="3169">
        <v>102</v>
      </c>
      <c r="H103" s="3172">
        <v>210.96</v>
      </c>
      <c r="I103" s="3173">
        <v>24448434.98</v>
      </c>
      <c r="J103" s="3174" t="s">
        <v>3447</v>
      </c>
      <c r="K103" s="3161"/>
      <c r="M103" s="3161"/>
    </row>
    <row r="104" spans="1:13" ht="16.5">
      <c r="A104" s="3168">
        <v>102</v>
      </c>
      <c r="B104" s="3169" t="s">
        <v>3662</v>
      </c>
      <c r="C104" s="3170" t="s">
        <v>3395</v>
      </c>
      <c r="D104" s="3171" t="s">
        <v>3663</v>
      </c>
      <c r="E104" s="3170" t="s">
        <v>3664</v>
      </c>
      <c r="F104" s="3169">
        <v>1</v>
      </c>
      <c r="G104" s="3169">
        <v>101</v>
      </c>
      <c r="H104" s="3172">
        <v>272.93</v>
      </c>
      <c r="I104" s="3173">
        <v>32654166.719999999</v>
      </c>
      <c r="J104" s="3174" t="s">
        <v>3447</v>
      </c>
      <c r="K104" s="3161"/>
      <c r="M104" s="3161"/>
    </row>
    <row r="105" spans="1:13" ht="16.5">
      <c r="A105" s="3168">
        <v>103</v>
      </c>
      <c r="B105" s="3169" t="s">
        <v>3662</v>
      </c>
      <c r="C105" s="3170" t="s">
        <v>3395</v>
      </c>
      <c r="D105" s="3171" t="s">
        <v>3665</v>
      </c>
      <c r="E105" s="3170" t="s">
        <v>3666</v>
      </c>
      <c r="F105" s="3169">
        <v>1</v>
      </c>
      <c r="G105" s="3169">
        <v>102</v>
      </c>
      <c r="H105" s="3172">
        <v>271.76</v>
      </c>
      <c r="I105" s="3173">
        <v>32398547.800000001</v>
      </c>
      <c r="J105" s="3174" t="s">
        <v>3447</v>
      </c>
      <c r="K105" s="3161"/>
      <c r="M105" s="3161"/>
    </row>
    <row r="106" spans="1:13" ht="16.5">
      <c r="A106" s="3168">
        <v>104</v>
      </c>
      <c r="B106" s="3169" t="s">
        <v>3662</v>
      </c>
      <c r="C106" s="3170" t="s">
        <v>3395</v>
      </c>
      <c r="D106" s="3171" t="s">
        <v>3667</v>
      </c>
      <c r="E106" s="3170" t="s">
        <v>3668</v>
      </c>
      <c r="F106" s="3169">
        <v>1</v>
      </c>
      <c r="G106" s="3169">
        <v>201</v>
      </c>
      <c r="H106" s="3172">
        <v>272.99</v>
      </c>
      <c r="I106" s="3173">
        <v>32934335.300000001</v>
      </c>
      <c r="J106" s="3174" t="s">
        <v>3447</v>
      </c>
      <c r="K106" s="3161"/>
      <c r="M106" s="3161"/>
    </row>
    <row r="107" spans="1:13" ht="16.5">
      <c r="A107" s="3168">
        <v>105</v>
      </c>
      <c r="B107" s="3169" t="s">
        <v>3662</v>
      </c>
      <c r="C107" s="3170" t="s">
        <v>3395</v>
      </c>
      <c r="D107" s="3171" t="s">
        <v>3669</v>
      </c>
      <c r="E107" s="3170" t="s">
        <v>3670</v>
      </c>
      <c r="F107" s="3169">
        <v>1</v>
      </c>
      <c r="G107" s="3169">
        <v>202</v>
      </c>
      <c r="H107" s="3172">
        <v>271.82</v>
      </c>
      <c r="I107" s="3173">
        <v>32677520.850000001</v>
      </c>
      <c r="J107" s="3174" t="s">
        <v>3447</v>
      </c>
      <c r="K107" s="3161"/>
      <c r="M107" s="3161"/>
    </row>
    <row r="108" spans="1:13" ht="16.5">
      <c r="A108" s="3168">
        <v>106</v>
      </c>
      <c r="B108" s="3169" t="s">
        <v>3662</v>
      </c>
      <c r="C108" s="3170" t="s">
        <v>3395</v>
      </c>
      <c r="D108" s="3171" t="s">
        <v>3671</v>
      </c>
      <c r="E108" s="3170" t="s">
        <v>3672</v>
      </c>
      <c r="F108" s="3169">
        <v>1</v>
      </c>
      <c r="G108" s="3169">
        <v>301</v>
      </c>
      <c r="H108" s="3172">
        <v>272.99</v>
      </c>
      <c r="I108" s="3173">
        <v>34299285.299999997</v>
      </c>
      <c r="J108" s="3174" t="s">
        <v>3447</v>
      </c>
      <c r="K108" s="3161"/>
      <c r="M108" s="3161"/>
    </row>
    <row r="109" spans="1:13" ht="16.5">
      <c r="A109" s="3168">
        <v>107</v>
      </c>
      <c r="B109" s="3169" t="s">
        <v>3662</v>
      </c>
      <c r="C109" s="3170" t="s">
        <v>3395</v>
      </c>
      <c r="D109" s="3171" t="s">
        <v>3673</v>
      </c>
      <c r="E109" s="3170" t="s">
        <v>3674</v>
      </c>
      <c r="F109" s="3169">
        <v>1</v>
      </c>
      <c r="G109" s="3169">
        <v>302</v>
      </c>
      <c r="H109" s="3172">
        <v>271.82</v>
      </c>
      <c r="I109" s="3173">
        <v>34036620.850000001</v>
      </c>
      <c r="J109" s="3174" t="s">
        <v>3447</v>
      </c>
      <c r="K109" s="3161"/>
      <c r="M109" s="3161"/>
    </row>
    <row r="110" spans="1:13" ht="16.5">
      <c r="A110" s="3168">
        <v>108</v>
      </c>
      <c r="B110" s="3169" t="s">
        <v>3662</v>
      </c>
      <c r="C110" s="3170" t="s">
        <v>3395</v>
      </c>
      <c r="D110" s="3171" t="s">
        <v>3675</v>
      </c>
      <c r="E110" s="3170" t="s">
        <v>3676</v>
      </c>
      <c r="F110" s="3169">
        <v>1</v>
      </c>
      <c r="G110" s="3169">
        <v>401</v>
      </c>
      <c r="H110" s="3172">
        <v>272.99</v>
      </c>
      <c r="I110" s="3173">
        <v>34026295.299999997</v>
      </c>
      <c r="J110" s="3174" t="s">
        <v>3447</v>
      </c>
      <c r="K110" s="3161"/>
      <c r="M110" s="3161"/>
    </row>
    <row r="111" spans="1:13" ht="16.5">
      <c r="A111" s="3168">
        <v>109</v>
      </c>
      <c r="B111" s="3169" t="s">
        <v>3662</v>
      </c>
      <c r="C111" s="3170" t="s">
        <v>3395</v>
      </c>
      <c r="D111" s="3171" t="s">
        <v>3677</v>
      </c>
      <c r="E111" s="3170" t="s">
        <v>3678</v>
      </c>
      <c r="F111" s="3169">
        <v>1</v>
      </c>
      <c r="G111" s="3169">
        <v>402</v>
      </c>
      <c r="H111" s="3172">
        <v>271.82</v>
      </c>
      <c r="I111" s="3173">
        <v>33764800.850000001</v>
      </c>
      <c r="J111" s="3174" t="s">
        <v>3447</v>
      </c>
      <c r="K111" s="3161"/>
      <c r="M111" s="3161"/>
    </row>
    <row r="112" spans="1:13" ht="16.5">
      <c r="A112" s="3168">
        <v>110</v>
      </c>
      <c r="B112" s="3169" t="s">
        <v>3662</v>
      </c>
      <c r="C112" s="3170" t="s">
        <v>3395</v>
      </c>
      <c r="D112" s="3171" t="s">
        <v>3679</v>
      </c>
      <c r="E112" s="3170" t="s">
        <v>3680</v>
      </c>
      <c r="F112" s="3169">
        <v>2</v>
      </c>
      <c r="G112" s="3169">
        <v>101</v>
      </c>
      <c r="H112" s="3172">
        <v>271.76</v>
      </c>
      <c r="I112" s="3173">
        <v>32592244.739999998</v>
      </c>
      <c r="J112" s="3174" t="s">
        <v>3447</v>
      </c>
      <c r="K112" s="3161"/>
      <c r="M112" s="3161"/>
    </row>
    <row r="113" spans="1:13" ht="16.5">
      <c r="A113" s="3168">
        <v>111</v>
      </c>
      <c r="B113" s="3169" t="s">
        <v>3662</v>
      </c>
      <c r="C113" s="3170" t="s">
        <v>3395</v>
      </c>
      <c r="D113" s="3171" t="s">
        <v>3681</v>
      </c>
      <c r="E113" s="3170" t="s">
        <v>3682</v>
      </c>
      <c r="F113" s="3169">
        <v>2</v>
      </c>
      <c r="G113" s="3169">
        <v>201</v>
      </c>
      <c r="H113" s="3172">
        <v>271.82</v>
      </c>
      <c r="I113" s="3173">
        <v>32871263.27</v>
      </c>
      <c r="J113" s="3174" t="s">
        <v>3447</v>
      </c>
      <c r="K113" s="3161"/>
      <c r="M113" s="3161"/>
    </row>
    <row r="114" spans="1:13" ht="16.5">
      <c r="A114" s="3168">
        <v>112</v>
      </c>
      <c r="B114" s="3169" t="s">
        <v>3662</v>
      </c>
      <c r="C114" s="3170" t="s">
        <v>3395</v>
      </c>
      <c r="D114" s="3171" t="s">
        <v>3683</v>
      </c>
      <c r="E114" s="3170" t="s">
        <v>3684</v>
      </c>
      <c r="F114" s="3169">
        <v>2</v>
      </c>
      <c r="G114" s="3169">
        <v>401</v>
      </c>
      <c r="H114" s="3172">
        <v>271.82</v>
      </c>
      <c r="I114" s="3173">
        <v>33958543.270000003</v>
      </c>
      <c r="J114" s="3174" t="s">
        <v>3447</v>
      </c>
      <c r="K114" s="3161"/>
      <c r="M114" s="3161"/>
    </row>
    <row r="115" spans="1:13" ht="16.5">
      <c r="A115" s="3168">
        <v>113</v>
      </c>
      <c r="B115" s="3169" t="s">
        <v>3685</v>
      </c>
      <c r="C115" s="3170" t="s">
        <v>3395</v>
      </c>
      <c r="D115" s="3171" t="s">
        <v>3686</v>
      </c>
      <c r="E115" s="3170" t="s">
        <v>3687</v>
      </c>
      <c r="F115" s="3169">
        <v>1</v>
      </c>
      <c r="G115" s="3169">
        <v>102</v>
      </c>
      <c r="H115" s="3172">
        <v>210.97</v>
      </c>
      <c r="I115" s="3173">
        <v>23967052.760000002</v>
      </c>
      <c r="J115" s="3174" t="s">
        <v>3447</v>
      </c>
      <c r="K115" s="3161"/>
      <c r="M115" s="3161"/>
    </row>
    <row r="116" spans="1:13" ht="16.5">
      <c r="A116" s="3168">
        <v>114</v>
      </c>
      <c r="B116" s="3171" t="s">
        <v>3685</v>
      </c>
      <c r="C116" s="3170" t="s">
        <v>3395</v>
      </c>
      <c r="D116" s="3171" t="s">
        <v>3688</v>
      </c>
      <c r="E116" s="3170" t="s">
        <v>3689</v>
      </c>
      <c r="F116" s="3171">
        <v>1</v>
      </c>
      <c r="G116" s="3171">
        <v>201</v>
      </c>
      <c r="H116" s="3171">
        <v>230.87</v>
      </c>
      <c r="I116" s="3173">
        <v>27414044.039999999</v>
      </c>
      <c r="J116" s="3174" t="s">
        <v>3447</v>
      </c>
      <c r="K116" s="3161"/>
      <c r="M116" s="3161"/>
    </row>
    <row r="117" spans="1:13" ht="16.5">
      <c r="A117" s="3168">
        <v>115</v>
      </c>
      <c r="B117" s="3169" t="s">
        <v>3685</v>
      </c>
      <c r="C117" s="3170" t="s">
        <v>3395</v>
      </c>
      <c r="D117" s="3171" t="s">
        <v>3690</v>
      </c>
      <c r="E117" s="3170" t="s">
        <v>3691</v>
      </c>
      <c r="F117" s="3169">
        <v>1</v>
      </c>
      <c r="G117" s="3169">
        <v>302</v>
      </c>
      <c r="H117" s="3172">
        <v>221.83</v>
      </c>
      <c r="I117" s="3173">
        <v>26531773.07</v>
      </c>
      <c r="J117" s="3174" t="s">
        <v>3447</v>
      </c>
      <c r="K117" s="3161"/>
      <c r="M117" s="3161"/>
    </row>
    <row r="118" spans="1:13" ht="16.5">
      <c r="A118" s="3168">
        <v>116</v>
      </c>
      <c r="B118" s="3169" t="s">
        <v>3685</v>
      </c>
      <c r="C118" s="3170" t="s">
        <v>3395</v>
      </c>
      <c r="D118" s="3171" t="s">
        <v>3692</v>
      </c>
      <c r="E118" s="3170" t="s">
        <v>3693</v>
      </c>
      <c r="F118" s="3169">
        <v>1</v>
      </c>
      <c r="G118" s="3169">
        <v>402</v>
      </c>
      <c r="H118" s="3172">
        <v>221.83</v>
      </c>
      <c r="I118" s="3173">
        <v>26309943.07</v>
      </c>
      <c r="J118" s="3174" t="s">
        <v>3447</v>
      </c>
      <c r="K118" s="3161"/>
      <c r="M118" s="3161"/>
    </row>
    <row r="119" spans="1:13" ht="16.5">
      <c r="A119" s="3168">
        <v>117</v>
      </c>
      <c r="B119" s="3169" t="s">
        <v>3685</v>
      </c>
      <c r="C119" s="3170" t="s">
        <v>3395</v>
      </c>
      <c r="D119" s="3171" t="s">
        <v>3694</v>
      </c>
      <c r="E119" s="3170" t="s">
        <v>3695</v>
      </c>
      <c r="F119" s="3169">
        <v>2</v>
      </c>
      <c r="G119" s="3169">
        <v>101</v>
      </c>
      <c r="H119" s="3172">
        <v>210.97</v>
      </c>
      <c r="I119" s="3173">
        <v>24599962.760000002</v>
      </c>
      <c r="J119" s="3174" t="s">
        <v>3447</v>
      </c>
      <c r="K119" s="3161"/>
      <c r="M119" s="3161"/>
    </row>
    <row r="120" spans="1:13" ht="16.5">
      <c r="A120" s="3168">
        <v>118</v>
      </c>
      <c r="B120" s="3169" t="s">
        <v>3685</v>
      </c>
      <c r="C120" s="3170" t="s">
        <v>3395</v>
      </c>
      <c r="D120" s="3171" t="s">
        <v>3696</v>
      </c>
      <c r="E120" s="3170" t="s">
        <v>3697</v>
      </c>
      <c r="F120" s="3169">
        <v>2</v>
      </c>
      <c r="G120" s="3169">
        <v>102</v>
      </c>
      <c r="H120" s="3172">
        <v>210.97</v>
      </c>
      <c r="I120" s="3173">
        <v>24599962.760000002</v>
      </c>
      <c r="J120" s="3174" t="s">
        <v>3447</v>
      </c>
      <c r="K120" s="3161"/>
      <c r="M120" s="3161"/>
    </row>
    <row r="121" spans="1:13" ht="16.5">
      <c r="A121" s="3168">
        <v>119</v>
      </c>
      <c r="B121" s="3169" t="s">
        <v>3685</v>
      </c>
      <c r="C121" s="3170" t="s">
        <v>3395</v>
      </c>
      <c r="D121" s="3171" t="s">
        <v>3698</v>
      </c>
      <c r="E121" s="3170" t="s">
        <v>3699</v>
      </c>
      <c r="F121" s="3169">
        <v>2</v>
      </c>
      <c r="G121" s="3169">
        <v>201</v>
      </c>
      <c r="H121" s="3172">
        <v>221.83</v>
      </c>
      <c r="I121" s="3173">
        <v>26088113.07</v>
      </c>
      <c r="J121" s="3174" t="s">
        <v>3447</v>
      </c>
      <c r="K121" s="3161"/>
      <c r="M121" s="3161"/>
    </row>
    <row r="122" spans="1:13" ht="16.5">
      <c r="A122" s="3168">
        <v>120</v>
      </c>
      <c r="B122" s="3169" t="s">
        <v>3685</v>
      </c>
      <c r="C122" s="3170" t="s">
        <v>3395</v>
      </c>
      <c r="D122" s="3171" t="s">
        <v>3700</v>
      </c>
      <c r="E122" s="3170" t="s">
        <v>3701</v>
      </c>
      <c r="F122" s="3169">
        <v>2</v>
      </c>
      <c r="G122" s="3169">
        <v>202</v>
      </c>
      <c r="H122" s="3172">
        <v>221.83</v>
      </c>
      <c r="I122" s="3173">
        <v>26088113.07</v>
      </c>
      <c r="J122" s="3174" t="s">
        <v>3447</v>
      </c>
      <c r="K122" s="3161"/>
      <c r="M122" s="3161"/>
    </row>
    <row r="123" spans="1:13" ht="16.5">
      <c r="A123" s="3168">
        <v>121</v>
      </c>
      <c r="B123" s="3169" t="s">
        <v>3685</v>
      </c>
      <c r="C123" s="3170" t="s">
        <v>3395</v>
      </c>
      <c r="D123" s="3171" t="s">
        <v>3702</v>
      </c>
      <c r="E123" s="3170" t="s">
        <v>3703</v>
      </c>
      <c r="F123" s="3169">
        <v>2</v>
      </c>
      <c r="G123" s="3169">
        <v>301</v>
      </c>
      <c r="H123" s="3172">
        <v>221.83</v>
      </c>
      <c r="I123" s="3173">
        <v>27197263.07</v>
      </c>
      <c r="J123" s="3174" t="s">
        <v>3447</v>
      </c>
      <c r="K123" s="3161"/>
      <c r="M123" s="3161"/>
    </row>
    <row r="124" spans="1:13" ht="16.5">
      <c r="A124" s="3168">
        <v>122</v>
      </c>
      <c r="B124" s="3169" t="s">
        <v>3685</v>
      </c>
      <c r="C124" s="3170" t="s">
        <v>3395</v>
      </c>
      <c r="D124" s="3171" t="s">
        <v>3704</v>
      </c>
      <c r="E124" s="3170" t="s">
        <v>3705</v>
      </c>
      <c r="F124" s="3169">
        <v>2</v>
      </c>
      <c r="G124" s="3169">
        <v>302</v>
      </c>
      <c r="H124" s="3172">
        <v>221.83</v>
      </c>
      <c r="I124" s="3173">
        <v>27197263.07</v>
      </c>
      <c r="J124" s="3174" t="s">
        <v>3447</v>
      </c>
      <c r="K124" s="3161"/>
      <c r="M124" s="3161"/>
    </row>
    <row r="125" spans="1:13" ht="16.5">
      <c r="A125" s="3168">
        <v>123</v>
      </c>
      <c r="B125" s="3169" t="s">
        <v>3685</v>
      </c>
      <c r="C125" s="3170" t="s">
        <v>3395</v>
      </c>
      <c r="D125" s="3171" t="s">
        <v>3706</v>
      </c>
      <c r="E125" s="3170" t="s">
        <v>3707</v>
      </c>
      <c r="F125" s="3169">
        <v>2</v>
      </c>
      <c r="G125" s="3169">
        <v>401</v>
      </c>
      <c r="H125" s="3172">
        <v>221.83</v>
      </c>
      <c r="I125" s="3173">
        <v>26975433.07</v>
      </c>
      <c r="J125" s="3174" t="s">
        <v>3447</v>
      </c>
      <c r="K125" s="3161"/>
      <c r="M125" s="3161"/>
    </row>
    <row r="126" spans="1:13" ht="16.5">
      <c r="A126" s="3168">
        <v>124</v>
      </c>
      <c r="B126" s="3169" t="s">
        <v>3685</v>
      </c>
      <c r="C126" s="3170" t="s">
        <v>3395</v>
      </c>
      <c r="D126" s="3171" t="s">
        <v>3708</v>
      </c>
      <c r="E126" s="3170" t="s">
        <v>3709</v>
      </c>
      <c r="F126" s="3169">
        <v>3</v>
      </c>
      <c r="G126" s="3169">
        <v>101</v>
      </c>
      <c r="H126" s="3172">
        <v>210.97</v>
      </c>
      <c r="I126" s="3173">
        <v>24599962.760000002</v>
      </c>
      <c r="J126" s="3174" t="s">
        <v>3447</v>
      </c>
      <c r="K126" s="3161"/>
      <c r="M126" s="3161"/>
    </row>
    <row r="127" spans="1:13" ht="16.5">
      <c r="A127" s="3168">
        <v>125</v>
      </c>
      <c r="B127" s="3169" t="s">
        <v>3685</v>
      </c>
      <c r="C127" s="3170" t="s">
        <v>3395</v>
      </c>
      <c r="D127" s="3171" t="s">
        <v>3710</v>
      </c>
      <c r="E127" s="3170" t="s">
        <v>3711</v>
      </c>
      <c r="F127" s="3169">
        <v>3</v>
      </c>
      <c r="G127" s="3169">
        <v>401</v>
      </c>
      <c r="H127" s="3172">
        <v>221.83</v>
      </c>
      <c r="I127" s="3173">
        <v>26975433.07</v>
      </c>
      <c r="J127" s="3174" t="s">
        <v>3458</v>
      </c>
      <c r="K127" s="3161"/>
      <c r="M127" s="3161"/>
    </row>
    <row r="128" spans="1:13" ht="16.5">
      <c r="A128" s="3168">
        <v>126</v>
      </c>
      <c r="B128" s="3169" t="s">
        <v>3712</v>
      </c>
      <c r="C128" s="3170" t="s">
        <v>3395</v>
      </c>
      <c r="D128" s="3171" t="s">
        <v>3713</v>
      </c>
      <c r="E128" s="3170" t="s">
        <v>3714</v>
      </c>
      <c r="F128" s="3169">
        <v>1</v>
      </c>
      <c r="G128" s="3169">
        <v>102</v>
      </c>
      <c r="H128" s="3172">
        <v>210.99</v>
      </c>
      <c r="I128" s="3173">
        <v>24602294.84</v>
      </c>
      <c r="J128" s="3174" t="s">
        <v>3447</v>
      </c>
      <c r="K128" s="3161"/>
      <c r="M128" s="3161"/>
    </row>
    <row r="129" spans="1:13" ht="16.5">
      <c r="A129" s="3168">
        <v>127</v>
      </c>
      <c r="B129" s="3169" t="s">
        <v>3712</v>
      </c>
      <c r="C129" s="3170" t="s">
        <v>3395</v>
      </c>
      <c r="D129" s="3171" t="s">
        <v>3715</v>
      </c>
      <c r="E129" s="3170" t="s">
        <v>3716</v>
      </c>
      <c r="F129" s="3169">
        <v>1</v>
      </c>
      <c r="G129" s="3169">
        <v>201</v>
      </c>
      <c r="H129" s="3172">
        <v>230.9</v>
      </c>
      <c r="I129" s="3173">
        <v>28341204</v>
      </c>
      <c r="J129" s="3174" t="s">
        <v>3463</v>
      </c>
      <c r="K129" s="3161"/>
      <c r="M129" s="3161"/>
    </row>
    <row r="130" spans="1:13" ht="16.5">
      <c r="A130" s="3168">
        <v>128</v>
      </c>
      <c r="B130" s="3169" t="s">
        <v>3712</v>
      </c>
      <c r="C130" s="3170" t="s">
        <v>3395</v>
      </c>
      <c r="D130" s="3171" t="s">
        <v>3717</v>
      </c>
      <c r="E130" s="3170" t="s">
        <v>3718</v>
      </c>
      <c r="F130" s="3169">
        <v>1</v>
      </c>
      <c r="G130" s="3169">
        <v>302</v>
      </c>
      <c r="H130" s="3172">
        <v>221.85</v>
      </c>
      <c r="I130" s="3173">
        <v>27199715.149999999</v>
      </c>
      <c r="J130" s="3174" t="s">
        <v>3458</v>
      </c>
      <c r="K130" s="3161"/>
      <c r="M130" s="3161"/>
    </row>
    <row r="131" spans="1:13" ht="16.5">
      <c r="A131" s="3168">
        <v>129</v>
      </c>
      <c r="B131" s="3169" t="s">
        <v>3712</v>
      </c>
      <c r="C131" s="3170" t="s">
        <v>3395</v>
      </c>
      <c r="D131" s="3171" t="s">
        <v>3719</v>
      </c>
      <c r="E131" s="3170" t="s">
        <v>3720</v>
      </c>
      <c r="F131" s="3169">
        <v>1</v>
      </c>
      <c r="G131" s="3169">
        <v>401</v>
      </c>
      <c r="H131" s="3172">
        <v>230.9</v>
      </c>
      <c r="I131" s="3173">
        <v>29264804</v>
      </c>
      <c r="J131" s="3174" t="s">
        <v>3463</v>
      </c>
      <c r="K131" s="3161"/>
      <c r="M131" s="3161"/>
    </row>
    <row r="132" spans="1:13" ht="16.5">
      <c r="A132" s="3168">
        <v>130</v>
      </c>
      <c r="B132" s="3169" t="s">
        <v>3712</v>
      </c>
      <c r="C132" s="3170" t="s">
        <v>3395</v>
      </c>
      <c r="D132" s="3171" t="s">
        <v>3721</v>
      </c>
      <c r="E132" s="3170" t="s">
        <v>3722</v>
      </c>
      <c r="F132" s="3169">
        <v>2</v>
      </c>
      <c r="G132" s="3169">
        <v>101</v>
      </c>
      <c r="H132" s="3172">
        <v>210.99</v>
      </c>
      <c r="I132" s="3173">
        <v>24602294.84</v>
      </c>
      <c r="J132" s="3174" t="s">
        <v>3447</v>
      </c>
      <c r="K132" s="3161"/>
      <c r="M132" s="3161"/>
    </row>
    <row r="133" spans="1:13" ht="16.5">
      <c r="A133" s="3168">
        <v>131</v>
      </c>
      <c r="B133" s="3169" t="s">
        <v>3712</v>
      </c>
      <c r="C133" s="3170" t="s">
        <v>3395</v>
      </c>
      <c r="D133" s="3171" t="s">
        <v>3723</v>
      </c>
      <c r="E133" s="3170" t="s">
        <v>3724</v>
      </c>
      <c r="F133" s="3169">
        <v>2</v>
      </c>
      <c r="G133" s="3169">
        <v>102</v>
      </c>
      <c r="H133" s="3172">
        <v>210.99</v>
      </c>
      <c r="I133" s="3173">
        <v>24602294.84</v>
      </c>
      <c r="J133" s="3174" t="s">
        <v>3447</v>
      </c>
      <c r="K133" s="3161"/>
      <c r="M133" s="3161"/>
    </row>
    <row r="134" spans="1:13" ht="16.5">
      <c r="A134" s="3168">
        <v>132</v>
      </c>
      <c r="B134" s="3169" t="s">
        <v>3712</v>
      </c>
      <c r="C134" s="3170" t="s">
        <v>3395</v>
      </c>
      <c r="D134" s="3171" t="s">
        <v>3725</v>
      </c>
      <c r="E134" s="3170" t="s">
        <v>3726</v>
      </c>
      <c r="F134" s="3169">
        <v>2</v>
      </c>
      <c r="G134" s="3169">
        <v>302</v>
      </c>
      <c r="H134" s="3172">
        <v>221.85</v>
      </c>
      <c r="I134" s="3173">
        <v>27199715.149999999</v>
      </c>
      <c r="J134" s="3174" t="s">
        <v>3447</v>
      </c>
      <c r="K134" s="3161"/>
      <c r="M134" s="3161"/>
    </row>
    <row r="135" spans="1:13" ht="16.5">
      <c r="A135" s="3168">
        <v>133</v>
      </c>
      <c r="B135" s="3169" t="s">
        <v>3712</v>
      </c>
      <c r="C135" s="3170" t="s">
        <v>3395</v>
      </c>
      <c r="D135" s="3171" t="s">
        <v>3727</v>
      </c>
      <c r="E135" s="3170" t="s">
        <v>3728</v>
      </c>
      <c r="F135" s="3169">
        <v>2</v>
      </c>
      <c r="G135" s="3169">
        <v>401</v>
      </c>
      <c r="H135" s="3172">
        <v>221.85</v>
      </c>
      <c r="I135" s="3173">
        <v>26977865.149999999</v>
      </c>
      <c r="J135" s="3174" t="s">
        <v>3447</v>
      </c>
      <c r="K135" s="3161"/>
      <c r="M135" s="3161"/>
    </row>
    <row r="136" spans="1:13" ht="16.5">
      <c r="A136" s="3168">
        <v>134</v>
      </c>
      <c r="B136" s="3169" t="s">
        <v>3712</v>
      </c>
      <c r="C136" s="3170" t="s">
        <v>3395</v>
      </c>
      <c r="D136" s="3171" t="s">
        <v>3729</v>
      </c>
      <c r="E136" s="3170" t="s">
        <v>3730</v>
      </c>
      <c r="F136" s="3169">
        <v>3</v>
      </c>
      <c r="G136" s="3169">
        <v>101</v>
      </c>
      <c r="H136" s="3172">
        <v>210.99</v>
      </c>
      <c r="I136" s="3173">
        <v>24502038.719999999</v>
      </c>
      <c r="J136" s="3174" t="s">
        <v>3447</v>
      </c>
      <c r="K136" s="3161"/>
      <c r="M136" s="3161"/>
    </row>
    <row r="137" spans="1:13" ht="16.5">
      <c r="A137" s="3168">
        <v>135</v>
      </c>
      <c r="B137" s="3169" t="s">
        <v>3712</v>
      </c>
      <c r="C137" s="3170" t="s">
        <v>3395</v>
      </c>
      <c r="D137" s="3171" t="s">
        <v>3731</v>
      </c>
      <c r="E137" s="3170" t="s">
        <v>3732</v>
      </c>
      <c r="F137" s="3169">
        <v>3</v>
      </c>
      <c r="G137" s="3169">
        <v>102</v>
      </c>
      <c r="H137" s="3172">
        <v>219.81</v>
      </c>
      <c r="I137" s="3173">
        <v>26372786.219999999</v>
      </c>
      <c r="J137" s="3174" t="s">
        <v>3447</v>
      </c>
      <c r="K137" s="3161"/>
      <c r="M137" s="3161"/>
    </row>
    <row r="138" spans="1:13" ht="16.5">
      <c r="A138" s="3168">
        <v>136</v>
      </c>
      <c r="B138" s="3169" t="s">
        <v>3712</v>
      </c>
      <c r="C138" s="3170" t="s">
        <v>3395</v>
      </c>
      <c r="D138" s="3171" t="s">
        <v>3733</v>
      </c>
      <c r="E138" s="3170" t="s">
        <v>3734</v>
      </c>
      <c r="F138" s="3169">
        <v>3</v>
      </c>
      <c r="G138" s="3169">
        <v>201</v>
      </c>
      <c r="H138" s="3172">
        <v>221.85</v>
      </c>
      <c r="I138" s="3173">
        <v>25985048.68</v>
      </c>
      <c r="J138" s="3174" t="s">
        <v>3447</v>
      </c>
      <c r="K138" s="3161"/>
      <c r="M138" s="3161"/>
    </row>
    <row r="139" spans="1:13" ht="16.5">
      <c r="A139" s="3168">
        <v>137</v>
      </c>
      <c r="B139" s="3169" t="s">
        <v>3712</v>
      </c>
      <c r="C139" s="3170" t="s">
        <v>3395</v>
      </c>
      <c r="D139" s="3171" t="s">
        <v>3735</v>
      </c>
      <c r="E139" s="3170" t="s">
        <v>3736</v>
      </c>
      <c r="F139" s="3169">
        <v>3</v>
      </c>
      <c r="G139" s="3169">
        <v>202</v>
      </c>
      <c r="H139" s="3172">
        <v>230.9</v>
      </c>
      <c r="I139" s="3173">
        <v>27934263.530000001</v>
      </c>
      <c r="J139" s="3174" t="s">
        <v>3447</v>
      </c>
      <c r="K139" s="3161"/>
      <c r="M139" s="3161"/>
    </row>
    <row r="140" spans="1:13" ht="16.5">
      <c r="A140" s="3168">
        <v>138</v>
      </c>
      <c r="B140" s="3169" t="s">
        <v>3712</v>
      </c>
      <c r="C140" s="3170" t="s">
        <v>3395</v>
      </c>
      <c r="D140" s="3171" t="s">
        <v>3737</v>
      </c>
      <c r="E140" s="3170" t="s">
        <v>3738</v>
      </c>
      <c r="F140" s="3169">
        <v>3</v>
      </c>
      <c r="G140" s="3169">
        <v>301</v>
      </c>
      <c r="H140" s="3172">
        <v>221.85</v>
      </c>
      <c r="I140" s="3173">
        <v>27094298.68</v>
      </c>
      <c r="J140" s="3174" t="s">
        <v>3447</v>
      </c>
      <c r="K140" s="3161"/>
      <c r="M140" s="3161"/>
    </row>
    <row r="141" spans="1:13" ht="16.5">
      <c r="A141" s="3168">
        <v>139</v>
      </c>
      <c r="B141" s="3169" t="s">
        <v>3712</v>
      </c>
      <c r="C141" s="3170" t="s">
        <v>3395</v>
      </c>
      <c r="D141" s="3171" t="s">
        <v>3739</v>
      </c>
      <c r="E141" s="3170" t="s">
        <v>3740</v>
      </c>
      <c r="F141" s="3169">
        <v>3</v>
      </c>
      <c r="G141" s="3169">
        <v>302</v>
      </c>
      <c r="H141" s="3172">
        <v>230.9</v>
      </c>
      <c r="I141" s="3173">
        <v>29088763.530000001</v>
      </c>
      <c r="J141" s="3174" t="s">
        <v>3463</v>
      </c>
      <c r="K141" s="3161"/>
      <c r="M141" s="3161"/>
    </row>
    <row r="142" spans="1:13" ht="16.5">
      <c r="A142" s="3168">
        <v>140</v>
      </c>
      <c r="B142" s="3169" t="s">
        <v>3741</v>
      </c>
      <c r="C142" s="3170" t="s">
        <v>3395</v>
      </c>
      <c r="D142" s="3171" t="s">
        <v>3742</v>
      </c>
      <c r="E142" s="3170" t="s">
        <v>3743</v>
      </c>
      <c r="F142" s="3169">
        <v>1</v>
      </c>
      <c r="G142" s="3169">
        <v>101</v>
      </c>
      <c r="H142" s="3172">
        <v>217.74</v>
      </c>
      <c r="I142" s="3173">
        <v>25658843.050000001</v>
      </c>
      <c r="J142" s="3174" t="s">
        <v>3447</v>
      </c>
      <c r="K142" s="3161"/>
      <c r="M142" s="3161"/>
    </row>
    <row r="143" spans="1:13" ht="16.5">
      <c r="A143" s="3168">
        <v>141</v>
      </c>
      <c r="B143" s="3169" t="s">
        <v>3741</v>
      </c>
      <c r="C143" s="3170" t="s">
        <v>3395</v>
      </c>
      <c r="D143" s="3171" t="s">
        <v>3744</v>
      </c>
      <c r="E143" s="3170" t="s">
        <v>3745</v>
      </c>
      <c r="F143" s="3169">
        <v>1</v>
      </c>
      <c r="G143" s="3169">
        <v>102</v>
      </c>
      <c r="H143" s="3172">
        <v>209.66</v>
      </c>
      <c r="I143" s="3173">
        <v>23778832.109999999</v>
      </c>
      <c r="J143" s="3174" t="s">
        <v>3447</v>
      </c>
      <c r="K143" s="3161"/>
      <c r="M143" s="3161"/>
    </row>
    <row r="144" spans="1:13" ht="16.5">
      <c r="A144" s="3168">
        <v>142</v>
      </c>
      <c r="B144" s="3169" t="s">
        <v>3741</v>
      </c>
      <c r="C144" s="3170" t="s">
        <v>3395</v>
      </c>
      <c r="D144" s="3171" t="s">
        <v>3746</v>
      </c>
      <c r="E144" s="3170" t="s">
        <v>3747</v>
      </c>
      <c r="F144" s="3169">
        <v>1</v>
      </c>
      <c r="G144" s="3169">
        <v>201</v>
      </c>
      <c r="H144" s="3172">
        <v>228.69</v>
      </c>
      <c r="I144" s="3173">
        <v>27177899.23</v>
      </c>
      <c r="J144" s="3174" t="s">
        <v>3458</v>
      </c>
      <c r="K144" s="3161"/>
      <c r="M144" s="3161"/>
    </row>
    <row r="145" spans="1:13" ht="16.5">
      <c r="A145" s="3168">
        <v>143</v>
      </c>
      <c r="B145" s="3169" t="s">
        <v>3741</v>
      </c>
      <c r="C145" s="3170" t="s">
        <v>3395</v>
      </c>
      <c r="D145" s="3171" t="s">
        <v>3748</v>
      </c>
      <c r="E145" s="3170" t="s">
        <v>3749</v>
      </c>
      <c r="F145" s="3169">
        <v>1</v>
      </c>
      <c r="G145" s="3169">
        <v>301</v>
      </c>
      <c r="H145" s="3172">
        <v>228.69</v>
      </c>
      <c r="I145" s="3173">
        <v>28321349.23</v>
      </c>
      <c r="J145" s="3174" t="s">
        <v>3463</v>
      </c>
      <c r="K145" s="3161"/>
      <c r="M145" s="3161"/>
    </row>
    <row r="146" spans="1:13" ht="16.5">
      <c r="A146" s="3168">
        <v>144</v>
      </c>
      <c r="B146" s="3169" t="s">
        <v>3741</v>
      </c>
      <c r="C146" s="3170" t="s">
        <v>3395</v>
      </c>
      <c r="D146" s="3171" t="s">
        <v>3750</v>
      </c>
      <c r="E146" s="3170" t="s">
        <v>3751</v>
      </c>
      <c r="F146" s="3169">
        <v>2</v>
      </c>
      <c r="G146" s="3169">
        <v>101</v>
      </c>
      <c r="H146" s="3172">
        <v>209.66</v>
      </c>
      <c r="I146" s="3173">
        <v>24198152.109999999</v>
      </c>
      <c r="J146" s="3174" t="s">
        <v>3447</v>
      </c>
      <c r="K146" s="3161"/>
      <c r="M146" s="3161"/>
    </row>
    <row r="147" spans="1:13" ht="16.5">
      <c r="A147" s="3168">
        <v>145</v>
      </c>
      <c r="B147" s="3169" t="s">
        <v>3741</v>
      </c>
      <c r="C147" s="3170" t="s">
        <v>3395</v>
      </c>
      <c r="D147" s="3171" t="s">
        <v>3752</v>
      </c>
      <c r="E147" s="3170" t="s">
        <v>3753</v>
      </c>
      <c r="F147" s="3169">
        <v>2</v>
      </c>
      <c r="G147" s="3169">
        <v>102</v>
      </c>
      <c r="H147" s="3172">
        <v>209.66</v>
      </c>
      <c r="I147" s="3173">
        <v>24198152.109999999</v>
      </c>
      <c r="J147" s="3174" t="s">
        <v>3447</v>
      </c>
      <c r="K147" s="3161"/>
      <c r="M147" s="3161"/>
    </row>
    <row r="148" spans="1:13" ht="16.5">
      <c r="A148" s="3168">
        <v>146</v>
      </c>
      <c r="B148" s="3169" t="s">
        <v>3741</v>
      </c>
      <c r="C148" s="3170" t="s">
        <v>3395</v>
      </c>
      <c r="D148" s="3171" t="s">
        <v>3754</v>
      </c>
      <c r="E148" s="3170" t="s">
        <v>3755</v>
      </c>
      <c r="F148" s="3169">
        <v>3</v>
      </c>
      <c r="G148" s="3169">
        <v>301</v>
      </c>
      <c r="H148" s="3172">
        <v>220.37</v>
      </c>
      <c r="I148" s="3173">
        <v>26756479.18</v>
      </c>
      <c r="J148" s="3174" t="s">
        <v>3463</v>
      </c>
      <c r="K148" s="3161"/>
      <c r="M148" s="3161"/>
    </row>
    <row r="149" spans="1:13" ht="16.5">
      <c r="A149" s="3168">
        <v>147</v>
      </c>
      <c r="B149" s="3169" t="s">
        <v>3756</v>
      </c>
      <c r="C149" s="3170" t="s">
        <v>3395</v>
      </c>
      <c r="D149" s="3171" t="s">
        <v>3757</v>
      </c>
      <c r="E149" s="3170" t="s">
        <v>3758</v>
      </c>
      <c r="F149" s="3169">
        <v>1</v>
      </c>
      <c r="G149" s="3169">
        <v>101</v>
      </c>
      <c r="H149" s="3172">
        <v>217.75</v>
      </c>
      <c r="I149" s="3173">
        <v>25660021.469999999</v>
      </c>
      <c r="J149" s="3174" t="s">
        <v>3447</v>
      </c>
      <c r="K149" s="3161"/>
      <c r="M149" s="3161"/>
    </row>
    <row r="150" spans="1:13" ht="16.5">
      <c r="A150" s="3168">
        <v>148</v>
      </c>
      <c r="B150" s="3169" t="s">
        <v>3756</v>
      </c>
      <c r="C150" s="3170" t="s">
        <v>3395</v>
      </c>
      <c r="D150" s="3171" t="s">
        <v>3759</v>
      </c>
      <c r="E150" s="3170" t="s">
        <v>3760</v>
      </c>
      <c r="F150" s="3169">
        <v>1</v>
      </c>
      <c r="G150" s="3169">
        <v>201</v>
      </c>
      <c r="H150" s="3172">
        <v>228.69</v>
      </c>
      <c r="I150" s="3173">
        <v>27177899.23</v>
      </c>
      <c r="J150" s="3174" t="s">
        <v>3447</v>
      </c>
      <c r="K150" s="3161"/>
      <c r="M150" s="3161"/>
    </row>
    <row r="151" spans="1:13" ht="16.5">
      <c r="A151" s="3168">
        <v>149</v>
      </c>
      <c r="B151" s="3169" t="s">
        <v>3756</v>
      </c>
      <c r="C151" s="3170" t="s">
        <v>3395</v>
      </c>
      <c r="D151" s="3171" t="s">
        <v>3761</v>
      </c>
      <c r="E151" s="3170" t="s">
        <v>3762</v>
      </c>
      <c r="F151" s="3169">
        <v>1</v>
      </c>
      <c r="G151" s="3169">
        <v>202</v>
      </c>
      <c r="H151" s="3172">
        <v>220.38</v>
      </c>
      <c r="I151" s="3173">
        <v>25655793.34</v>
      </c>
      <c r="J151" s="3174" t="s">
        <v>3463</v>
      </c>
      <c r="K151" s="3161"/>
      <c r="M151" s="3161"/>
    </row>
    <row r="152" spans="1:13" ht="16.5">
      <c r="A152" s="3168">
        <v>150</v>
      </c>
      <c r="B152" s="3169" t="s">
        <v>3756</v>
      </c>
      <c r="C152" s="3170" t="s">
        <v>3395</v>
      </c>
      <c r="D152" s="3171" t="s">
        <v>3763</v>
      </c>
      <c r="E152" s="3170" t="s">
        <v>3764</v>
      </c>
      <c r="F152" s="3169">
        <v>2</v>
      </c>
      <c r="G152" s="3169">
        <v>101</v>
      </c>
      <c r="H152" s="3172">
        <v>209.67</v>
      </c>
      <c r="I152" s="3173">
        <v>24199306.27</v>
      </c>
      <c r="J152" s="3174" t="s">
        <v>3463</v>
      </c>
      <c r="K152" s="3161"/>
      <c r="M152" s="3161"/>
    </row>
    <row r="153" spans="1:13" ht="16.5">
      <c r="A153" s="3168">
        <v>151</v>
      </c>
      <c r="B153" s="3169" t="s">
        <v>3756</v>
      </c>
      <c r="C153" s="3170" t="s">
        <v>3395</v>
      </c>
      <c r="D153" s="3171" t="s">
        <v>3765</v>
      </c>
      <c r="E153" s="3170" t="s">
        <v>3766</v>
      </c>
      <c r="F153" s="3169">
        <v>2</v>
      </c>
      <c r="G153" s="3169">
        <v>402</v>
      </c>
      <c r="H153" s="3172">
        <v>220.38</v>
      </c>
      <c r="I153" s="3173">
        <v>26537313.34</v>
      </c>
      <c r="J153" s="3174" t="s">
        <v>3463</v>
      </c>
      <c r="K153" s="3161"/>
      <c r="M153" s="3161"/>
    </row>
    <row r="154" spans="1:13" ht="16.5">
      <c r="A154" s="3168">
        <v>152</v>
      </c>
      <c r="B154" s="3169" t="s">
        <v>3756</v>
      </c>
      <c r="C154" s="3170" t="s">
        <v>3395</v>
      </c>
      <c r="D154" s="3171" t="s">
        <v>3767</v>
      </c>
      <c r="E154" s="3170" t="s">
        <v>3768</v>
      </c>
      <c r="F154" s="3169">
        <v>3</v>
      </c>
      <c r="G154" s="3169">
        <v>101</v>
      </c>
      <c r="H154" s="3172">
        <v>209.67</v>
      </c>
      <c r="I154" s="3173">
        <v>24094471.27</v>
      </c>
      <c r="J154" s="3174" t="s">
        <v>3447</v>
      </c>
      <c r="K154" s="3161"/>
      <c r="M154" s="3161"/>
    </row>
    <row r="155" spans="1:13" ht="16.5">
      <c r="A155" s="3168">
        <v>153</v>
      </c>
      <c r="B155" s="3169" t="s">
        <v>3756</v>
      </c>
      <c r="C155" s="3170" t="s">
        <v>3395</v>
      </c>
      <c r="D155" s="3171" t="s">
        <v>3769</v>
      </c>
      <c r="E155" s="3170" t="s">
        <v>3770</v>
      </c>
      <c r="F155" s="3169">
        <v>3</v>
      </c>
      <c r="G155" s="3169">
        <v>102</v>
      </c>
      <c r="H155" s="3172">
        <v>217.75</v>
      </c>
      <c r="I155" s="3173">
        <v>25706349.960000001</v>
      </c>
      <c r="J155" s="3174" t="s">
        <v>3447</v>
      </c>
      <c r="K155" s="3161"/>
      <c r="M155" s="3161"/>
    </row>
    <row r="156" spans="1:13" ht="16.5">
      <c r="A156" s="3168">
        <v>154</v>
      </c>
      <c r="B156" s="3169" t="s">
        <v>3771</v>
      </c>
      <c r="C156" s="3170" t="s">
        <v>3395</v>
      </c>
      <c r="D156" s="3171" t="s">
        <v>3772</v>
      </c>
      <c r="E156" s="3170" t="s">
        <v>3773</v>
      </c>
      <c r="F156" s="3169">
        <v>1</v>
      </c>
      <c r="G156" s="3169">
        <v>102</v>
      </c>
      <c r="H156" s="3172">
        <v>168.11</v>
      </c>
      <c r="I156" s="3173">
        <v>19642251.460000001</v>
      </c>
      <c r="J156" s="3174" t="s">
        <v>3447</v>
      </c>
      <c r="K156" s="3161"/>
      <c r="M156" s="3161"/>
    </row>
    <row r="157" spans="1:13" ht="16.5">
      <c r="A157" s="3168">
        <v>155</v>
      </c>
      <c r="B157" s="3169" t="s">
        <v>3771</v>
      </c>
      <c r="C157" s="3170" t="s">
        <v>3395</v>
      </c>
      <c r="D157" s="3171" t="s">
        <v>3774</v>
      </c>
      <c r="E157" s="3170" t="s">
        <v>3775</v>
      </c>
      <c r="F157" s="3169">
        <v>2</v>
      </c>
      <c r="G157" s="3169">
        <v>101</v>
      </c>
      <c r="H157" s="3172">
        <v>168.11</v>
      </c>
      <c r="I157" s="3173">
        <v>19642251.460000001</v>
      </c>
      <c r="J157" s="3174" t="s">
        <v>3447</v>
      </c>
      <c r="K157" s="3161"/>
      <c r="M157" s="3161"/>
    </row>
    <row r="158" spans="1:13" ht="16.5">
      <c r="A158" s="3168">
        <v>156</v>
      </c>
      <c r="B158" s="3169" t="s">
        <v>3771</v>
      </c>
      <c r="C158" s="3170" t="s">
        <v>3395</v>
      </c>
      <c r="D158" s="3171" t="s">
        <v>3776</v>
      </c>
      <c r="E158" s="3170" t="s">
        <v>3777</v>
      </c>
      <c r="F158" s="3169">
        <v>2</v>
      </c>
      <c r="G158" s="3169">
        <v>102</v>
      </c>
      <c r="H158" s="3172">
        <v>184.49</v>
      </c>
      <c r="I158" s="3173">
        <v>21556119.699999999</v>
      </c>
      <c r="J158" s="3174" t="s">
        <v>3458</v>
      </c>
      <c r="K158" s="3161"/>
      <c r="M158" s="3161"/>
    </row>
    <row r="159" spans="1:13" ht="16.5">
      <c r="A159" s="3168">
        <v>157</v>
      </c>
      <c r="B159" s="3169" t="s">
        <v>3771</v>
      </c>
      <c r="C159" s="3170" t="s">
        <v>3395</v>
      </c>
      <c r="D159" s="3171" t="s">
        <v>3778</v>
      </c>
      <c r="E159" s="3170" t="s">
        <v>3779</v>
      </c>
      <c r="F159" s="3169">
        <v>3</v>
      </c>
      <c r="G159" s="3169">
        <v>101</v>
      </c>
      <c r="H159" s="3172">
        <v>168.11</v>
      </c>
      <c r="I159" s="3173">
        <v>19642251.460000001</v>
      </c>
      <c r="J159" s="3174" t="s">
        <v>3447</v>
      </c>
    </row>
    <row r="160" spans="1:13" ht="16.5">
      <c r="A160" s="3168">
        <v>158</v>
      </c>
      <c r="B160" s="3169" t="s">
        <v>3771</v>
      </c>
      <c r="C160" s="3170" t="s">
        <v>3395</v>
      </c>
      <c r="D160" s="3171" t="s">
        <v>3780</v>
      </c>
      <c r="E160" s="3170" t="s">
        <v>3781</v>
      </c>
      <c r="F160" s="3169">
        <v>3</v>
      </c>
      <c r="G160" s="3169">
        <v>102</v>
      </c>
      <c r="H160" s="3172">
        <v>184.99</v>
      </c>
      <c r="I160" s="3173">
        <v>21614538.68</v>
      </c>
      <c r="J160" s="3174" t="s">
        <v>3447</v>
      </c>
    </row>
    <row r="161" spans="1:10" ht="16.5">
      <c r="A161" s="3168">
        <v>159</v>
      </c>
      <c r="B161" s="3169" t="s">
        <v>3771</v>
      </c>
      <c r="C161" s="3170" t="s">
        <v>3395</v>
      </c>
      <c r="D161" s="3172" t="s">
        <v>3782</v>
      </c>
      <c r="E161" s="3170" t="s">
        <v>3783</v>
      </c>
      <c r="F161" s="3169">
        <v>3</v>
      </c>
      <c r="G161" s="3169">
        <v>302</v>
      </c>
      <c r="H161" s="3172">
        <v>185.02</v>
      </c>
      <c r="I161" s="3173">
        <v>22728165.780000001</v>
      </c>
      <c r="J161" s="3174" t="s">
        <v>3463</v>
      </c>
    </row>
    <row r="162" spans="1:10" ht="16.5">
      <c r="A162" s="3168">
        <v>160</v>
      </c>
      <c r="B162" s="3169" t="s">
        <v>3784</v>
      </c>
      <c r="C162" s="3170" t="s">
        <v>3395</v>
      </c>
      <c r="D162" s="3171" t="s">
        <v>3785</v>
      </c>
      <c r="E162" s="3170" t="s">
        <v>3786</v>
      </c>
      <c r="F162" s="3169">
        <v>1</v>
      </c>
      <c r="G162" s="3169">
        <v>101</v>
      </c>
      <c r="H162" s="3172">
        <v>192.38</v>
      </c>
      <c r="I162" s="3173">
        <v>22001827.27</v>
      </c>
      <c r="J162" s="3174" t="s">
        <v>3447</v>
      </c>
    </row>
    <row r="163" spans="1:10" ht="16.5">
      <c r="A163" s="3168">
        <v>161</v>
      </c>
      <c r="B163" s="3169" t="s">
        <v>3784</v>
      </c>
      <c r="C163" s="3170" t="s">
        <v>3395</v>
      </c>
      <c r="D163" s="3171" t="s">
        <v>3787</v>
      </c>
      <c r="E163" s="3170" t="s">
        <v>3788</v>
      </c>
      <c r="F163" s="3169">
        <v>1</v>
      </c>
      <c r="G163" s="3169">
        <v>102</v>
      </c>
      <c r="H163" s="3172">
        <v>167.95</v>
      </c>
      <c r="I163" s="3173">
        <v>19207853.68</v>
      </c>
      <c r="J163" s="3174" t="s">
        <v>3447</v>
      </c>
    </row>
    <row r="164" spans="1:10" ht="16.5">
      <c r="A164" s="3168">
        <v>162</v>
      </c>
      <c r="B164" s="3169" t="s">
        <v>3784</v>
      </c>
      <c r="C164" s="3170" t="s">
        <v>3395</v>
      </c>
      <c r="D164" s="3172" t="s">
        <v>3789</v>
      </c>
      <c r="E164" s="3170" t="s">
        <v>3790</v>
      </c>
      <c r="F164" s="3169">
        <v>1</v>
      </c>
      <c r="G164" s="3169">
        <v>201</v>
      </c>
      <c r="H164" s="3172">
        <v>192.4</v>
      </c>
      <c r="I164" s="3173">
        <v>22388914.600000001</v>
      </c>
      <c r="J164" s="3174" t="s">
        <v>3447</v>
      </c>
    </row>
    <row r="165" spans="1:10" ht="16.5">
      <c r="A165" s="3168">
        <v>163</v>
      </c>
      <c r="B165" s="3169" t="s">
        <v>3784</v>
      </c>
      <c r="C165" s="3170" t="s">
        <v>3395</v>
      </c>
      <c r="D165" s="3172" t="s">
        <v>3791</v>
      </c>
      <c r="E165" s="3170" t="s">
        <v>3792</v>
      </c>
      <c r="F165" s="3169">
        <v>1</v>
      </c>
      <c r="G165" s="3169">
        <v>301</v>
      </c>
      <c r="H165" s="3172">
        <v>192.4</v>
      </c>
      <c r="I165" s="3173">
        <v>23543314.600000001</v>
      </c>
      <c r="J165" s="3174" t="s">
        <v>3447</v>
      </c>
    </row>
    <row r="166" spans="1:10" ht="16.5">
      <c r="A166" s="3168">
        <v>164</v>
      </c>
      <c r="B166" s="3169" t="s">
        <v>3784</v>
      </c>
      <c r="C166" s="3170" t="s">
        <v>3395</v>
      </c>
      <c r="D166" s="3172" t="s">
        <v>3793</v>
      </c>
      <c r="E166" s="3170" t="s">
        <v>3794</v>
      </c>
      <c r="F166" s="3169">
        <v>1</v>
      </c>
      <c r="G166" s="3169">
        <v>302</v>
      </c>
      <c r="H166" s="3172">
        <v>184.35</v>
      </c>
      <c r="I166" s="3173">
        <v>22558264.280000001</v>
      </c>
      <c r="J166" s="3174" t="s">
        <v>3447</v>
      </c>
    </row>
    <row r="167" spans="1:10" ht="16.5">
      <c r="A167" s="3168">
        <v>165</v>
      </c>
      <c r="B167" s="3169" t="s">
        <v>3784</v>
      </c>
      <c r="C167" s="3170" t="s">
        <v>3395</v>
      </c>
      <c r="D167" s="3172" t="s">
        <v>3795</v>
      </c>
      <c r="E167" s="3170" t="s">
        <v>3796</v>
      </c>
      <c r="F167" s="3169">
        <v>1</v>
      </c>
      <c r="G167" s="3169">
        <v>401</v>
      </c>
      <c r="H167" s="3172">
        <v>192.4</v>
      </c>
      <c r="I167" s="3173">
        <v>23350914.600000001</v>
      </c>
      <c r="J167" s="3174" t="s">
        <v>3447</v>
      </c>
    </row>
    <row r="168" spans="1:10" ht="16.5">
      <c r="A168" s="3168">
        <v>166</v>
      </c>
      <c r="B168" s="3169" t="s">
        <v>3784</v>
      </c>
      <c r="C168" s="3170" t="s">
        <v>3395</v>
      </c>
      <c r="D168" s="3171" t="s">
        <v>3797</v>
      </c>
      <c r="E168" s="3170" t="s">
        <v>3798</v>
      </c>
      <c r="F168" s="3169">
        <v>2</v>
      </c>
      <c r="G168" s="3169">
        <v>101</v>
      </c>
      <c r="H168" s="3172">
        <v>167.95</v>
      </c>
      <c r="I168" s="3173">
        <v>19543753.68</v>
      </c>
      <c r="J168" s="3174" t="s">
        <v>3447</v>
      </c>
    </row>
    <row r="169" spans="1:10" ht="16.5">
      <c r="A169" s="3168">
        <v>167</v>
      </c>
      <c r="B169" s="3169" t="s">
        <v>3799</v>
      </c>
      <c r="C169" s="3170" t="s">
        <v>3395</v>
      </c>
      <c r="D169" s="3171" t="s">
        <v>3800</v>
      </c>
      <c r="E169" s="3170" t="s">
        <v>3801</v>
      </c>
      <c r="F169" s="3169">
        <v>1</v>
      </c>
      <c r="G169" s="3169">
        <v>101</v>
      </c>
      <c r="H169" s="3172">
        <v>184.92</v>
      </c>
      <c r="I169" s="3173">
        <v>22101176.100000001</v>
      </c>
      <c r="J169" s="3174" t="s">
        <v>3447</v>
      </c>
    </row>
    <row r="170" spans="1:10" ht="16.5">
      <c r="A170" s="3168">
        <v>168</v>
      </c>
      <c r="B170" s="3169" t="s">
        <v>3799</v>
      </c>
      <c r="C170" s="3170" t="s">
        <v>3395</v>
      </c>
      <c r="D170" s="3171" t="s">
        <v>3802</v>
      </c>
      <c r="E170" s="3170" t="s">
        <v>3803</v>
      </c>
      <c r="F170" s="3169">
        <v>1</v>
      </c>
      <c r="G170" s="3169">
        <v>102</v>
      </c>
      <c r="H170" s="3172">
        <v>168.05</v>
      </c>
      <c r="I170" s="3173">
        <v>19710920.600000001</v>
      </c>
      <c r="J170" s="3174" t="s">
        <v>3447</v>
      </c>
    </row>
    <row r="171" spans="1:10" ht="16.5">
      <c r="A171" s="3168">
        <v>169</v>
      </c>
      <c r="B171" s="3169" t="s">
        <v>3799</v>
      </c>
      <c r="C171" s="3170" t="s">
        <v>3395</v>
      </c>
      <c r="D171" s="3171" t="s">
        <v>3804</v>
      </c>
      <c r="E171" s="3170" t="s">
        <v>3805</v>
      </c>
      <c r="F171" s="3169">
        <v>1</v>
      </c>
      <c r="G171" s="3169">
        <v>201</v>
      </c>
      <c r="H171" s="3172">
        <v>184.96</v>
      </c>
      <c r="I171" s="3173">
        <v>22290918.649999999</v>
      </c>
      <c r="J171" s="3174" t="s">
        <v>3447</v>
      </c>
    </row>
    <row r="172" spans="1:10" ht="16.5">
      <c r="A172" s="3168">
        <v>170</v>
      </c>
      <c r="B172" s="3169" t="s">
        <v>3799</v>
      </c>
      <c r="C172" s="3170" t="s">
        <v>3395</v>
      </c>
      <c r="D172" s="3171" t="s">
        <v>3806</v>
      </c>
      <c r="E172" s="3170" t="s">
        <v>3807</v>
      </c>
      <c r="F172" s="3169">
        <v>1</v>
      </c>
      <c r="G172" s="3169">
        <v>302</v>
      </c>
      <c r="H172" s="3172">
        <v>184.96</v>
      </c>
      <c r="I172" s="3173">
        <v>22804088.32</v>
      </c>
      <c r="J172" s="3174" t="s">
        <v>3463</v>
      </c>
    </row>
    <row r="173" spans="1:10" ht="16.5">
      <c r="A173" s="3168">
        <v>171</v>
      </c>
      <c r="B173" s="3169" t="s">
        <v>3799</v>
      </c>
      <c r="C173" s="3170" t="s">
        <v>3395</v>
      </c>
      <c r="D173" s="3175" t="s">
        <v>3808</v>
      </c>
      <c r="E173" s="3170" t="s">
        <v>3809</v>
      </c>
      <c r="F173" s="3169">
        <v>1</v>
      </c>
      <c r="G173" s="3169">
        <v>401</v>
      </c>
      <c r="H173" s="3172">
        <v>184.96</v>
      </c>
      <c r="I173" s="3173">
        <v>23030758.649999999</v>
      </c>
      <c r="J173" s="3174" t="s">
        <v>3447</v>
      </c>
    </row>
    <row r="174" spans="1:10" ht="16.5">
      <c r="A174" s="3168">
        <v>172</v>
      </c>
      <c r="B174" s="3169" t="s">
        <v>3810</v>
      </c>
      <c r="C174" s="3170" t="s">
        <v>3395</v>
      </c>
      <c r="D174" s="3172" t="s">
        <v>3811</v>
      </c>
      <c r="E174" s="3170" t="s">
        <v>3812</v>
      </c>
      <c r="F174" s="3169">
        <v>1</v>
      </c>
      <c r="G174" s="3169">
        <v>102</v>
      </c>
      <c r="H174" s="3172">
        <v>192.52</v>
      </c>
      <c r="I174" s="3173">
        <v>23230972.559999999</v>
      </c>
      <c r="J174" s="3174" t="s">
        <v>3463</v>
      </c>
    </row>
    <row r="175" spans="1:10" ht="16.5">
      <c r="A175" s="3168">
        <v>173</v>
      </c>
      <c r="B175" s="3169" t="s">
        <v>3810</v>
      </c>
      <c r="C175" s="3170" t="s">
        <v>3395</v>
      </c>
      <c r="D175" s="3172" t="s">
        <v>3813</v>
      </c>
      <c r="E175" s="3170" t="s">
        <v>3814</v>
      </c>
      <c r="F175" s="3169">
        <v>1</v>
      </c>
      <c r="G175" s="3169">
        <v>301</v>
      </c>
      <c r="H175" s="3172">
        <v>192.54</v>
      </c>
      <c r="I175" s="3173">
        <v>24388625.91</v>
      </c>
      <c r="J175" s="3174" t="s">
        <v>3447</v>
      </c>
    </row>
    <row r="176" spans="1:10" ht="16.5">
      <c r="A176" s="3168">
        <v>174</v>
      </c>
      <c r="B176" s="3169" t="s">
        <v>3815</v>
      </c>
      <c r="C176" s="3170" t="s">
        <v>3395</v>
      </c>
      <c r="D176" s="3172" t="s">
        <v>3816</v>
      </c>
      <c r="E176" s="3170" t="s">
        <v>3817</v>
      </c>
      <c r="F176" s="3169">
        <v>1</v>
      </c>
      <c r="G176" s="3169">
        <v>102</v>
      </c>
      <c r="H176" s="3172">
        <v>168.04</v>
      </c>
      <c r="I176" s="3173">
        <v>19713920.109999999</v>
      </c>
      <c r="J176" s="3174" t="s">
        <v>3447</v>
      </c>
    </row>
    <row r="177" spans="1:10" ht="16.5">
      <c r="A177" s="3168">
        <v>175</v>
      </c>
      <c r="B177" s="3169" t="s">
        <v>3815</v>
      </c>
      <c r="C177" s="3170" t="s">
        <v>3395</v>
      </c>
      <c r="D177" s="3171" t="s">
        <v>3818</v>
      </c>
      <c r="E177" s="3170" t="s">
        <v>3819</v>
      </c>
      <c r="F177" s="3169">
        <v>2</v>
      </c>
      <c r="G177" s="3169">
        <v>101</v>
      </c>
      <c r="H177" s="3172">
        <v>168.04</v>
      </c>
      <c r="I177" s="3173">
        <v>19713920.109999999</v>
      </c>
      <c r="J177" s="3174" t="s">
        <v>3447</v>
      </c>
    </row>
    <row r="178" spans="1:10" ht="16.5">
      <c r="A178" s="3168">
        <v>176</v>
      </c>
      <c r="B178" s="3169" t="s">
        <v>3815</v>
      </c>
      <c r="C178" s="3170" t="s">
        <v>3395</v>
      </c>
      <c r="D178" s="3172" t="s">
        <v>3820</v>
      </c>
      <c r="E178" s="3170" t="s">
        <v>3821</v>
      </c>
      <c r="F178" s="3169">
        <v>2</v>
      </c>
      <c r="G178" s="3169">
        <v>301</v>
      </c>
      <c r="H178" s="3172">
        <v>184.45</v>
      </c>
      <c r="I178" s="3173">
        <v>22745789.289999999</v>
      </c>
      <c r="J178" s="3174" t="s">
        <v>3463</v>
      </c>
    </row>
    <row r="179" spans="1:10" ht="16.5">
      <c r="A179" s="3168">
        <v>177</v>
      </c>
      <c r="B179" s="3169" t="s">
        <v>3815</v>
      </c>
      <c r="C179" s="3170" t="s">
        <v>3395</v>
      </c>
      <c r="D179" s="3172" t="s">
        <v>3822</v>
      </c>
      <c r="E179" s="3170" t="s">
        <v>3823</v>
      </c>
      <c r="F179" s="3169">
        <v>2</v>
      </c>
      <c r="G179" s="3169">
        <v>402</v>
      </c>
      <c r="H179" s="3172">
        <v>184.45</v>
      </c>
      <c r="I179" s="3173">
        <v>22561339.289999999</v>
      </c>
      <c r="J179" s="3174" t="s">
        <v>3463</v>
      </c>
    </row>
    <row r="180" spans="1:10" ht="16.5">
      <c r="A180" s="3168">
        <v>178</v>
      </c>
      <c r="B180" s="3169" t="s">
        <v>3815</v>
      </c>
      <c r="C180" s="3170" t="s">
        <v>3395</v>
      </c>
      <c r="D180" s="3171" t="s">
        <v>3824</v>
      </c>
      <c r="E180" s="3170" t="s">
        <v>3825</v>
      </c>
      <c r="F180" s="3169">
        <v>3</v>
      </c>
      <c r="G180" s="3169">
        <v>101</v>
      </c>
      <c r="H180" s="3172">
        <v>168.04</v>
      </c>
      <c r="I180" s="3173">
        <v>19634072.550000001</v>
      </c>
      <c r="J180" s="3174" t="s">
        <v>3447</v>
      </c>
    </row>
    <row r="181" spans="1:10" ht="16.5">
      <c r="A181" s="3168">
        <v>179</v>
      </c>
      <c r="B181" s="3169" t="s">
        <v>3815</v>
      </c>
      <c r="C181" s="3170" t="s">
        <v>3395</v>
      </c>
      <c r="D181" s="3171" t="s">
        <v>3826</v>
      </c>
      <c r="E181" s="3170" t="s">
        <v>3827</v>
      </c>
      <c r="F181" s="3169">
        <v>3</v>
      </c>
      <c r="G181" s="3169">
        <v>102</v>
      </c>
      <c r="H181" s="3172">
        <v>184.91</v>
      </c>
      <c r="I181" s="3173">
        <v>21605191.350000001</v>
      </c>
      <c r="J181" s="3174" t="s">
        <v>3447</v>
      </c>
    </row>
    <row r="182" spans="1:10" ht="16.5">
      <c r="A182" s="3168">
        <v>180</v>
      </c>
      <c r="B182" s="3169" t="s">
        <v>3828</v>
      </c>
      <c r="C182" s="3170" t="s">
        <v>3395</v>
      </c>
      <c r="D182" s="3172" t="s">
        <v>3829</v>
      </c>
      <c r="E182" s="3170" t="s">
        <v>3830</v>
      </c>
      <c r="F182" s="3169">
        <v>1</v>
      </c>
      <c r="G182" s="3169">
        <v>101</v>
      </c>
      <c r="H182" s="3172">
        <v>192.5</v>
      </c>
      <c r="I182" s="3173">
        <v>21409370.68</v>
      </c>
      <c r="J182" s="3174" t="s">
        <v>3447</v>
      </c>
    </row>
    <row r="183" spans="1:10" ht="16.5">
      <c r="A183" s="3168">
        <v>181</v>
      </c>
      <c r="B183" s="3169" t="s">
        <v>3828</v>
      </c>
      <c r="C183" s="3170" t="s">
        <v>3395</v>
      </c>
      <c r="D183" s="3172" t="s">
        <v>3831</v>
      </c>
      <c r="E183" s="3170" t="s">
        <v>3832</v>
      </c>
      <c r="F183" s="3169">
        <v>1</v>
      </c>
      <c r="G183" s="3169">
        <v>102</v>
      </c>
      <c r="H183" s="3172">
        <v>161.81</v>
      </c>
      <c r="I183" s="3173">
        <v>18574493.52</v>
      </c>
      <c r="J183" s="3174" t="s">
        <v>3447</v>
      </c>
    </row>
    <row r="184" spans="1:10" ht="16.5">
      <c r="A184" s="3168">
        <v>182</v>
      </c>
      <c r="B184" s="3169" t="s">
        <v>3828</v>
      </c>
      <c r="C184" s="3170" t="s">
        <v>3395</v>
      </c>
      <c r="D184" s="3172" t="s">
        <v>3833</v>
      </c>
      <c r="E184" s="3170" t="s">
        <v>3834</v>
      </c>
      <c r="F184" s="3169">
        <v>1</v>
      </c>
      <c r="G184" s="3169">
        <v>201</v>
      </c>
      <c r="H184" s="3172">
        <v>192.52</v>
      </c>
      <c r="I184" s="3173">
        <v>21989153.100000001</v>
      </c>
      <c r="J184" s="3174" t="s">
        <v>3447</v>
      </c>
    </row>
    <row r="185" spans="1:10" ht="16.5">
      <c r="A185" s="3168">
        <v>183</v>
      </c>
      <c r="B185" s="3169" t="s">
        <v>3828</v>
      </c>
      <c r="C185" s="3170" t="s">
        <v>3395</v>
      </c>
      <c r="D185" s="3171" t="s">
        <v>3835</v>
      </c>
      <c r="E185" s="3170" t="s">
        <v>3836</v>
      </c>
      <c r="F185" s="3169">
        <v>1</v>
      </c>
      <c r="G185" s="3169">
        <v>202</v>
      </c>
      <c r="H185" s="3172">
        <v>184.46</v>
      </c>
      <c r="I185" s="3173">
        <v>21727912.32</v>
      </c>
      <c r="J185" s="3174" t="s">
        <v>3447</v>
      </c>
    </row>
    <row r="186" spans="1:10" ht="16.5">
      <c r="A186" s="3168">
        <v>184</v>
      </c>
      <c r="B186" s="3169" t="s">
        <v>3828</v>
      </c>
      <c r="C186" s="3170" t="s">
        <v>3395</v>
      </c>
      <c r="D186" s="3172" t="s">
        <v>3837</v>
      </c>
      <c r="E186" s="3170" t="s">
        <v>3838</v>
      </c>
      <c r="F186" s="3169">
        <v>1</v>
      </c>
      <c r="G186" s="3169">
        <v>301</v>
      </c>
      <c r="H186" s="3172">
        <v>192.52</v>
      </c>
      <c r="I186" s="3173">
        <v>22951753.100000001</v>
      </c>
      <c r="J186" s="3174" t="s">
        <v>3447</v>
      </c>
    </row>
    <row r="187" spans="1:10" ht="16.5">
      <c r="A187" s="3168">
        <v>185</v>
      </c>
      <c r="B187" s="3169" t="s">
        <v>3828</v>
      </c>
      <c r="C187" s="3170" t="s">
        <v>3395</v>
      </c>
      <c r="D187" s="3172" t="s">
        <v>3839</v>
      </c>
      <c r="E187" s="3170" t="s">
        <v>3840</v>
      </c>
      <c r="F187" s="3169">
        <v>1</v>
      </c>
      <c r="G187" s="3169">
        <v>401</v>
      </c>
      <c r="H187" s="3172">
        <v>192.52</v>
      </c>
      <c r="I187" s="3173">
        <v>22759233.100000001</v>
      </c>
      <c r="J187" s="3174" t="s">
        <v>3447</v>
      </c>
    </row>
    <row r="188" spans="1:10" ht="16.5">
      <c r="A188" s="3168">
        <v>186</v>
      </c>
      <c r="B188" s="3169" t="s">
        <v>3828</v>
      </c>
      <c r="C188" s="3170" t="s">
        <v>3395</v>
      </c>
      <c r="D188" s="3171" t="s">
        <v>3841</v>
      </c>
      <c r="E188" s="3170" t="s">
        <v>3842</v>
      </c>
      <c r="F188" s="3169">
        <v>1</v>
      </c>
      <c r="G188" s="3169">
        <v>402</v>
      </c>
      <c r="H188" s="3172">
        <v>184.46</v>
      </c>
      <c r="I188" s="3173">
        <v>22465752.32</v>
      </c>
      <c r="J188" s="3174" t="s">
        <v>3447</v>
      </c>
    </row>
    <row r="189" spans="1:10" ht="16.5">
      <c r="A189" s="3168">
        <v>187</v>
      </c>
      <c r="B189" s="3169" t="s">
        <v>3828</v>
      </c>
      <c r="C189" s="3170" t="s">
        <v>3395</v>
      </c>
      <c r="D189" s="3172" t="s">
        <v>3843</v>
      </c>
      <c r="E189" s="3170" t="s">
        <v>3844</v>
      </c>
      <c r="F189" s="3169">
        <v>2</v>
      </c>
      <c r="G189" s="3169">
        <v>101</v>
      </c>
      <c r="H189" s="3172">
        <v>161.81</v>
      </c>
      <c r="I189" s="3173">
        <v>18728266.420000002</v>
      </c>
      <c r="J189" s="3174" t="s">
        <v>3447</v>
      </c>
    </row>
    <row r="190" spans="1:10" ht="16.5">
      <c r="A190" s="3168">
        <v>188</v>
      </c>
      <c r="B190" s="3169" t="s">
        <v>3828</v>
      </c>
      <c r="C190" s="3170" t="s">
        <v>3395</v>
      </c>
      <c r="D190" s="3172" t="s">
        <v>3845</v>
      </c>
      <c r="E190" s="3170" t="s">
        <v>3846</v>
      </c>
      <c r="F190" s="3169">
        <v>2</v>
      </c>
      <c r="G190" s="3169">
        <v>102</v>
      </c>
      <c r="H190" s="3172">
        <v>184.92</v>
      </c>
      <c r="I190" s="3173">
        <v>21403073.510000002</v>
      </c>
      <c r="J190" s="3174" t="s">
        <v>3447</v>
      </c>
    </row>
    <row r="191" spans="1:10" ht="16.5">
      <c r="A191" s="3168">
        <v>189</v>
      </c>
      <c r="B191" s="3169" t="s">
        <v>3828</v>
      </c>
      <c r="C191" s="3170" t="s">
        <v>3395</v>
      </c>
      <c r="D191" s="3172" t="s">
        <v>3847</v>
      </c>
      <c r="E191" s="3170" t="s">
        <v>3848</v>
      </c>
      <c r="F191" s="3169">
        <v>2</v>
      </c>
      <c r="G191" s="3169">
        <v>301</v>
      </c>
      <c r="H191" s="3172">
        <v>184.46</v>
      </c>
      <c r="I191" s="3173">
        <v>22825510.190000001</v>
      </c>
      <c r="J191" s="3174" t="s">
        <v>3447</v>
      </c>
    </row>
    <row r="192" spans="1:10" ht="16.5">
      <c r="A192" s="3168">
        <v>190</v>
      </c>
      <c r="B192" s="3169" t="s">
        <v>3828</v>
      </c>
      <c r="C192" s="3170" t="s">
        <v>3395</v>
      </c>
      <c r="D192" s="3172" t="s">
        <v>3849</v>
      </c>
      <c r="E192" s="3170" t="s">
        <v>3850</v>
      </c>
      <c r="F192" s="3169">
        <v>2</v>
      </c>
      <c r="G192" s="3169">
        <v>401</v>
      </c>
      <c r="H192" s="3172">
        <v>184.46</v>
      </c>
      <c r="I192" s="3173">
        <v>22641050.190000001</v>
      </c>
      <c r="J192" s="3174" t="s">
        <v>3447</v>
      </c>
    </row>
    <row r="193" spans="8:10">
      <c r="H193" s="3176">
        <f>SUM(H3:H192)</f>
        <v>40881.349999999984</v>
      </c>
      <c r="I193" s="3176" t="e">
        <f>'新范围-住宅'!#REF!</f>
        <v>#REF!</v>
      </c>
      <c r="J193" s="3176" t="e">
        <f>H193-I193</f>
        <v>#REF!</v>
      </c>
    </row>
    <row r="194" spans="8:10">
      <c r="H194" s="3176">
        <f>'未售清单-仓储'!H470</f>
        <v>16546.309999999998</v>
      </c>
    </row>
    <row r="195" spans="8:10">
      <c r="H195" s="3176">
        <f>'未售清单-车位'!H452</f>
        <v>16849.759999999893</v>
      </c>
    </row>
    <row r="196" spans="8:10">
      <c r="H196" s="3176">
        <f>SUM(H193:H195)</f>
        <v>74277.419999999867</v>
      </c>
    </row>
  </sheetData>
  <autoFilter ref="A2:P158" xr:uid="{00000000-0009-0000-0000-00000E000000}"/>
  <mergeCells count="1">
    <mergeCell ref="A1:H1"/>
  </mergeCells>
  <phoneticPr fontId="134" type="noConversion"/>
  <conditionalFormatting sqref="D3:D192">
    <cfRule type="duplicateValues" dxfId="1466" priority="1"/>
    <cfRule type="expression" dxfId="1465" priority="2">
      <formula>AND(SUMPRODUCT(IFERROR(1*(($D$3:$D$452&amp;"x")=(D3&amp;"x")),0))&gt;1,NOT(ISBLANK(D3)))</formula>
    </cfRule>
  </conditionalFormatting>
  <pageMargins left="0.75" right="0.75" top="1" bottom="1" header="0.51180555555555551" footer="0.51180555555555551"/>
  <pageSetup paperSize="9" orientation="portrait" horizontalDpi="0" verticalDpi="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72"/>
  <sheetViews>
    <sheetView topLeftCell="A447" zoomScaleNormal="100" zoomScaleSheetLayoutView="100" workbookViewId="0">
      <selection activeCell="R194" sqref="R194"/>
    </sheetView>
  </sheetViews>
  <sheetFormatPr defaultRowHeight="12"/>
  <cols>
    <col min="1" max="1" width="9" style="3162"/>
    <col min="2" max="3" width="15.875" style="3176" customWidth="1"/>
    <col min="4" max="4" width="36.375" style="3176" customWidth="1"/>
    <col min="5" max="6" width="15.875" style="3176" customWidth="1"/>
    <col min="7" max="7" width="16.5" style="3176" customWidth="1"/>
    <col min="8" max="9" width="15.5" style="3176" customWidth="1"/>
    <col min="10" max="10" width="14.75" style="3161" customWidth="1"/>
    <col min="11" max="12" width="31.125" style="3162" hidden="1" customWidth="1"/>
    <col min="13" max="13" width="10.125" style="3162" hidden="1" customWidth="1"/>
    <col min="14" max="16" width="0" style="3162" hidden="1" customWidth="1"/>
    <col min="17" max="257" width="9" style="3162"/>
    <col min="258" max="259" width="15.875" style="3162" customWidth="1"/>
    <col min="260" max="260" width="36.375" style="3162" customWidth="1"/>
    <col min="261" max="262" width="15.875" style="3162" customWidth="1"/>
    <col min="263" max="263" width="16.5" style="3162" customWidth="1"/>
    <col min="264" max="265" width="15.5" style="3162" customWidth="1"/>
    <col min="266" max="266" width="14.75" style="3162" customWidth="1"/>
    <col min="267" max="268" width="31.125" style="3162" customWidth="1"/>
    <col min="269" max="269" width="10.125" style="3162" bestFit="1" customWidth="1"/>
    <col min="270" max="513" width="9" style="3162"/>
    <col min="514" max="515" width="15.875" style="3162" customWidth="1"/>
    <col min="516" max="516" width="36.375" style="3162" customWidth="1"/>
    <col min="517" max="518" width="15.875" style="3162" customWidth="1"/>
    <col min="519" max="519" width="16.5" style="3162" customWidth="1"/>
    <col min="520" max="521" width="15.5" style="3162" customWidth="1"/>
    <col min="522" max="522" width="14.75" style="3162" customWidth="1"/>
    <col min="523" max="524" width="31.125" style="3162" customWidth="1"/>
    <col min="525" max="525" width="10.125" style="3162" bestFit="1" customWidth="1"/>
    <col min="526" max="769" width="9" style="3162"/>
    <col min="770" max="771" width="15.875" style="3162" customWidth="1"/>
    <col min="772" max="772" width="36.375" style="3162" customWidth="1"/>
    <col min="773" max="774" width="15.875" style="3162" customWidth="1"/>
    <col min="775" max="775" width="16.5" style="3162" customWidth="1"/>
    <col min="776" max="777" width="15.5" style="3162" customWidth="1"/>
    <col min="778" max="778" width="14.75" style="3162" customWidth="1"/>
    <col min="779" max="780" width="31.125" style="3162" customWidth="1"/>
    <col min="781" max="781" width="10.125" style="3162" bestFit="1" customWidth="1"/>
    <col min="782" max="1025" width="9" style="3162"/>
    <col min="1026" max="1027" width="15.875" style="3162" customWidth="1"/>
    <col min="1028" max="1028" width="36.375" style="3162" customWidth="1"/>
    <col min="1029" max="1030" width="15.875" style="3162" customWidth="1"/>
    <col min="1031" max="1031" width="16.5" style="3162" customWidth="1"/>
    <col min="1032" max="1033" width="15.5" style="3162" customWidth="1"/>
    <col min="1034" max="1034" width="14.75" style="3162" customWidth="1"/>
    <col min="1035" max="1036" width="31.125" style="3162" customWidth="1"/>
    <col min="1037" max="1037" width="10.125" style="3162" bestFit="1" customWidth="1"/>
    <col min="1038" max="1281" width="9" style="3162"/>
    <col min="1282" max="1283" width="15.875" style="3162" customWidth="1"/>
    <col min="1284" max="1284" width="36.375" style="3162" customWidth="1"/>
    <col min="1285" max="1286" width="15.875" style="3162" customWidth="1"/>
    <col min="1287" max="1287" width="16.5" style="3162" customWidth="1"/>
    <col min="1288" max="1289" width="15.5" style="3162" customWidth="1"/>
    <col min="1290" max="1290" width="14.75" style="3162" customWidth="1"/>
    <col min="1291" max="1292" width="31.125" style="3162" customWidth="1"/>
    <col min="1293" max="1293" width="10.125" style="3162" bestFit="1" customWidth="1"/>
    <col min="1294" max="1537" width="9" style="3162"/>
    <col min="1538" max="1539" width="15.875" style="3162" customWidth="1"/>
    <col min="1540" max="1540" width="36.375" style="3162" customWidth="1"/>
    <col min="1541" max="1542" width="15.875" style="3162" customWidth="1"/>
    <col min="1543" max="1543" width="16.5" style="3162" customWidth="1"/>
    <col min="1544" max="1545" width="15.5" style="3162" customWidth="1"/>
    <col min="1546" max="1546" width="14.75" style="3162" customWidth="1"/>
    <col min="1547" max="1548" width="31.125" style="3162" customWidth="1"/>
    <col min="1549" max="1549" width="10.125" style="3162" bestFit="1" customWidth="1"/>
    <col min="1550" max="1793" width="9" style="3162"/>
    <col min="1794" max="1795" width="15.875" style="3162" customWidth="1"/>
    <col min="1796" max="1796" width="36.375" style="3162" customWidth="1"/>
    <col min="1797" max="1798" width="15.875" style="3162" customWidth="1"/>
    <col min="1799" max="1799" width="16.5" style="3162" customWidth="1"/>
    <col min="1800" max="1801" width="15.5" style="3162" customWidth="1"/>
    <col min="1802" max="1802" width="14.75" style="3162" customWidth="1"/>
    <col min="1803" max="1804" width="31.125" style="3162" customWidth="1"/>
    <col min="1805" max="1805" width="10.125" style="3162" bestFit="1" customWidth="1"/>
    <col min="1806" max="2049" width="9" style="3162"/>
    <col min="2050" max="2051" width="15.875" style="3162" customWidth="1"/>
    <col min="2052" max="2052" width="36.375" style="3162" customWidth="1"/>
    <col min="2053" max="2054" width="15.875" style="3162" customWidth="1"/>
    <col min="2055" max="2055" width="16.5" style="3162" customWidth="1"/>
    <col min="2056" max="2057" width="15.5" style="3162" customWidth="1"/>
    <col min="2058" max="2058" width="14.75" style="3162" customWidth="1"/>
    <col min="2059" max="2060" width="31.125" style="3162" customWidth="1"/>
    <col min="2061" max="2061" width="10.125" style="3162" bestFit="1" customWidth="1"/>
    <col min="2062" max="2305" width="9" style="3162"/>
    <col min="2306" max="2307" width="15.875" style="3162" customWidth="1"/>
    <col min="2308" max="2308" width="36.375" style="3162" customWidth="1"/>
    <col min="2309" max="2310" width="15.875" style="3162" customWidth="1"/>
    <col min="2311" max="2311" width="16.5" style="3162" customWidth="1"/>
    <col min="2312" max="2313" width="15.5" style="3162" customWidth="1"/>
    <col min="2314" max="2314" width="14.75" style="3162" customWidth="1"/>
    <col min="2315" max="2316" width="31.125" style="3162" customWidth="1"/>
    <col min="2317" max="2317" width="10.125" style="3162" bestFit="1" customWidth="1"/>
    <col min="2318" max="2561" width="9" style="3162"/>
    <col min="2562" max="2563" width="15.875" style="3162" customWidth="1"/>
    <col min="2564" max="2564" width="36.375" style="3162" customWidth="1"/>
    <col min="2565" max="2566" width="15.875" style="3162" customWidth="1"/>
    <col min="2567" max="2567" width="16.5" style="3162" customWidth="1"/>
    <col min="2568" max="2569" width="15.5" style="3162" customWidth="1"/>
    <col min="2570" max="2570" width="14.75" style="3162" customWidth="1"/>
    <col min="2571" max="2572" width="31.125" style="3162" customWidth="1"/>
    <col min="2573" max="2573" width="10.125" style="3162" bestFit="1" customWidth="1"/>
    <col min="2574" max="2817" width="9" style="3162"/>
    <col min="2818" max="2819" width="15.875" style="3162" customWidth="1"/>
    <col min="2820" max="2820" width="36.375" style="3162" customWidth="1"/>
    <col min="2821" max="2822" width="15.875" style="3162" customWidth="1"/>
    <col min="2823" max="2823" width="16.5" style="3162" customWidth="1"/>
    <col min="2824" max="2825" width="15.5" style="3162" customWidth="1"/>
    <col min="2826" max="2826" width="14.75" style="3162" customWidth="1"/>
    <col min="2827" max="2828" width="31.125" style="3162" customWidth="1"/>
    <col min="2829" max="2829" width="10.125" style="3162" bestFit="1" customWidth="1"/>
    <col min="2830" max="3073" width="9" style="3162"/>
    <col min="3074" max="3075" width="15.875" style="3162" customWidth="1"/>
    <col min="3076" max="3076" width="36.375" style="3162" customWidth="1"/>
    <col min="3077" max="3078" width="15.875" style="3162" customWidth="1"/>
    <col min="3079" max="3079" width="16.5" style="3162" customWidth="1"/>
    <col min="3080" max="3081" width="15.5" style="3162" customWidth="1"/>
    <col min="3082" max="3082" width="14.75" style="3162" customWidth="1"/>
    <col min="3083" max="3084" width="31.125" style="3162" customWidth="1"/>
    <col min="3085" max="3085" width="10.125" style="3162" bestFit="1" customWidth="1"/>
    <col min="3086" max="3329" width="9" style="3162"/>
    <col min="3330" max="3331" width="15.875" style="3162" customWidth="1"/>
    <col min="3332" max="3332" width="36.375" style="3162" customWidth="1"/>
    <col min="3333" max="3334" width="15.875" style="3162" customWidth="1"/>
    <col min="3335" max="3335" width="16.5" style="3162" customWidth="1"/>
    <col min="3336" max="3337" width="15.5" style="3162" customWidth="1"/>
    <col min="3338" max="3338" width="14.75" style="3162" customWidth="1"/>
    <col min="3339" max="3340" width="31.125" style="3162" customWidth="1"/>
    <col min="3341" max="3341" width="10.125" style="3162" bestFit="1" customWidth="1"/>
    <col min="3342" max="3585" width="9" style="3162"/>
    <col min="3586" max="3587" width="15.875" style="3162" customWidth="1"/>
    <col min="3588" max="3588" width="36.375" style="3162" customWidth="1"/>
    <col min="3589" max="3590" width="15.875" style="3162" customWidth="1"/>
    <col min="3591" max="3591" width="16.5" style="3162" customWidth="1"/>
    <col min="3592" max="3593" width="15.5" style="3162" customWidth="1"/>
    <col min="3594" max="3594" width="14.75" style="3162" customWidth="1"/>
    <col min="3595" max="3596" width="31.125" style="3162" customWidth="1"/>
    <col min="3597" max="3597" width="10.125" style="3162" bestFit="1" customWidth="1"/>
    <col min="3598" max="3841" width="9" style="3162"/>
    <col min="3842" max="3843" width="15.875" style="3162" customWidth="1"/>
    <col min="3844" max="3844" width="36.375" style="3162" customWidth="1"/>
    <col min="3845" max="3846" width="15.875" style="3162" customWidth="1"/>
    <col min="3847" max="3847" width="16.5" style="3162" customWidth="1"/>
    <col min="3848" max="3849" width="15.5" style="3162" customWidth="1"/>
    <col min="3850" max="3850" width="14.75" style="3162" customWidth="1"/>
    <col min="3851" max="3852" width="31.125" style="3162" customWidth="1"/>
    <col min="3853" max="3853" width="10.125" style="3162" bestFit="1" customWidth="1"/>
    <col min="3854" max="4097" width="9" style="3162"/>
    <col min="4098" max="4099" width="15.875" style="3162" customWidth="1"/>
    <col min="4100" max="4100" width="36.375" style="3162" customWidth="1"/>
    <col min="4101" max="4102" width="15.875" style="3162" customWidth="1"/>
    <col min="4103" max="4103" width="16.5" style="3162" customWidth="1"/>
    <col min="4104" max="4105" width="15.5" style="3162" customWidth="1"/>
    <col min="4106" max="4106" width="14.75" style="3162" customWidth="1"/>
    <col min="4107" max="4108" width="31.125" style="3162" customWidth="1"/>
    <col min="4109" max="4109" width="10.125" style="3162" bestFit="1" customWidth="1"/>
    <col min="4110" max="4353" width="9" style="3162"/>
    <col min="4354" max="4355" width="15.875" style="3162" customWidth="1"/>
    <col min="4356" max="4356" width="36.375" style="3162" customWidth="1"/>
    <col min="4357" max="4358" width="15.875" style="3162" customWidth="1"/>
    <col min="4359" max="4359" width="16.5" style="3162" customWidth="1"/>
    <col min="4360" max="4361" width="15.5" style="3162" customWidth="1"/>
    <col min="4362" max="4362" width="14.75" style="3162" customWidth="1"/>
    <col min="4363" max="4364" width="31.125" style="3162" customWidth="1"/>
    <col min="4365" max="4365" width="10.125" style="3162" bestFit="1" customWidth="1"/>
    <col min="4366" max="4609" width="9" style="3162"/>
    <col min="4610" max="4611" width="15.875" style="3162" customWidth="1"/>
    <col min="4612" max="4612" width="36.375" style="3162" customWidth="1"/>
    <col min="4613" max="4614" width="15.875" style="3162" customWidth="1"/>
    <col min="4615" max="4615" width="16.5" style="3162" customWidth="1"/>
    <col min="4616" max="4617" width="15.5" style="3162" customWidth="1"/>
    <col min="4618" max="4618" width="14.75" style="3162" customWidth="1"/>
    <col min="4619" max="4620" width="31.125" style="3162" customWidth="1"/>
    <col min="4621" max="4621" width="10.125" style="3162" bestFit="1" customWidth="1"/>
    <col min="4622" max="4865" width="9" style="3162"/>
    <col min="4866" max="4867" width="15.875" style="3162" customWidth="1"/>
    <col min="4868" max="4868" width="36.375" style="3162" customWidth="1"/>
    <col min="4869" max="4870" width="15.875" style="3162" customWidth="1"/>
    <col min="4871" max="4871" width="16.5" style="3162" customWidth="1"/>
    <col min="4872" max="4873" width="15.5" style="3162" customWidth="1"/>
    <col min="4874" max="4874" width="14.75" style="3162" customWidth="1"/>
    <col min="4875" max="4876" width="31.125" style="3162" customWidth="1"/>
    <col min="4877" max="4877" width="10.125" style="3162" bestFit="1" customWidth="1"/>
    <col min="4878" max="5121" width="9" style="3162"/>
    <col min="5122" max="5123" width="15.875" style="3162" customWidth="1"/>
    <col min="5124" max="5124" width="36.375" style="3162" customWidth="1"/>
    <col min="5125" max="5126" width="15.875" style="3162" customWidth="1"/>
    <col min="5127" max="5127" width="16.5" style="3162" customWidth="1"/>
    <col min="5128" max="5129" width="15.5" style="3162" customWidth="1"/>
    <col min="5130" max="5130" width="14.75" style="3162" customWidth="1"/>
    <col min="5131" max="5132" width="31.125" style="3162" customWidth="1"/>
    <col min="5133" max="5133" width="10.125" style="3162" bestFit="1" customWidth="1"/>
    <col min="5134" max="5377" width="9" style="3162"/>
    <col min="5378" max="5379" width="15.875" style="3162" customWidth="1"/>
    <col min="5380" max="5380" width="36.375" style="3162" customWidth="1"/>
    <col min="5381" max="5382" width="15.875" style="3162" customWidth="1"/>
    <col min="5383" max="5383" width="16.5" style="3162" customWidth="1"/>
    <col min="5384" max="5385" width="15.5" style="3162" customWidth="1"/>
    <col min="5386" max="5386" width="14.75" style="3162" customWidth="1"/>
    <col min="5387" max="5388" width="31.125" style="3162" customWidth="1"/>
    <col min="5389" max="5389" width="10.125" style="3162" bestFit="1" customWidth="1"/>
    <col min="5390" max="5633" width="9" style="3162"/>
    <col min="5634" max="5635" width="15.875" style="3162" customWidth="1"/>
    <col min="5636" max="5636" width="36.375" style="3162" customWidth="1"/>
    <col min="5637" max="5638" width="15.875" style="3162" customWidth="1"/>
    <col min="5639" max="5639" width="16.5" style="3162" customWidth="1"/>
    <col min="5640" max="5641" width="15.5" style="3162" customWidth="1"/>
    <col min="5642" max="5642" width="14.75" style="3162" customWidth="1"/>
    <col min="5643" max="5644" width="31.125" style="3162" customWidth="1"/>
    <col min="5645" max="5645" width="10.125" style="3162" bestFit="1" customWidth="1"/>
    <col min="5646" max="5889" width="9" style="3162"/>
    <col min="5890" max="5891" width="15.875" style="3162" customWidth="1"/>
    <col min="5892" max="5892" width="36.375" style="3162" customWidth="1"/>
    <col min="5893" max="5894" width="15.875" style="3162" customWidth="1"/>
    <col min="5895" max="5895" width="16.5" style="3162" customWidth="1"/>
    <col min="5896" max="5897" width="15.5" style="3162" customWidth="1"/>
    <col min="5898" max="5898" width="14.75" style="3162" customWidth="1"/>
    <col min="5899" max="5900" width="31.125" style="3162" customWidth="1"/>
    <col min="5901" max="5901" width="10.125" style="3162" bestFit="1" customWidth="1"/>
    <col min="5902" max="6145" width="9" style="3162"/>
    <col min="6146" max="6147" width="15.875" style="3162" customWidth="1"/>
    <col min="6148" max="6148" width="36.375" style="3162" customWidth="1"/>
    <col min="6149" max="6150" width="15.875" style="3162" customWidth="1"/>
    <col min="6151" max="6151" width="16.5" style="3162" customWidth="1"/>
    <col min="6152" max="6153" width="15.5" style="3162" customWidth="1"/>
    <col min="6154" max="6154" width="14.75" style="3162" customWidth="1"/>
    <col min="6155" max="6156" width="31.125" style="3162" customWidth="1"/>
    <col min="6157" max="6157" width="10.125" style="3162" bestFit="1" customWidth="1"/>
    <col min="6158" max="6401" width="9" style="3162"/>
    <col min="6402" max="6403" width="15.875" style="3162" customWidth="1"/>
    <col min="6404" max="6404" width="36.375" style="3162" customWidth="1"/>
    <col min="6405" max="6406" width="15.875" style="3162" customWidth="1"/>
    <col min="6407" max="6407" width="16.5" style="3162" customWidth="1"/>
    <col min="6408" max="6409" width="15.5" style="3162" customWidth="1"/>
    <col min="6410" max="6410" width="14.75" style="3162" customWidth="1"/>
    <col min="6411" max="6412" width="31.125" style="3162" customWidth="1"/>
    <col min="6413" max="6413" width="10.125" style="3162" bestFit="1" customWidth="1"/>
    <col min="6414" max="6657" width="9" style="3162"/>
    <col min="6658" max="6659" width="15.875" style="3162" customWidth="1"/>
    <col min="6660" max="6660" width="36.375" style="3162" customWidth="1"/>
    <col min="6661" max="6662" width="15.875" style="3162" customWidth="1"/>
    <col min="6663" max="6663" width="16.5" style="3162" customWidth="1"/>
    <col min="6664" max="6665" width="15.5" style="3162" customWidth="1"/>
    <col min="6666" max="6666" width="14.75" style="3162" customWidth="1"/>
    <col min="6667" max="6668" width="31.125" style="3162" customWidth="1"/>
    <col min="6669" max="6669" width="10.125" style="3162" bestFit="1" customWidth="1"/>
    <col min="6670" max="6913" width="9" style="3162"/>
    <col min="6914" max="6915" width="15.875" style="3162" customWidth="1"/>
    <col min="6916" max="6916" width="36.375" style="3162" customWidth="1"/>
    <col min="6917" max="6918" width="15.875" style="3162" customWidth="1"/>
    <col min="6919" max="6919" width="16.5" style="3162" customWidth="1"/>
    <col min="6920" max="6921" width="15.5" style="3162" customWidth="1"/>
    <col min="6922" max="6922" width="14.75" style="3162" customWidth="1"/>
    <col min="6923" max="6924" width="31.125" style="3162" customWidth="1"/>
    <col min="6925" max="6925" width="10.125" style="3162" bestFit="1" customWidth="1"/>
    <col min="6926" max="7169" width="9" style="3162"/>
    <col min="7170" max="7171" width="15.875" style="3162" customWidth="1"/>
    <col min="7172" max="7172" width="36.375" style="3162" customWidth="1"/>
    <col min="7173" max="7174" width="15.875" style="3162" customWidth="1"/>
    <col min="7175" max="7175" width="16.5" style="3162" customWidth="1"/>
    <col min="7176" max="7177" width="15.5" style="3162" customWidth="1"/>
    <col min="7178" max="7178" width="14.75" style="3162" customWidth="1"/>
    <col min="7179" max="7180" width="31.125" style="3162" customWidth="1"/>
    <col min="7181" max="7181" width="10.125" style="3162" bestFit="1" customWidth="1"/>
    <col min="7182" max="7425" width="9" style="3162"/>
    <col min="7426" max="7427" width="15.875" style="3162" customWidth="1"/>
    <col min="7428" max="7428" width="36.375" style="3162" customWidth="1"/>
    <col min="7429" max="7430" width="15.875" style="3162" customWidth="1"/>
    <col min="7431" max="7431" width="16.5" style="3162" customWidth="1"/>
    <col min="7432" max="7433" width="15.5" style="3162" customWidth="1"/>
    <col min="7434" max="7434" width="14.75" style="3162" customWidth="1"/>
    <col min="7435" max="7436" width="31.125" style="3162" customWidth="1"/>
    <col min="7437" max="7437" width="10.125" style="3162" bestFit="1" customWidth="1"/>
    <col min="7438" max="7681" width="9" style="3162"/>
    <col min="7682" max="7683" width="15.875" style="3162" customWidth="1"/>
    <col min="7684" max="7684" width="36.375" style="3162" customWidth="1"/>
    <col min="7685" max="7686" width="15.875" style="3162" customWidth="1"/>
    <col min="7687" max="7687" width="16.5" style="3162" customWidth="1"/>
    <col min="7688" max="7689" width="15.5" style="3162" customWidth="1"/>
    <col min="7690" max="7690" width="14.75" style="3162" customWidth="1"/>
    <col min="7691" max="7692" width="31.125" style="3162" customWidth="1"/>
    <col min="7693" max="7693" width="10.125" style="3162" bestFit="1" customWidth="1"/>
    <col min="7694" max="7937" width="9" style="3162"/>
    <col min="7938" max="7939" width="15.875" style="3162" customWidth="1"/>
    <col min="7940" max="7940" width="36.375" style="3162" customWidth="1"/>
    <col min="7941" max="7942" width="15.875" style="3162" customWidth="1"/>
    <col min="7943" max="7943" width="16.5" style="3162" customWidth="1"/>
    <col min="7944" max="7945" width="15.5" style="3162" customWidth="1"/>
    <col min="7946" max="7946" width="14.75" style="3162" customWidth="1"/>
    <col min="7947" max="7948" width="31.125" style="3162" customWidth="1"/>
    <col min="7949" max="7949" width="10.125" style="3162" bestFit="1" customWidth="1"/>
    <col min="7950" max="8193" width="9" style="3162"/>
    <col min="8194" max="8195" width="15.875" style="3162" customWidth="1"/>
    <col min="8196" max="8196" width="36.375" style="3162" customWidth="1"/>
    <col min="8197" max="8198" width="15.875" style="3162" customWidth="1"/>
    <col min="8199" max="8199" width="16.5" style="3162" customWidth="1"/>
    <col min="8200" max="8201" width="15.5" style="3162" customWidth="1"/>
    <col min="8202" max="8202" width="14.75" style="3162" customWidth="1"/>
    <col min="8203" max="8204" width="31.125" style="3162" customWidth="1"/>
    <col min="8205" max="8205" width="10.125" style="3162" bestFit="1" customWidth="1"/>
    <col min="8206" max="8449" width="9" style="3162"/>
    <col min="8450" max="8451" width="15.875" style="3162" customWidth="1"/>
    <col min="8452" max="8452" width="36.375" style="3162" customWidth="1"/>
    <col min="8453" max="8454" width="15.875" style="3162" customWidth="1"/>
    <col min="8455" max="8455" width="16.5" style="3162" customWidth="1"/>
    <col min="8456" max="8457" width="15.5" style="3162" customWidth="1"/>
    <col min="8458" max="8458" width="14.75" style="3162" customWidth="1"/>
    <col min="8459" max="8460" width="31.125" style="3162" customWidth="1"/>
    <col min="8461" max="8461" width="10.125" style="3162" bestFit="1" customWidth="1"/>
    <col min="8462" max="8705" width="9" style="3162"/>
    <col min="8706" max="8707" width="15.875" style="3162" customWidth="1"/>
    <col min="8708" max="8708" width="36.375" style="3162" customWidth="1"/>
    <col min="8709" max="8710" width="15.875" style="3162" customWidth="1"/>
    <col min="8711" max="8711" width="16.5" style="3162" customWidth="1"/>
    <col min="8712" max="8713" width="15.5" style="3162" customWidth="1"/>
    <col min="8714" max="8714" width="14.75" style="3162" customWidth="1"/>
    <col min="8715" max="8716" width="31.125" style="3162" customWidth="1"/>
    <col min="8717" max="8717" width="10.125" style="3162" bestFit="1" customWidth="1"/>
    <col min="8718" max="8961" width="9" style="3162"/>
    <col min="8962" max="8963" width="15.875" style="3162" customWidth="1"/>
    <col min="8964" max="8964" width="36.375" style="3162" customWidth="1"/>
    <col min="8965" max="8966" width="15.875" style="3162" customWidth="1"/>
    <col min="8967" max="8967" width="16.5" style="3162" customWidth="1"/>
    <col min="8968" max="8969" width="15.5" style="3162" customWidth="1"/>
    <col min="8970" max="8970" width="14.75" style="3162" customWidth="1"/>
    <col min="8971" max="8972" width="31.125" style="3162" customWidth="1"/>
    <col min="8973" max="8973" width="10.125" style="3162" bestFit="1" customWidth="1"/>
    <col min="8974" max="9217" width="9" style="3162"/>
    <col min="9218" max="9219" width="15.875" style="3162" customWidth="1"/>
    <col min="9220" max="9220" width="36.375" style="3162" customWidth="1"/>
    <col min="9221" max="9222" width="15.875" style="3162" customWidth="1"/>
    <col min="9223" max="9223" width="16.5" style="3162" customWidth="1"/>
    <col min="9224" max="9225" width="15.5" style="3162" customWidth="1"/>
    <col min="9226" max="9226" width="14.75" style="3162" customWidth="1"/>
    <col min="9227" max="9228" width="31.125" style="3162" customWidth="1"/>
    <col min="9229" max="9229" width="10.125" style="3162" bestFit="1" customWidth="1"/>
    <col min="9230" max="9473" width="9" style="3162"/>
    <col min="9474" max="9475" width="15.875" style="3162" customWidth="1"/>
    <col min="9476" max="9476" width="36.375" style="3162" customWidth="1"/>
    <col min="9477" max="9478" width="15.875" style="3162" customWidth="1"/>
    <col min="9479" max="9479" width="16.5" style="3162" customWidth="1"/>
    <col min="9480" max="9481" width="15.5" style="3162" customWidth="1"/>
    <col min="9482" max="9482" width="14.75" style="3162" customWidth="1"/>
    <col min="9483" max="9484" width="31.125" style="3162" customWidth="1"/>
    <col min="9485" max="9485" width="10.125" style="3162" bestFit="1" customWidth="1"/>
    <col min="9486" max="9729" width="9" style="3162"/>
    <col min="9730" max="9731" width="15.875" style="3162" customWidth="1"/>
    <col min="9732" max="9732" width="36.375" style="3162" customWidth="1"/>
    <col min="9733" max="9734" width="15.875" style="3162" customWidth="1"/>
    <col min="9735" max="9735" width="16.5" style="3162" customWidth="1"/>
    <col min="9736" max="9737" width="15.5" style="3162" customWidth="1"/>
    <col min="9738" max="9738" width="14.75" style="3162" customWidth="1"/>
    <col min="9739" max="9740" width="31.125" style="3162" customWidth="1"/>
    <col min="9741" max="9741" width="10.125" style="3162" bestFit="1" customWidth="1"/>
    <col min="9742" max="9985" width="9" style="3162"/>
    <col min="9986" max="9987" width="15.875" style="3162" customWidth="1"/>
    <col min="9988" max="9988" width="36.375" style="3162" customWidth="1"/>
    <col min="9989" max="9990" width="15.875" style="3162" customWidth="1"/>
    <col min="9991" max="9991" width="16.5" style="3162" customWidth="1"/>
    <col min="9992" max="9993" width="15.5" style="3162" customWidth="1"/>
    <col min="9994" max="9994" width="14.75" style="3162" customWidth="1"/>
    <col min="9995" max="9996" width="31.125" style="3162" customWidth="1"/>
    <col min="9997" max="9997" width="10.125" style="3162" bestFit="1" customWidth="1"/>
    <col min="9998" max="10241" width="9" style="3162"/>
    <col min="10242" max="10243" width="15.875" style="3162" customWidth="1"/>
    <col min="10244" max="10244" width="36.375" style="3162" customWidth="1"/>
    <col min="10245" max="10246" width="15.875" style="3162" customWidth="1"/>
    <col min="10247" max="10247" width="16.5" style="3162" customWidth="1"/>
    <col min="10248" max="10249" width="15.5" style="3162" customWidth="1"/>
    <col min="10250" max="10250" width="14.75" style="3162" customWidth="1"/>
    <col min="10251" max="10252" width="31.125" style="3162" customWidth="1"/>
    <col min="10253" max="10253" width="10.125" style="3162" bestFit="1" customWidth="1"/>
    <col min="10254" max="10497" width="9" style="3162"/>
    <col min="10498" max="10499" width="15.875" style="3162" customWidth="1"/>
    <col min="10500" max="10500" width="36.375" style="3162" customWidth="1"/>
    <col min="10501" max="10502" width="15.875" style="3162" customWidth="1"/>
    <col min="10503" max="10503" width="16.5" style="3162" customWidth="1"/>
    <col min="10504" max="10505" width="15.5" style="3162" customWidth="1"/>
    <col min="10506" max="10506" width="14.75" style="3162" customWidth="1"/>
    <col min="10507" max="10508" width="31.125" style="3162" customWidth="1"/>
    <col min="10509" max="10509" width="10.125" style="3162" bestFit="1" customWidth="1"/>
    <col min="10510" max="10753" width="9" style="3162"/>
    <col min="10754" max="10755" width="15.875" style="3162" customWidth="1"/>
    <col min="10756" max="10756" width="36.375" style="3162" customWidth="1"/>
    <col min="10757" max="10758" width="15.875" style="3162" customWidth="1"/>
    <col min="10759" max="10759" width="16.5" style="3162" customWidth="1"/>
    <col min="10760" max="10761" width="15.5" style="3162" customWidth="1"/>
    <col min="10762" max="10762" width="14.75" style="3162" customWidth="1"/>
    <col min="10763" max="10764" width="31.125" style="3162" customWidth="1"/>
    <col min="10765" max="10765" width="10.125" style="3162" bestFit="1" customWidth="1"/>
    <col min="10766" max="11009" width="9" style="3162"/>
    <col min="11010" max="11011" width="15.875" style="3162" customWidth="1"/>
    <col min="11012" max="11012" width="36.375" style="3162" customWidth="1"/>
    <col min="11013" max="11014" width="15.875" style="3162" customWidth="1"/>
    <col min="11015" max="11015" width="16.5" style="3162" customWidth="1"/>
    <col min="11016" max="11017" width="15.5" style="3162" customWidth="1"/>
    <col min="11018" max="11018" width="14.75" style="3162" customWidth="1"/>
    <col min="11019" max="11020" width="31.125" style="3162" customWidth="1"/>
    <col min="11021" max="11021" width="10.125" style="3162" bestFit="1" customWidth="1"/>
    <col min="11022" max="11265" width="9" style="3162"/>
    <col min="11266" max="11267" width="15.875" style="3162" customWidth="1"/>
    <col min="11268" max="11268" width="36.375" style="3162" customWidth="1"/>
    <col min="11269" max="11270" width="15.875" style="3162" customWidth="1"/>
    <col min="11271" max="11271" width="16.5" style="3162" customWidth="1"/>
    <col min="11272" max="11273" width="15.5" style="3162" customWidth="1"/>
    <col min="11274" max="11274" width="14.75" style="3162" customWidth="1"/>
    <col min="11275" max="11276" width="31.125" style="3162" customWidth="1"/>
    <col min="11277" max="11277" width="10.125" style="3162" bestFit="1" customWidth="1"/>
    <col min="11278" max="11521" width="9" style="3162"/>
    <col min="11522" max="11523" width="15.875" style="3162" customWidth="1"/>
    <col min="11524" max="11524" width="36.375" style="3162" customWidth="1"/>
    <col min="11525" max="11526" width="15.875" style="3162" customWidth="1"/>
    <col min="11527" max="11527" width="16.5" style="3162" customWidth="1"/>
    <col min="11528" max="11529" width="15.5" style="3162" customWidth="1"/>
    <col min="11530" max="11530" width="14.75" style="3162" customWidth="1"/>
    <col min="11531" max="11532" width="31.125" style="3162" customWidth="1"/>
    <col min="11533" max="11533" width="10.125" style="3162" bestFit="1" customWidth="1"/>
    <col min="11534" max="11777" width="9" style="3162"/>
    <col min="11778" max="11779" width="15.875" style="3162" customWidth="1"/>
    <col min="11780" max="11780" width="36.375" style="3162" customWidth="1"/>
    <col min="11781" max="11782" width="15.875" style="3162" customWidth="1"/>
    <col min="11783" max="11783" width="16.5" style="3162" customWidth="1"/>
    <col min="11784" max="11785" width="15.5" style="3162" customWidth="1"/>
    <col min="11786" max="11786" width="14.75" style="3162" customWidth="1"/>
    <col min="11787" max="11788" width="31.125" style="3162" customWidth="1"/>
    <col min="11789" max="11789" width="10.125" style="3162" bestFit="1" customWidth="1"/>
    <col min="11790" max="12033" width="9" style="3162"/>
    <col min="12034" max="12035" width="15.875" style="3162" customWidth="1"/>
    <col min="12036" max="12036" width="36.375" style="3162" customWidth="1"/>
    <col min="12037" max="12038" width="15.875" style="3162" customWidth="1"/>
    <col min="12039" max="12039" width="16.5" style="3162" customWidth="1"/>
    <col min="12040" max="12041" width="15.5" style="3162" customWidth="1"/>
    <col min="12042" max="12042" width="14.75" style="3162" customWidth="1"/>
    <col min="12043" max="12044" width="31.125" style="3162" customWidth="1"/>
    <col min="12045" max="12045" width="10.125" style="3162" bestFit="1" customWidth="1"/>
    <col min="12046" max="12289" width="9" style="3162"/>
    <col min="12290" max="12291" width="15.875" style="3162" customWidth="1"/>
    <col min="12292" max="12292" width="36.375" style="3162" customWidth="1"/>
    <col min="12293" max="12294" width="15.875" style="3162" customWidth="1"/>
    <col min="12295" max="12295" width="16.5" style="3162" customWidth="1"/>
    <col min="12296" max="12297" width="15.5" style="3162" customWidth="1"/>
    <col min="12298" max="12298" width="14.75" style="3162" customWidth="1"/>
    <col min="12299" max="12300" width="31.125" style="3162" customWidth="1"/>
    <col min="12301" max="12301" width="10.125" style="3162" bestFit="1" customWidth="1"/>
    <col min="12302" max="12545" width="9" style="3162"/>
    <col min="12546" max="12547" width="15.875" style="3162" customWidth="1"/>
    <col min="12548" max="12548" width="36.375" style="3162" customWidth="1"/>
    <col min="12549" max="12550" width="15.875" style="3162" customWidth="1"/>
    <col min="12551" max="12551" width="16.5" style="3162" customWidth="1"/>
    <col min="12552" max="12553" width="15.5" style="3162" customWidth="1"/>
    <col min="12554" max="12554" width="14.75" style="3162" customWidth="1"/>
    <col min="12555" max="12556" width="31.125" style="3162" customWidth="1"/>
    <col min="12557" max="12557" width="10.125" style="3162" bestFit="1" customWidth="1"/>
    <col min="12558" max="12801" width="9" style="3162"/>
    <col min="12802" max="12803" width="15.875" style="3162" customWidth="1"/>
    <col min="12804" max="12804" width="36.375" style="3162" customWidth="1"/>
    <col min="12805" max="12806" width="15.875" style="3162" customWidth="1"/>
    <col min="12807" max="12807" width="16.5" style="3162" customWidth="1"/>
    <col min="12808" max="12809" width="15.5" style="3162" customWidth="1"/>
    <col min="12810" max="12810" width="14.75" style="3162" customWidth="1"/>
    <col min="12811" max="12812" width="31.125" style="3162" customWidth="1"/>
    <col min="12813" max="12813" width="10.125" style="3162" bestFit="1" customWidth="1"/>
    <col min="12814" max="13057" width="9" style="3162"/>
    <col min="13058" max="13059" width="15.875" style="3162" customWidth="1"/>
    <col min="13060" max="13060" width="36.375" style="3162" customWidth="1"/>
    <col min="13061" max="13062" width="15.875" style="3162" customWidth="1"/>
    <col min="13063" max="13063" width="16.5" style="3162" customWidth="1"/>
    <col min="13064" max="13065" width="15.5" style="3162" customWidth="1"/>
    <col min="13066" max="13066" width="14.75" style="3162" customWidth="1"/>
    <col min="13067" max="13068" width="31.125" style="3162" customWidth="1"/>
    <col min="13069" max="13069" width="10.125" style="3162" bestFit="1" customWidth="1"/>
    <col min="13070" max="13313" width="9" style="3162"/>
    <col min="13314" max="13315" width="15.875" style="3162" customWidth="1"/>
    <col min="13316" max="13316" width="36.375" style="3162" customWidth="1"/>
    <col min="13317" max="13318" width="15.875" style="3162" customWidth="1"/>
    <col min="13319" max="13319" width="16.5" style="3162" customWidth="1"/>
    <col min="13320" max="13321" width="15.5" style="3162" customWidth="1"/>
    <col min="13322" max="13322" width="14.75" style="3162" customWidth="1"/>
    <col min="13323" max="13324" width="31.125" style="3162" customWidth="1"/>
    <col min="13325" max="13325" width="10.125" style="3162" bestFit="1" customWidth="1"/>
    <col min="13326" max="13569" width="9" style="3162"/>
    <col min="13570" max="13571" width="15.875" style="3162" customWidth="1"/>
    <col min="13572" max="13572" width="36.375" style="3162" customWidth="1"/>
    <col min="13573" max="13574" width="15.875" style="3162" customWidth="1"/>
    <col min="13575" max="13575" width="16.5" style="3162" customWidth="1"/>
    <col min="13576" max="13577" width="15.5" style="3162" customWidth="1"/>
    <col min="13578" max="13578" width="14.75" style="3162" customWidth="1"/>
    <col min="13579" max="13580" width="31.125" style="3162" customWidth="1"/>
    <col min="13581" max="13581" width="10.125" style="3162" bestFit="1" customWidth="1"/>
    <col min="13582" max="13825" width="9" style="3162"/>
    <col min="13826" max="13827" width="15.875" style="3162" customWidth="1"/>
    <col min="13828" max="13828" width="36.375" style="3162" customWidth="1"/>
    <col min="13829" max="13830" width="15.875" style="3162" customWidth="1"/>
    <col min="13831" max="13831" width="16.5" style="3162" customWidth="1"/>
    <col min="13832" max="13833" width="15.5" style="3162" customWidth="1"/>
    <col min="13834" max="13834" width="14.75" style="3162" customWidth="1"/>
    <col min="13835" max="13836" width="31.125" style="3162" customWidth="1"/>
    <col min="13837" max="13837" width="10.125" style="3162" bestFit="1" customWidth="1"/>
    <col min="13838" max="14081" width="9" style="3162"/>
    <col min="14082" max="14083" width="15.875" style="3162" customWidth="1"/>
    <col min="14084" max="14084" width="36.375" style="3162" customWidth="1"/>
    <col min="14085" max="14086" width="15.875" style="3162" customWidth="1"/>
    <col min="14087" max="14087" width="16.5" style="3162" customWidth="1"/>
    <col min="14088" max="14089" width="15.5" style="3162" customWidth="1"/>
    <col min="14090" max="14090" width="14.75" style="3162" customWidth="1"/>
    <col min="14091" max="14092" width="31.125" style="3162" customWidth="1"/>
    <col min="14093" max="14093" width="10.125" style="3162" bestFit="1" customWidth="1"/>
    <col min="14094" max="14337" width="9" style="3162"/>
    <col min="14338" max="14339" width="15.875" style="3162" customWidth="1"/>
    <col min="14340" max="14340" width="36.375" style="3162" customWidth="1"/>
    <col min="14341" max="14342" width="15.875" style="3162" customWidth="1"/>
    <col min="14343" max="14343" width="16.5" style="3162" customWidth="1"/>
    <col min="14344" max="14345" width="15.5" style="3162" customWidth="1"/>
    <col min="14346" max="14346" width="14.75" style="3162" customWidth="1"/>
    <col min="14347" max="14348" width="31.125" style="3162" customWidth="1"/>
    <col min="14349" max="14349" width="10.125" style="3162" bestFit="1" customWidth="1"/>
    <col min="14350" max="14593" width="9" style="3162"/>
    <col min="14594" max="14595" width="15.875" style="3162" customWidth="1"/>
    <col min="14596" max="14596" width="36.375" style="3162" customWidth="1"/>
    <col min="14597" max="14598" width="15.875" style="3162" customWidth="1"/>
    <col min="14599" max="14599" width="16.5" style="3162" customWidth="1"/>
    <col min="14600" max="14601" width="15.5" style="3162" customWidth="1"/>
    <col min="14602" max="14602" width="14.75" style="3162" customWidth="1"/>
    <col min="14603" max="14604" width="31.125" style="3162" customWidth="1"/>
    <col min="14605" max="14605" width="10.125" style="3162" bestFit="1" customWidth="1"/>
    <col min="14606" max="14849" width="9" style="3162"/>
    <col min="14850" max="14851" width="15.875" style="3162" customWidth="1"/>
    <col min="14852" max="14852" width="36.375" style="3162" customWidth="1"/>
    <col min="14853" max="14854" width="15.875" style="3162" customWidth="1"/>
    <col min="14855" max="14855" width="16.5" style="3162" customWidth="1"/>
    <col min="14856" max="14857" width="15.5" style="3162" customWidth="1"/>
    <col min="14858" max="14858" width="14.75" style="3162" customWidth="1"/>
    <col min="14859" max="14860" width="31.125" style="3162" customWidth="1"/>
    <col min="14861" max="14861" width="10.125" style="3162" bestFit="1" customWidth="1"/>
    <col min="14862" max="15105" width="9" style="3162"/>
    <col min="15106" max="15107" width="15.875" style="3162" customWidth="1"/>
    <col min="15108" max="15108" width="36.375" style="3162" customWidth="1"/>
    <col min="15109" max="15110" width="15.875" style="3162" customWidth="1"/>
    <col min="15111" max="15111" width="16.5" style="3162" customWidth="1"/>
    <col min="15112" max="15113" width="15.5" style="3162" customWidth="1"/>
    <col min="15114" max="15114" width="14.75" style="3162" customWidth="1"/>
    <col min="15115" max="15116" width="31.125" style="3162" customWidth="1"/>
    <col min="15117" max="15117" width="10.125" style="3162" bestFit="1" customWidth="1"/>
    <col min="15118" max="15361" width="9" style="3162"/>
    <col min="15362" max="15363" width="15.875" style="3162" customWidth="1"/>
    <col min="15364" max="15364" width="36.375" style="3162" customWidth="1"/>
    <col min="15365" max="15366" width="15.875" style="3162" customWidth="1"/>
    <col min="15367" max="15367" width="16.5" style="3162" customWidth="1"/>
    <col min="15368" max="15369" width="15.5" style="3162" customWidth="1"/>
    <col min="15370" max="15370" width="14.75" style="3162" customWidth="1"/>
    <col min="15371" max="15372" width="31.125" style="3162" customWidth="1"/>
    <col min="15373" max="15373" width="10.125" style="3162" bestFit="1" customWidth="1"/>
    <col min="15374" max="15617" width="9" style="3162"/>
    <col min="15618" max="15619" width="15.875" style="3162" customWidth="1"/>
    <col min="15620" max="15620" width="36.375" style="3162" customWidth="1"/>
    <col min="15621" max="15622" width="15.875" style="3162" customWidth="1"/>
    <col min="15623" max="15623" width="16.5" style="3162" customWidth="1"/>
    <col min="15624" max="15625" width="15.5" style="3162" customWidth="1"/>
    <col min="15626" max="15626" width="14.75" style="3162" customWidth="1"/>
    <col min="15627" max="15628" width="31.125" style="3162" customWidth="1"/>
    <col min="15629" max="15629" width="10.125" style="3162" bestFit="1" customWidth="1"/>
    <col min="15630" max="15873" width="9" style="3162"/>
    <col min="15874" max="15875" width="15.875" style="3162" customWidth="1"/>
    <col min="15876" max="15876" width="36.375" style="3162" customWidth="1"/>
    <col min="15877" max="15878" width="15.875" style="3162" customWidth="1"/>
    <col min="15879" max="15879" width="16.5" style="3162" customWidth="1"/>
    <col min="15880" max="15881" width="15.5" style="3162" customWidth="1"/>
    <col min="15882" max="15882" width="14.75" style="3162" customWidth="1"/>
    <col min="15883" max="15884" width="31.125" style="3162" customWidth="1"/>
    <col min="15885" max="15885" width="10.125" style="3162" bestFit="1" customWidth="1"/>
    <col min="15886" max="16129" width="9" style="3162"/>
    <col min="16130" max="16131" width="15.875" style="3162" customWidth="1"/>
    <col min="16132" max="16132" width="36.375" style="3162" customWidth="1"/>
    <col min="16133" max="16134" width="15.875" style="3162" customWidth="1"/>
    <col min="16135" max="16135" width="16.5" style="3162" customWidth="1"/>
    <col min="16136" max="16137" width="15.5" style="3162" customWidth="1"/>
    <col min="16138" max="16138" width="14.75" style="3162" customWidth="1"/>
    <col min="16139" max="16140" width="31.125" style="3162" customWidth="1"/>
    <col min="16141" max="16141" width="10.125" style="3162" bestFit="1" customWidth="1"/>
    <col min="16142" max="16384" width="9" style="3162"/>
  </cols>
  <sheetData>
    <row r="1" spans="1:13" ht="18.75">
      <c r="A1" s="3324" t="s">
        <v>3431</v>
      </c>
      <c r="B1" s="3324"/>
      <c r="C1" s="3324"/>
      <c r="D1" s="3324"/>
      <c r="E1" s="3324"/>
      <c r="F1" s="3324"/>
      <c r="G1" s="3324"/>
      <c r="H1" s="3324"/>
      <c r="I1" s="3160"/>
      <c r="J1" s="3161" t="s">
        <v>3432</v>
      </c>
    </row>
    <row r="2" spans="1:13">
      <c r="A2" s="3163" t="s">
        <v>3433</v>
      </c>
      <c r="B2" s="3164" t="s">
        <v>3434</v>
      </c>
      <c r="C2" s="3164" t="s">
        <v>3435</v>
      </c>
      <c r="D2" s="3164" t="s">
        <v>3436</v>
      </c>
      <c r="E2" s="3164" t="s">
        <v>3437</v>
      </c>
      <c r="F2" s="3165" t="s">
        <v>3438</v>
      </c>
      <c r="G2" s="3165" t="s">
        <v>3439</v>
      </c>
      <c r="H2" s="3165" t="s">
        <v>3440</v>
      </c>
      <c r="I2" s="3165" t="s">
        <v>3441</v>
      </c>
      <c r="J2" s="3166" t="s">
        <v>3442</v>
      </c>
      <c r="K2" s="3167" t="s">
        <v>3443</v>
      </c>
    </row>
    <row r="3" spans="1:13" ht="16.5">
      <c r="A3" s="3168">
        <v>1</v>
      </c>
      <c r="B3" s="3169" t="s">
        <v>3444</v>
      </c>
      <c r="C3" s="3170" t="s">
        <v>3851</v>
      </c>
      <c r="D3" s="3171" t="s">
        <v>3852</v>
      </c>
      <c r="E3" s="3170" t="s">
        <v>3853</v>
      </c>
      <c r="F3" s="3177" t="s">
        <v>3324</v>
      </c>
      <c r="G3" s="3169">
        <v>-101</v>
      </c>
      <c r="H3" s="3172">
        <v>30.96</v>
      </c>
      <c r="I3" s="3173">
        <v>1083600</v>
      </c>
      <c r="J3" s="3174" t="s">
        <v>3447</v>
      </c>
      <c r="K3" s="3161"/>
      <c r="M3" s="3161"/>
    </row>
    <row r="4" spans="1:13" ht="16.5">
      <c r="A4" s="3168">
        <v>2</v>
      </c>
      <c r="B4" s="3169" t="s">
        <v>3444</v>
      </c>
      <c r="C4" s="3170" t="s">
        <v>3851</v>
      </c>
      <c r="D4" s="3171" t="s">
        <v>3854</v>
      </c>
      <c r="E4" s="3170" t="s">
        <v>3855</v>
      </c>
      <c r="F4" s="3177" t="s">
        <v>3324</v>
      </c>
      <c r="G4" s="3169">
        <v>-102</v>
      </c>
      <c r="H4" s="3172">
        <v>16.05</v>
      </c>
      <c r="I4" s="3173">
        <v>561750</v>
      </c>
      <c r="J4" s="3174" t="s">
        <v>3447</v>
      </c>
      <c r="K4" s="3161"/>
      <c r="M4" s="3161"/>
    </row>
    <row r="5" spans="1:13" ht="16.5">
      <c r="A5" s="3168">
        <v>3</v>
      </c>
      <c r="B5" s="3169" t="s">
        <v>3444</v>
      </c>
      <c r="C5" s="3170" t="s">
        <v>3851</v>
      </c>
      <c r="D5" s="3171" t="s">
        <v>3856</v>
      </c>
      <c r="E5" s="3170" t="s">
        <v>3857</v>
      </c>
      <c r="F5" s="3177" t="s">
        <v>3324</v>
      </c>
      <c r="G5" s="3169">
        <v>-103</v>
      </c>
      <c r="H5" s="3172">
        <v>46.62</v>
      </c>
      <c r="I5" s="3173">
        <v>1631700</v>
      </c>
      <c r="J5" s="3174" t="s">
        <v>3447</v>
      </c>
      <c r="K5" s="3161"/>
      <c r="M5" s="3161"/>
    </row>
    <row r="6" spans="1:13" ht="16.5">
      <c r="A6" s="3168">
        <v>4</v>
      </c>
      <c r="B6" s="3169" t="s">
        <v>3444</v>
      </c>
      <c r="C6" s="3170" t="s">
        <v>3851</v>
      </c>
      <c r="D6" s="3171" t="s">
        <v>3858</v>
      </c>
      <c r="E6" s="3170" t="s">
        <v>3859</v>
      </c>
      <c r="F6" s="3177" t="s">
        <v>3324</v>
      </c>
      <c r="G6" s="3169">
        <v>-104</v>
      </c>
      <c r="H6" s="3172">
        <v>53.65</v>
      </c>
      <c r="I6" s="3173">
        <v>1877750</v>
      </c>
      <c r="J6" s="3174" t="s">
        <v>3447</v>
      </c>
      <c r="K6" s="3161"/>
      <c r="M6" s="3161"/>
    </row>
    <row r="7" spans="1:13" ht="16.5">
      <c r="A7" s="3168">
        <v>5</v>
      </c>
      <c r="B7" s="3169" t="s">
        <v>3444</v>
      </c>
      <c r="C7" s="3170" t="s">
        <v>3851</v>
      </c>
      <c r="D7" s="3171" t="s">
        <v>3860</v>
      </c>
      <c r="E7" s="3170" t="s">
        <v>3861</v>
      </c>
      <c r="F7" s="3177" t="s">
        <v>3324</v>
      </c>
      <c r="G7" s="3169">
        <v>-105</v>
      </c>
      <c r="H7" s="3172">
        <v>23.61</v>
      </c>
      <c r="I7" s="3173">
        <v>826350</v>
      </c>
      <c r="J7" s="3174" t="s">
        <v>3447</v>
      </c>
      <c r="K7" s="3161"/>
      <c r="M7" s="3161"/>
    </row>
    <row r="8" spans="1:13" ht="16.5">
      <c r="A8" s="3168">
        <v>6</v>
      </c>
      <c r="B8" s="3169" t="s">
        <v>3444</v>
      </c>
      <c r="C8" s="3170" t="s">
        <v>3851</v>
      </c>
      <c r="D8" s="3171" t="s">
        <v>3862</v>
      </c>
      <c r="E8" s="3170" t="s">
        <v>3863</v>
      </c>
      <c r="F8" s="3177" t="s">
        <v>3324</v>
      </c>
      <c r="G8" s="3169">
        <v>-106</v>
      </c>
      <c r="H8" s="3172">
        <v>23.65</v>
      </c>
      <c r="I8" s="3173">
        <v>827750</v>
      </c>
      <c r="J8" s="3174" t="s">
        <v>3447</v>
      </c>
      <c r="K8" s="3161"/>
      <c r="M8" s="3161"/>
    </row>
    <row r="9" spans="1:13" ht="16.5">
      <c r="A9" s="3168">
        <v>7</v>
      </c>
      <c r="B9" s="3169" t="s">
        <v>3444</v>
      </c>
      <c r="C9" s="3170" t="s">
        <v>3851</v>
      </c>
      <c r="D9" s="3171" t="s">
        <v>3864</v>
      </c>
      <c r="E9" s="3170" t="s">
        <v>3865</v>
      </c>
      <c r="F9" s="3177" t="s">
        <v>3324</v>
      </c>
      <c r="G9" s="3169">
        <v>-107</v>
      </c>
      <c r="H9" s="3172">
        <v>56.61</v>
      </c>
      <c r="I9" s="3173">
        <v>1981350</v>
      </c>
      <c r="J9" s="3174" t="s">
        <v>3447</v>
      </c>
      <c r="K9" s="3161"/>
      <c r="M9" s="3161"/>
    </row>
    <row r="10" spans="1:13" ht="16.5">
      <c r="A10" s="3168">
        <v>8</v>
      </c>
      <c r="B10" s="3169" t="s">
        <v>3444</v>
      </c>
      <c r="C10" s="3170" t="s">
        <v>3851</v>
      </c>
      <c r="D10" s="3171" t="s">
        <v>3866</v>
      </c>
      <c r="E10" s="3170" t="s">
        <v>3867</v>
      </c>
      <c r="F10" s="3177" t="s">
        <v>3324</v>
      </c>
      <c r="G10" s="3169">
        <v>-108</v>
      </c>
      <c r="H10" s="3172">
        <v>41.07</v>
      </c>
      <c r="I10" s="3173">
        <v>1437450</v>
      </c>
      <c r="J10" s="3174" t="s">
        <v>3447</v>
      </c>
      <c r="K10" s="3161"/>
      <c r="M10" s="3161"/>
    </row>
    <row r="11" spans="1:13" ht="16.5">
      <c r="A11" s="3168">
        <v>9</v>
      </c>
      <c r="B11" s="3169" t="s">
        <v>3444</v>
      </c>
      <c r="C11" s="3170" t="s">
        <v>3851</v>
      </c>
      <c r="D11" s="3171" t="s">
        <v>3868</v>
      </c>
      <c r="E11" s="3170" t="s">
        <v>3869</v>
      </c>
      <c r="F11" s="3177" t="s">
        <v>3324</v>
      </c>
      <c r="G11" s="3169">
        <v>-109</v>
      </c>
      <c r="H11" s="3172">
        <v>41.07</v>
      </c>
      <c r="I11" s="3173">
        <v>1437450</v>
      </c>
      <c r="J11" s="3174" t="s">
        <v>3447</v>
      </c>
      <c r="K11" s="3161"/>
      <c r="M11" s="3161"/>
    </row>
    <row r="12" spans="1:13" ht="16.5">
      <c r="A12" s="3168">
        <v>10</v>
      </c>
      <c r="B12" s="3169" t="s">
        <v>3444</v>
      </c>
      <c r="C12" s="3170" t="s">
        <v>3851</v>
      </c>
      <c r="D12" s="3171" t="s">
        <v>3870</v>
      </c>
      <c r="E12" s="3170" t="s">
        <v>3871</v>
      </c>
      <c r="F12" s="3177" t="s">
        <v>3324</v>
      </c>
      <c r="G12" s="3169">
        <v>-111</v>
      </c>
      <c r="H12" s="3172">
        <v>23.65</v>
      </c>
      <c r="I12" s="3173">
        <v>827750</v>
      </c>
      <c r="J12" s="3174" t="s">
        <v>3447</v>
      </c>
      <c r="K12" s="3161"/>
      <c r="M12" s="3161"/>
    </row>
    <row r="13" spans="1:13" ht="16.5">
      <c r="A13" s="3168">
        <v>11</v>
      </c>
      <c r="B13" s="3169" t="s">
        <v>3444</v>
      </c>
      <c r="C13" s="3170" t="s">
        <v>3851</v>
      </c>
      <c r="D13" s="3171" t="s">
        <v>3872</v>
      </c>
      <c r="E13" s="3170" t="s">
        <v>3873</v>
      </c>
      <c r="F13" s="3177" t="s">
        <v>3324</v>
      </c>
      <c r="G13" s="3169">
        <v>-112</v>
      </c>
      <c r="H13" s="3172">
        <v>23.61</v>
      </c>
      <c r="I13" s="3173">
        <v>826350</v>
      </c>
      <c r="J13" s="3174" t="s">
        <v>3447</v>
      </c>
      <c r="K13" s="3161"/>
      <c r="M13" s="3161"/>
    </row>
    <row r="14" spans="1:13" ht="16.5">
      <c r="A14" s="3168">
        <v>12</v>
      </c>
      <c r="B14" s="3169" t="s">
        <v>3444</v>
      </c>
      <c r="C14" s="3170" t="s">
        <v>3851</v>
      </c>
      <c r="D14" s="3171" t="s">
        <v>3874</v>
      </c>
      <c r="E14" s="3170" t="s">
        <v>3875</v>
      </c>
      <c r="F14" s="3177" t="s">
        <v>3324</v>
      </c>
      <c r="G14" s="3169">
        <v>-113</v>
      </c>
      <c r="H14" s="3172">
        <v>49.56</v>
      </c>
      <c r="I14" s="3173">
        <v>1734600</v>
      </c>
      <c r="J14" s="3174" t="s">
        <v>3447</v>
      </c>
      <c r="K14" s="3161"/>
      <c r="M14" s="3161"/>
    </row>
    <row r="15" spans="1:13" ht="16.5">
      <c r="A15" s="3168">
        <v>13</v>
      </c>
      <c r="B15" s="3169" t="s">
        <v>3444</v>
      </c>
      <c r="C15" s="3170" t="s">
        <v>3851</v>
      </c>
      <c r="D15" s="3171" t="s">
        <v>3876</v>
      </c>
      <c r="E15" s="3170" t="s">
        <v>3877</v>
      </c>
      <c r="F15" s="3177" t="s">
        <v>3324</v>
      </c>
      <c r="G15" s="3169">
        <v>-114</v>
      </c>
      <c r="H15" s="3172">
        <v>47.93</v>
      </c>
      <c r="I15" s="3173">
        <v>1677550</v>
      </c>
      <c r="J15" s="3174" t="s">
        <v>3447</v>
      </c>
      <c r="K15" s="3161"/>
      <c r="M15" s="3161"/>
    </row>
    <row r="16" spans="1:13" ht="16.5">
      <c r="A16" s="3168">
        <v>14</v>
      </c>
      <c r="B16" s="3169" t="s">
        <v>3444</v>
      </c>
      <c r="C16" s="3170" t="s">
        <v>3851</v>
      </c>
      <c r="D16" s="3171" t="s">
        <v>3878</v>
      </c>
      <c r="E16" s="3170" t="s">
        <v>3879</v>
      </c>
      <c r="F16" s="3177" t="s">
        <v>3324</v>
      </c>
      <c r="G16" s="3169">
        <v>-115</v>
      </c>
      <c r="H16" s="3172">
        <v>22.61</v>
      </c>
      <c r="I16" s="3173">
        <v>791350</v>
      </c>
      <c r="J16" s="3174" t="s">
        <v>3447</v>
      </c>
      <c r="K16" s="3161"/>
      <c r="M16" s="3161"/>
    </row>
    <row r="17" spans="1:13" ht="16.5">
      <c r="A17" s="3168">
        <v>15</v>
      </c>
      <c r="B17" s="3169" t="s">
        <v>3444</v>
      </c>
      <c r="C17" s="3170" t="s">
        <v>3851</v>
      </c>
      <c r="D17" s="3171" t="s">
        <v>3880</v>
      </c>
      <c r="E17" s="3170" t="s">
        <v>3881</v>
      </c>
      <c r="F17" s="3177" t="s">
        <v>3324</v>
      </c>
      <c r="G17" s="3169">
        <v>-116</v>
      </c>
      <c r="H17" s="3172">
        <v>27.95</v>
      </c>
      <c r="I17" s="3173">
        <v>978250</v>
      </c>
      <c r="J17" s="3174" t="s">
        <v>3447</v>
      </c>
      <c r="K17" s="3161"/>
      <c r="M17" s="3161"/>
    </row>
    <row r="18" spans="1:13" ht="16.5">
      <c r="A18" s="3168">
        <v>16</v>
      </c>
      <c r="B18" s="3169" t="s">
        <v>3444</v>
      </c>
      <c r="C18" s="3170" t="s">
        <v>3851</v>
      </c>
      <c r="D18" s="3171" t="s">
        <v>3882</v>
      </c>
      <c r="E18" s="3170" t="s">
        <v>3883</v>
      </c>
      <c r="F18" s="3177" t="s">
        <v>3324</v>
      </c>
      <c r="G18" s="3169">
        <v>-117</v>
      </c>
      <c r="H18" s="3172">
        <v>27.6</v>
      </c>
      <c r="I18" s="3173">
        <v>966000</v>
      </c>
      <c r="J18" s="3174" t="s">
        <v>3447</v>
      </c>
      <c r="K18" s="3161"/>
      <c r="M18" s="3161"/>
    </row>
    <row r="19" spans="1:13" ht="16.5">
      <c r="A19" s="3168">
        <v>17</v>
      </c>
      <c r="B19" s="3169" t="s">
        <v>3444</v>
      </c>
      <c r="C19" s="3170" t="s">
        <v>3851</v>
      </c>
      <c r="D19" s="3171" t="s">
        <v>3884</v>
      </c>
      <c r="E19" s="3170" t="s">
        <v>3885</v>
      </c>
      <c r="F19" s="3177" t="s">
        <v>3324</v>
      </c>
      <c r="G19" s="3169">
        <v>-118</v>
      </c>
      <c r="H19" s="3172">
        <v>19.13</v>
      </c>
      <c r="I19" s="3173">
        <v>669550</v>
      </c>
      <c r="J19" s="3174" t="s">
        <v>3447</v>
      </c>
      <c r="K19" s="3161"/>
      <c r="M19" s="3161"/>
    </row>
    <row r="20" spans="1:13" ht="16.5">
      <c r="A20" s="3168">
        <v>18</v>
      </c>
      <c r="B20" s="3169" t="s">
        <v>3444</v>
      </c>
      <c r="C20" s="3170" t="s">
        <v>3851</v>
      </c>
      <c r="D20" s="3171" t="s">
        <v>3886</v>
      </c>
      <c r="E20" s="3170" t="s">
        <v>3887</v>
      </c>
      <c r="F20" s="3177" t="s">
        <v>3324</v>
      </c>
      <c r="G20" s="3169">
        <v>-119</v>
      </c>
      <c r="H20" s="3172">
        <v>19.13</v>
      </c>
      <c r="I20" s="3173">
        <v>669550</v>
      </c>
      <c r="J20" s="3174" t="s">
        <v>3447</v>
      </c>
      <c r="K20" s="3161"/>
      <c r="M20" s="3161"/>
    </row>
    <row r="21" spans="1:13" ht="16.5">
      <c r="A21" s="3168">
        <v>19</v>
      </c>
      <c r="B21" s="3169" t="s">
        <v>3444</v>
      </c>
      <c r="C21" s="3170" t="s">
        <v>3851</v>
      </c>
      <c r="D21" s="3171" t="s">
        <v>3888</v>
      </c>
      <c r="E21" s="3170" t="s">
        <v>3889</v>
      </c>
      <c r="F21" s="3177" t="s">
        <v>3324</v>
      </c>
      <c r="G21" s="3169">
        <v>-120</v>
      </c>
      <c r="H21" s="3172">
        <v>27.6</v>
      </c>
      <c r="I21" s="3173">
        <v>966000</v>
      </c>
      <c r="J21" s="3174" t="s">
        <v>3447</v>
      </c>
      <c r="K21" s="3161"/>
      <c r="M21" s="3161"/>
    </row>
    <row r="22" spans="1:13" ht="16.5">
      <c r="A22" s="3168">
        <v>20</v>
      </c>
      <c r="B22" s="3169" t="s">
        <v>3444</v>
      </c>
      <c r="C22" s="3170" t="s">
        <v>3851</v>
      </c>
      <c r="D22" s="3171" t="s">
        <v>3890</v>
      </c>
      <c r="E22" s="3170" t="s">
        <v>3891</v>
      </c>
      <c r="F22" s="3177" t="s">
        <v>3324</v>
      </c>
      <c r="G22" s="3169">
        <v>-201</v>
      </c>
      <c r="H22" s="3172">
        <v>15.83</v>
      </c>
      <c r="I22" s="3173">
        <v>554050</v>
      </c>
      <c r="J22" s="3174" t="s">
        <v>3447</v>
      </c>
      <c r="K22" s="3161"/>
      <c r="M22" s="3161"/>
    </row>
    <row r="23" spans="1:13" ht="16.5">
      <c r="A23" s="3168">
        <v>21</v>
      </c>
      <c r="B23" s="3169" t="s">
        <v>3444</v>
      </c>
      <c r="C23" s="3170" t="s">
        <v>3851</v>
      </c>
      <c r="D23" s="3171" t="s">
        <v>3892</v>
      </c>
      <c r="E23" s="3170" t="s">
        <v>3893</v>
      </c>
      <c r="F23" s="3177" t="s">
        <v>3324</v>
      </c>
      <c r="G23" s="3169">
        <v>-202</v>
      </c>
      <c r="H23" s="3172">
        <v>18.309999999999999</v>
      </c>
      <c r="I23" s="3173">
        <v>640850</v>
      </c>
      <c r="J23" s="3174" t="s">
        <v>3447</v>
      </c>
      <c r="K23" s="3161"/>
      <c r="M23" s="3161"/>
    </row>
    <row r="24" spans="1:13" ht="16.5">
      <c r="A24" s="3168">
        <v>22</v>
      </c>
      <c r="B24" s="3169" t="s">
        <v>3444</v>
      </c>
      <c r="C24" s="3170" t="s">
        <v>3851</v>
      </c>
      <c r="D24" s="3171" t="s">
        <v>3894</v>
      </c>
      <c r="E24" s="3170" t="s">
        <v>3895</v>
      </c>
      <c r="F24" s="3177" t="s">
        <v>3324</v>
      </c>
      <c r="G24" s="3169">
        <v>-203</v>
      </c>
      <c r="H24" s="3172">
        <v>16.329999999999998</v>
      </c>
      <c r="I24" s="3173">
        <v>571550</v>
      </c>
      <c r="J24" s="3174" t="s">
        <v>3447</v>
      </c>
      <c r="K24" s="3161"/>
      <c r="M24" s="3161"/>
    </row>
    <row r="25" spans="1:13" ht="16.5">
      <c r="A25" s="3168">
        <v>23</v>
      </c>
      <c r="B25" s="3169" t="s">
        <v>3444</v>
      </c>
      <c r="C25" s="3170" t="s">
        <v>3851</v>
      </c>
      <c r="D25" s="3171" t="s">
        <v>3896</v>
      </c>
      <c r="E25" s="3170" t="s">
        <v>3897</v>
      </c>
      <c r="F25" s="3177" t="s">
        <v>3324</v>
      </c>
      <c r="G25" s="3169">
        <v>-204</v>
      </c>
      <c r="H25" s="3172">
        <v>12.38</v>
      </c>
      <c r="I25" s="3173">
        <v>433300</v>
      </c>
      <c r="J25" s="3174" t="s">
        <v>3447</v>
      </c>
      <c r="K25" s="3161"/>
      <c r="M25" s="3161"/>
    </row>
    <row r="26" spans="1:13" ht="16.5">
      <c r="A26" s="3168">
        <v>24</v>
      </c>
      <c r="B26" s="3169" t="s">
        <v>3444</v>
      </c>
      <c r="C26" s="3170" t="s">
        <v>3851</v>
      </c>
      <c r="D26" s="3171" t="s">
        <v>3898</v>
      </c>
      <c r="E26" s="3170" t="s">
        <v>3899</v>
      </c>
      <c r="F26" s="3177" t="s">
        <v>3324</v>
      </c>
      <c r="G26" s="3169">
        <v>-205</v>
      </c>
      <c r="H26" s="3172">
        <v>17</v>
      </c>
      <c r="I26" s="3173">
        <v>595000</v>
      </c>
      <c r="J26" s="3174" t="s">
        <v>3447</v>
      </c>
      <c r="K26" s="3161"/>
      <c r="M26" s="3161"/>
    </row>
    <row r="27" spans="1:13" ht="16.5">
      <c r="A27" s="3168">
        <v>25</v>
      </c>
      <c r="B27" s="3169" t="s">
        <v>3613</v>
      </c>
      <c r="C27" s="3170" t="s">
        <v>3851</v>
      </c>
      <c r="D27" s="3171" t="s">
        <v>3900</v>
      </c>
      <c r="E27" s="3170" t="s">
        <v>3901</v>
      </c>
      <c r="F27" s="3177" t="s">
        <v>3324</v>
      </c>
      <c r="G27" s="3169">
        <v>-107</v>
      </c>
      <c r="H27" s="3172">
        <v>56.79</v>
      </c>
      <c r="I27" s="3173">
        <v>1987650</v>
      </c>
      <c r="J27" s="3174" t="s">
        <v>3447</v>
      </c>
      <c r="K27" s="3161"/>
      <c r="M27" s="3161"/>
    </row>
    <row r="28" spans="1:13" ht="16.5">
      <c r="A28" s="3168">
        <v>26</v>
      </c>
      <c r="B28" s="3169" t="s">
        <v>3613</v>
      </c>
      <c r="C28" s="3170" t="s">
        <v>3851</v>
      </c>
      <c r="D28" s="3171" t="s">
        <v>3902</v>
      </c>
      <c r="E28" s="3170" t="s">
        <v>3903</v>
      </c>
      <c r="F28" s="3177" t="s">
        <v>3324</v>
      </c>
      <c r="G28" s="3169">
        <v>-108</v>
      </c>
      <c r="H28" s="3172">
        <v>41.5</v>
      </c>
      <c r="I28" s="3173">
        <v>1452500</v>
      </c>
      <c r="J28" s="3174" t="s">
        <v>3447</v>
      </c>
      <c r="K28" s="3161"/>
      <c r="M28" s="3161"/>
    </row>
    <row r="29" spans="1:13" ht="16.5">
      <c r="A29" s="3168">
        <v>27</v>
      </c>
      <c r="B29" s="3169" t="s">
        <v>3613</v>
      </c>
      <c r="C29" s="3170" t="s">
        <v>3851</v>
      </c>
      <c r="D29" s="3171" t="s">
        <v>3904</v>
      </c>
      <c r="E29" s="3170" t="s">
        <v>3905</v>
      </c>
      <c r="F29" s="3177" t="s">
        <v>3324</v>
      </c>
      <c r="G29" s="3169">
        <v>-109</v>
      </c>
      <c r="H29" s="3172">
        <v>41.5</v>
      </c>
      <c r="I29" s="3173">
        <v>1452500</v>
      </c>
      <c r="J29" s="3174" t="s">
        <v>3447</v>
      </c>
      <c r="K29" s="3161"/>
      <c r="M29" s="3161"/>
    </row>
    <row r="30" spans="1:13" ht="16.5">
      <c r="A30" s="3168">
        <v>28</v>
      </c>
      <c r="B30" s="3169" t="s">
        <v>3613</v>
      </c>
      <c r="C30" s="3170" t="s">
        <v>3851</v>
      </c>
      <c r="D30" s="3171" t="s">
        <v>3906</v>
      </c>
      <c r="E30" s="3170" t="s">
        <v>3907</v>
      </c>
      <c r="F30" s="3177" t="s">
        <v>3324</v>
      </c>
      <c r="G30" s="3169">
        <v>-110</v>
      </c>
      <c r="H30" s="3172">
        <v>56.79</v>
      </c>
      <c r="I30" s="3173">
        <v>1987650</v>
      </c>
      <c r="J30" s="3174" t="s">
        <v>3447</v>
      </c>
      <c r="K30" s="3161"/>
      <c r="M30" s="3161"/>
    </row>
    <row r="31" spans="1:13" ht="16.5">
      <c r="A31" s="3168">
        <v>29</v>
      </c>
      <c r="B31" s="3169" t="s">
        <v>3613</v>
      </c>
      <c r="C31" s="3170" t="s">
        <v>3851</v>
      </c>
      <c r="D31" s="3171" t="s">
        <v>3908</v>
      </c>
      <c r="E31" s="3170" t="s">
        <v>3909</v>
      </c>
      <c r="F31" s="3177" t="s">
        <v>3324</v>
      </c>
      <c r="G31" s="3169">
        <v>-111</v>
      </c>
      <c r="H31" s="3172">
        <v>23.72</v>
      </c>
      <c r="I31" s="3173">
        <v>830200</v>
      </c>
      <c r="J31" s="3174" t="s">
        <v>3447</v>
      </c>
      <c r="K31" s="3161"/>
      <c r="M31" s="3161"/>
    </row>
    <row r="32" spans="1:13" ht="16.5">
      <c r="A32" s="3168">
        <v>30</v>
      </c>
      <c r="B32" s="3169" t="s">
        <v>3613</v>
      </c>
      <c r="C32" s="3170" t="s">
        <v>3851</v>
      </c>
      <c r="D32" s="3171" t="s">
        <v>3910</v>
      </c>
      <c r="E32" s="3170" t="s">
        <v>3911</v>
      </c>
      <c r="F32" s="3177" t="s">
        <v>3324</v>
      </c>
      <c r="G32" s="3169">
        <v>-112</v>
      </c>
      <c r="H32" s="3172">
        <v>23.68</v>
      </c>
      <c r="I32" s="3173">
        <v>828800</v>
      </c>
      <c r="J32" s="3174" t="s">
        <v>3447</v>
      </c>
      <c r="K32" s="3161"/>
      <c r="M32" s="3161"/>
    </row>
    <row r="33" spans="1:13" ht="16.5">
      <c r="A33" s="3168">
        <v>31</v>
      </c>
      <c r="B33" s="3169" t="s">
        <v>3613</v>
      </c>
      <c r="C33" s="3170" t="s">
        <v>3851</v>
      </c>
      <c r="D33" s="3171" t="s">
        <v>3912</v>
      </c>
      <c r="E33" s="3170" t="s">
        <v>3913</v>
      </c>
      <c r="F33" s="3177" t="s">
        <v>3324</v>
      </c>
      <c r="G33" s="3169">
        <v>-113</v>
      </c>
      <c r="H33" s="3172">
        <v>56.75</v>
      </c>
      <c r="I33" s="3173">
        <v>1986250</v>
      </c>
      <c r="J33" s="3174" t="s">
        <v>3447</v>
      </c>
      <c r="K33" s="3161"/>
      <c r="M33" s="3161"/>
    </row>
    <row r="34" spans="1:13" ht="16.5">
      <c r="A34" s="3168">
        <v>32</v>
      </c>
      <c r="B34" s="3169" t="s">
        <v>3613</v>
      </c>
      <c r="C34" s="3170" t="s">
        <v>3851</v>
      </c>
      <c r="D34" s="3171" t="s">
        <v>3914</v>
      </c>
      <c r="E34" s="3170" t="s">
        <v>3915</v>
      </c>
      <c r="F34" s="3177" t="s">
        <v>3324</v>
      </c>
      <c r="G34" s="3169">
        <v>-114</v>
      </c>
      <c r="H34" s="3172">
        <v>41.19</v>
      </c>
      <c r="I34" s="3173">
        <v>1441650</v>
      </c>
      <c r="J34" s="3174" t="s">
        <v>3447</v>
      </c>
      <c r="K34" s="3161"/>
      <c r="M34" s="3161"/>
    </row>
    <row r="35" spans="1:13" ht="16.5">
      <c r="A35" s="3168">
        <v>33</v>
      </c>
      <c r="B35" s="3169" t="s">
        <v>3613</v>
      </c>
      <c r="C35" s="3170" t="s">
        <v>3851</v>
      </c>
      <c r="D35" s="3171" t="s">
        <v>3916</v>
      </c>
      <c r="E35" s="3170" t="s">
        <v>3917</v>
      </c>
      <c r="F35" s="3177" t="s">
        <v>3324</v>
      </c>
      <c r="G35" s="3169">
        <v>-115</v>
      </c>
      <c r="H35" s="3172">
        <v>41.19</v>
      </c>
      <c r="I35" s="3173">
        <v>1441650</v>
      </c>
      <c r="J35" s="3174" t="s">
        <v>3447</v>
      </c>
      <c r="K35" s="3161"/>
      <c r="M35" s="3161"/>
    </row>
    <row r="36" spans="1:13" ht="16.5">
      <c r="A36" s="3168">
        <v>34</v>
      </c>
      <c r="B36" s="3169" t="s">
        <v>3613</v>
      </c>
      <c r="C36" s="3170" t="s">
        <v>3851</v>
      </c>
      <c r="D36" s="3171" t="s">
        <v>3918</v>
      </c>
      <c r="E36" s="3170" t="s">
        <v>3919</v>
      </c>
      <c r="F36" s="3177" t="s">
        <v>3324</v>
      </c>
      <c r="G36" s="3169">
        <v>-116</v>
      </c>
      <c r="H36" s="3172">
        <v>56.79</v>
      </c>
      <c r="I36" s="3173">
        <v>1987650</v>
      </c>
      <c r="J36" s="3174" t="s">
        <v>3463</v>
      </c>
      <c r="K36" s="3161"/>
      <c r="M36" s="3161"/>
    </row>
    <row r="37" spans="1:13" ht="16.5">
      <c r="A37" s="3168">
        <v>35</v>
      </c>
      <c r="B37" s="3169" t="s">
        <v>3613</v>
      </c>
      <c r="C37" s="3170" t="s">
        <v>3851</v>
      </c>
      <c r="D37" s="3171" t="s">
        <v>3920</v>
      </c>
      <c r="E37" s="3170" t="s">
        <v>3921</v>
      </c>
      <c r="F37" s="3177" t="s">
        <v>3324</v>
      </c>
      <c r="G37" s="3169">
        <v>-117</v>
      </c>
      <c r="H37" s="3172">
        <v>23.72</v>
      </c>
      <c r="I37" s="3173">
        <v>830200</v>
      </c>
      <c r="J37" s="3174" t="s">
        <v>3447</v>
      </c>
      <c r="K37" s="3161"/>
      <c r="M37" s="3161"/>
    </row>
    <row r="38" spans="1:13" ht="16.5">
      <c r="A38" s="3168">
        <v>36</v>
      </c>
      <c r="B38" s="3169" t="s">
        <v>3613</v>
      </c>
      <c r="C38" s="3170" t="s">
        <v>3851</v>
      </c>
      <c r="D38" s="3171" t="s">
        <v>3922</v>
      </c>
      <c r="E38" s="3170" t="s">
        <v>3923</v>
      </c>
      <c r="F38" s="3177" t="s">
        <v>3324</v>
      </c>
      <c r="G38" s="3169">
        <v>-118</v>
      </c>
      <c r="H38" s="3172">
        <v>23.68</v>
      </c>
      <c r="I38" s="3173">
        <v>828800</v>
      </c>
      <c r="J38" s="3174" t="s">
        <v>3447</v>
      </c>
      <c r="K38" s="3161"/>
      <c r="M38" s="3161"/>
    </row>
    <row r="39" spans="1:13" ht="16.5">
      <c r="A39" s="3168">
        <v>37</v>
      </c>
      <c r="B39" s="3169" t="s">
        <v>3613</v>
      </c>
      <c r="C39" s="3170" t="s">
        <v>3851</v>
      </c>
      <c r="D39" s="3171" t="s">
        <v>3924</v>
      </c>
      <c r="E39" s="3170" t="s">
        <v>3925</v>
      </c>
      <c r="F39" s="3177" t="s">
        <v>3324</v>
      </c>
      <c r="G39" s="3169">
        <v>-119</v>
      </c>
      <c r="H39" s="3172">
        <v>49.71</v>
      </c>
      <c r="I39" s="3173">
        <v>1739850</v>
      </c>
      <c r="J39" s="3174" t="s">
        <v>3447</v>
      </c>
      <c r="K39" s="3161"/>
      <c r="M39" s="3161"/>
    </row>
    <row r="40" spans="1:13" ht="16.5">
      <c r="A40" s="3168">
        <v>38</v>
      </c>
      <c r="B40" s="3169" t="s">
        <v>3613</v>
      </c>
      <c r="C40" s="3170" t="s">
        <v>3851</v>
      </c>
      <c r="D40" s="3171" t="s">
        <v>3926</v>
      </c>
      <c r="E40" s="3170" t="s">
        <v>3927</v>
      </c>
      <c r="F40" s="3177" t="s">
        <v>3324</v>
      </c>
      <c r="G40" s="3169">
        <v>-120</v>
      </c>
      <c r="H40" s="3172">
        <v>48.07</v>
      </c>
      <c r="I40" s="3173">
        <v>1682450</v>
      </c>
      <c r="J40" s="3174" t="s">
        <v>3447</v>
      </c>
      <c r="K40" s="3161"/>
      <c r="M40" s="3161"/>
    </row>
    <row r="41" spans="1:13" ht="16.5">
      <c r="A41" s="3168">
        <v>39</v>
      </c>
      <c r="B41" s="3169" t="s">
        <v>3613</v>
      </c>
      <c r="C41" s="3170" t="s">
        <v>3851</v>
      </c>
      <c r="D41" s="3171" t="s">
        <v>3928</v>
      </c>
      <c r="E41" s="3170" t="s">
        <v>3929</v>
      </c>
      <c r="F41" s="3177" t="s">
        <v>3324</v>
      </c>
      <c r="G41" s="3169">
        <v>-121</v>
      </c>
      <c r="H41" s="3172">
        <v>22.85</v>
      </c>
      <c r="I41" s="3173">
        <v>799750</v>
      </c>
      <c r="J41" s="3174" t="s">
        <v>3447</v>
      </c>
      <c r="K41" s="3161"/>
      <c r="M41" s="3161"/>
    </row>
    <row r="42" spans="1:13" ht="16.5">
      <c r="A42" s="3168">
        <v>40</v>
      </c>
      <c r="B42" s="3169" t="s">
        <v>3613</v>
      </c>
      <c r="C42" s="3170" t="s">
        <v>3851</v>
      </c>
      <c r="D42" s="3171" t="s">
        <v>3930</v>
      </c>
      <c r="E42" s="3170" t="s">
        <v>3931</v>
      </c>
      <c r="F42" s="3177" t="s">
        <v>3324</v>
      </c>
      <c r="G42" s="3169">
        <v>-122</v>
      </c>
      <c r="H42" s="3172">
        <v>28.04</v>
      </c>
      <c r="I42" s="3173">
        <v>981400</v>
      </c>
      <c r="J42" s="3174" t="s">
        <v>3447</v>
      </c>
      <c r="K42" s="3161"/>
      <c r="M42" s="3161"/>
    </row>
    <row r="43" spans="1:13" ht="16.5">
      <c r="A43" s="3168">
        <v>41</v>
      </c>
      <c r="B43" s="3169" t="s">
        <v>3613</v>
      </c>
      <c r="C43" s="3170" t="s">
        <v>3851</v>
      </c>
      <c r="D43" s="3171" t="s">
        <v>3932</v>
      </c>
      <c r="E43" s="3170" t="s">
        <v>3933</v>
      </c>
      <c r="F43" s="3177" t="s">
        <v>3324</v>
      </c>
      <c r="G43" s="3169">
        <v>-123</v>
      </c>
      <c r="H43" s="3172">
        <v>27.68</v>
      </c>
      <c r="I43" s="3173">
        <v>968800</v>
      </c>
      <c r="J43" s="3174" t="s">
        <v>3447</v>
      </c>
      <c r="K43" s="3161"/>
      <c r="M43" s="3161"/>
    </row>
    <row r="44" spans="1:13" ht="16.5">
      <c r="A44" s="3168">
        <v>42</v>
      </c>
      <c r="B44" s="3169" t="s">
        <v>3613</v>
      </c>
      <c r="C44" s="3170" t="s">
        <v>3851</v>
      </c>
      <c r="D44" s="3171" t="s">
        <v>3934</v>
      </c>
      <c r="E44" s="3170" t="s">
        <v>3935</v>
      </c>
      <c r="F44" s="3177" t="s">
        <v>3324</v>
      </c>
      <c r="G44" s="3169">
        <v>-124</v>
      </c>
      <c r="H44" s="3172">
        <v>19.190000000000001</v>
      </c>
      <c r="I44" s="3173">
        <v>671650</v>
      </c>
      <c r="J44" s="3174" t="s">
        <v>3447</v>
      </c>
      <c r="K44" s="3161"/>
      <c r="M44" s="3161"/>
    </row>
    <row r="45" spans="1:13" ht="16.5">
      <c r="A45" s="3168">
        <v>43</v>
      </c>
      <c r="B45" s="3169" t="s">
        <v>3613</v>
      </c>
      <c r="C45" s="3170" t="s">
        <v>3851</v>
      </c>
      <c r="D45" s="3171" t="s">
        <v>3936</v>
      </c>
      <c r="E45" s="3170" t="s">
        <v>3937</v>
      </c>
      <c r="F45" s="3177" t="s">
        <v>3324</v>
      </c>
      <c r="G45" s="3169">
        <v>-125</v>
      </c>
      <c r="H45" s="3172">
        <v>19.190000000000001</v>
      </c>
      <c r="I45" s="3173">
        <v>671650</v>
      </c>
      <c r="J45" s="3174" t="s">
        <v>3447</v>
      </c>
      <c r="K45" s="3161"/>
      <c r="M45" s="3161"/>
    </row>
    <row r="46" spans="1:13" ht="16.5">
      <c r="A46" s="3168">
        <v>44</v>
      </c>
      <c r="B46" s="3169" t="s">
        <v>3613</v>
      </c>
      <c r="C46" s="3170" t="s">
        <v>3851</v>
      </c>
      <c r="D46" s="3171" t="s">
        <v>3938</v>
      </c>
      <c r="E46" s="3170" t="s">
        <v>3939</v>
      </c>
      <c r="F46" s="3177" t="s">
        <v>3324</v>
      </c>
      <c r="G46" s="3169">
        <v>-126</v>
      </c>
      <c r="H46" s="3172">
        <v>27.85</v>
      </c>
      <c r="I46" s="3173">
        <v>974750</v>
      </c>
      <c r="J46" s="3174" t="s">
        <v>3447</v>
      </c>
      <c r="K46" s="3161"/>
      <c r="M46" s="3161"/>
    </row>
    <row r="47" spans="1:13" ht="16.5">
      <c r="A47" s="3168">
        <v>45</v>
      </c>
      <c r="B47" s="3169" t="s">
        <v>3613</v>
      </c>
      <c r="C47" s="3170" t="s">
        <v>3851</v>
      </c>
      <c r="D47" s="3171" t="s">
        <v>3940</v>
      </c>
      <c r="E47" s="3170" t="s">
        <v>3941</v>
      </c>
      <c r="F47" s="3177" t="s">
        <v>3324</v>
      </c>
      <c r="G47" s="3169">
        <v>-127</v>
      </c>
      <c r="H47" s="3172">
        <v>27.68</v>
      </c>
      <c r="I47" s="3173">
        <v>968800</v>
      </c>
      <c r="J47" s="3174" t="s">
        <v>3447</v>
      </c>
      <c r="K47" s="3161"/>
      <c r="M47" s="3161"/>
    </row>
    <row r="48" spans="1:13" ht="16.5">
      <c r="A48" s="3168">
        <v>46</v>
      </c>
      <c r="B48" s="3169" t="s">
        <v>3613</v>
      </c>
      <c r="C48" s="3170" t="s">
        <v>3851</v>
      </c>
      <c r="D48" s="3171" t="s">
        <v>3942</v>
      </c>
      <c r="E48" s="3170" t="s">
        <v>3943</v>
      </c>
      <c r="F48" s="3177" t="s">
        <v>3324</v>
      </c>
      <c r="G48" s="3169">
        <v>-128</v>
      </c>
      <c r="H48" s="3172">
        <v>19.829999999999998</v>
      </c>
      <c r="I48" s="3173">
        <v>694050</v>
      </c>
      <c r="J48" s="3174" t="s">
        <v>3447</v>
      </c>
      <c r="K48" s="3161"/>
      <c r="M48" s="3161"/>
    </row>
    <row r="49" spans="1:13" ht="16.5">
      <c r="A49" s="3168">
        <v>47</v>
      </c>
      <c r="B49" s="3169" t="s">
        <v>3613</v>
      </c>
      <c r="C49" s="3170" t="s">
        <v>3851</v>
      </c>
      <c r="D49" s="3171" t="s">
        <v>3944</v>
      </c>
      <c r="E49" s="3170" t="s">
        <v>3945</v>
      </c>
      <c r="F49" s="3177" t="s">
        <v>3324</v>
      </c>
      <c r="G49" s="3169">
        <v>-129</v>
      </c>
      <c r="H49" s="3172">
        <v>19.829999999999998</v>
      </c>
      <c r="I49" s="3173">
        <v>694050</v>
      </c>
      <c r="J49" s="3174" t="s">
        <v>3447</v>
      </c>
      <c r="K49" s="3161"/>
      <c r="M49" s="3161"/>
    </row>
    <row r="50" spans="1:13" ht="16.5">
      <c r="A50" s="3168">
        <v>48</v>
      </c>
      <c r="B50" s="3169" t="s">
        <v>3613</v>
      </c>
      <c r="C50" s="3170" t="s">
        <v>3851</v>
      </c>
      <c r="D50" s="3171" t="s">
        <v>3946</v>
      </c>
      <c r="E50" s="3170" t="s">
        <v>3947</v>
      </c>
      <c r="F50" s="3177" t="s">
        <v>3324</v>
      </c>
      <c r="G50" s="3169">
        <v>-130</v>
      </c>
      <c r="H50" s="3172">
        <v>27.68</v>
      </c>
      <c r="I50" s="3173">
        <v>968800</v>
      </c>
      <c r="J50" s="3174" t="s">
        <v>3447</v>
      </c>
      <c r="K50" s="3161"/>
      <c r="M50" s="3161"/>
    </row>
    <row r="51" spans="1:13" ht="16.5">
      <c r="A51" s="3168">
        <v>49</v>
      </c>
      <c r="B51" s="3169" t="s">
        <v>3613</v>
      </c>
      <c r="C51" s="3170" t="s">
        <v>3851</v>
      </c>
      <c r="D51" s="3171" t="s">
        <v>3948</v>
      </c>
      <c r="E51" s="3170" t="s">
        <v>3949</v>
      </c>
      <c r="F51" s="3177" t="s">
        <v>3324</v>
      </c>
      <c r="G51" s="3169">
        <v>-202</v>
      </c>
      <c r="H51" s="3172">
        <v>16.38</v>
      </c>
      <c r="I51" s="3173">
        <v>573300</v>
      </c>
      <c r="J51" s="3174" t="s">
        <v>3447</v>
      </c>
      <c r="K51" s="3161"/>
      <c r="M51" s="3161"/>
    </row>
    <row r="52" spans="1:13" ht="16.5">
      <c r="A52" s="3168">
        <v>50</v>
      </c>
      <c r="B52" s="3169" t="s">
        <v>3613</v>
      </c>
      <c r="C52" s="3170" t="s">
        <v>3851</v>
      </c>
      <c r="D52" s="3171" t="s">
        <v>3950</v>
      </c>
      <c r="E52" s="3170" t="s">
        <v>3951</v>
      </c>
      <c r="F52" s="3177" t="s">
        <v>3324</v>
      </c>
      <c r="G52" s="3169">
        <v>-204</v>
      </c>
      <c r="H52" s="3172">
        <v>16.38</v>
      </c>
      <c r="I52" s="3173">
        <v>573300</v>
      </c>
      <c r="J52" s="3174" t="s">
        <v>3447</v>
      </c>
      <c r="K52" s="3161"/>
      <c r="M52" s="3161"/>
    </row>
    <row r="53" spans="1:13" ht="16.5">
      <c r="A53" s="3168">
        <v>51</v>
      </c>
      <c r="B53" s="3169" t="s">
        <v>3613</v>
      </c>
      <c r="C53" s="3170" t="s">
        <v>3851</v>
      </c>
      <c r="D53" s="3171" t="s">
        <v>3952</v>
      </c>
      <c r="E53" s="3170" t="s">
        <v>3953</v>
      </c>
      <c r="F53" s="3177" t="s">
        <v>3324</v>
      </c>
      <c r="G53" s="3169">
        <v>-205</v>
      </c>
      <c r="H53" s="3172">
        <v>16.38</v>
      </c>
      <c r="I53" s="3173">
        <v>573300</v>
      </c>
      <c r="J53" s="3174" t="s">
        <v>3447</v>
      </c>
      <c r="K53" s="3161"/>
      <c r="M53" s="3161"/>
    </row>
    <row r="54" spans="1:13" ht="16.5">
      <c r="A54" s="3168">
        <v>52</v>
      </c>
      <c r="B54" s="3169" t="s">
        <v>3613</v>
      </c>
      <c r="C54" s="3170" t="s">
        <v>3851</v>
      </c>
      <c r="D54" s="3171" t="s">
        <v>3954</v>
      </c>
      <c r="E54" s="3170" t="s">
        <v>3955</v>
      </c>
      <c r="F54" s="3177" t="s">
        <v>3324</v>
      </c>
      <c r="G54" s="3169">
        <v>-206</v>
      </c>
      <c r="H54" s="3172">
        <v>17.059999999999999</v>
      </c>
      <c r="I54" s="3173">
        <v>597100</v>
      </c>
      <c r="J54" s="3174" t="s">
        <v>3447</v>
      </c>
      <c r="K54" s="3161"/>
      <c r="M54" s="3161"/>
    </row>
    <row r="55" spans="1:13" ht="16.5">
      <c r="A55" s="3168">
        <v>53</v>
      </c>
      <c r="B55" s="3169" t="s">
        <v>3771</v>
      </c>
      <c r="C55" s="3170" t="s">
        <v>3851</v>
      </c>
      <c r="D55" s="3171" t="s">
        <v>3956</v>
      </c>
      <c r="E55" s="3170" t="s">
        <v>3957</v>
      </c>
      <c r="F55" s="3177" t="s">
        <v>3324</v>
      </c>
      <c r="G55" s="3169">
        <v>-106</v>
      </c>
      <c r="H55" s="3172">
        <v>23.66</v>
      </c>
      <c r="I55" s="3173">
        <v>828100</v>
      </c>
      <c r="J55" s="3174" t="s">
        <v>3447</v>
      </c>
      <c r="K55" s="3161"/>
      <c r="M55" s="3161"/>
    </row>
    <row r="56" spans="1:13" ht="16.5">
      <c r="A56" s="3168">
        <v>54</v>
      </c>
      <c r="B56" s="3169" t="s">
        <v>3771</v>
      </c>
      <c r="C56" s="3170" t="s">
        <v>3851</v>
      </c>
      <c r="D56" s="3171" t="s">
        <v>3958</v>
      </c>
      <c r="E56" s="3170" t="s">
        <v>3959</v>
      </c>
      <c r="F56" s="3177" t="s">
        <v>3324</v>
      </c>
      <c r="G56" s="3169">
        <v>-107</v>
      </c>
      <c r="H56" s="3172">
        <v>56.69</v>
      </c>
      <c r="I56" s="3173">
        <v>1984150</v>
      </c>
      <c r="J56" s="3174" t="s">
        <v>3447</v>
      </c>
      <c r="K56" s="3161"/>
      <c r="M56" s="3161"/>
    </row>
    <row r="57" spans="1:13" ht="16.5">
      <c r="A57" s="3168">
        <v>55</v>
      </c>
      <c r="B57" s="3169" t="s">
        <v>3771</v>
      </c>
      <c r="C57" s="3170" t="s">
        <v>3851</v>
      </c>
      <c r="D57" s="3171" t="s">
        <v>3960</v>
      </c>
      <c r="E57" s="3170" t="s">
        <v>3961</v>
      </c>
      <c r="F57" s="3177" t="s">
        <v>3324</v>
      </c>
      <c r="G57" s="3169">
        <v>-108</v>
      </c>
      <c r="H57" s="3172">
        <v>41.45</v>
      </c>
      <c r="I57" s="3173">
        <v>1450750</v>
      </c>
      <c r="J57" s="3174" t="s">
        <v>3447</v>
      </c>
      <c r="K57" s="3161"/>
      <c r="M57" s="3161"/>
    </row>
    <row r="58" spans="1:13" ht="16.5">
      <c r="A58" s="3168">
        <v>56</v>
      </c>
      <c r="B58" s="3169" t="s">
        <v>3771</v>
      </c>
      <c r="C58" s="3170" t="s">
        <v>3851</v>
      </c>
      <c r="D58" s="3171" t="s">
        <v>3962</v>
      </c>
      <c r="E58" s="3170" t="s">
        <v>3963</v>
      </c>
      <c r="F58" s="3177" t="s">
        <v>3324</v>
      </c>
      <c r="G58" s="3169">
        <v>-109</v>
      </c>
      <c r="H58" s="3172">
        <v>41.45</v>
      </c>
      <c r="I58" s="3173">
        <v>1450750</v>
      </c>
      <c r="J58" s="3174" t="s">
        <v>3447</v>
      </c>
      <c r="K58" s="3161"/>
      <c r="M58" s="3161"/>
    </row>
    <row r="59" spans="1:13" ht="16.5">
      <c r="A59" s="3168">
        <v>57</v>
      </c>
      <c r="B59" s="3169" t="s">
        <v>3771</v>
      </c>
      <c r="C59" s="3170" t="s">
        <v>3851</v>
      </c>
      <c r="D59" s="3171" t="s">
        <v>3964</v>
      </c>
      <c r="E59" s="3170" t="s">
        <v>3965</v>
      </c>
      <c r="F59" s="3177" t="s">
        <v>3324</v>
      </c>
      <c r="G59" s="3169">
        <v>-110</v>
      </c>
      <c r="H59" s="3172">
        <v>56.69</v>
      </c>
      <c r="I59" s="3173">
        <v>1984150</v>
      </c>
      <c r="J59" s="3174" t="s">
        <v>3447</v>
      </c>
      <c r="K59" s="3161"/>
      <c r="M59" s="3161"/>
    </row>
    <row r="60" spans="1:13" ht="16.5">
      <c r="A60" s="3168">
        <v>58</v>
      </c>
      <c r="B60" s="3169" t="s">
        <v>3771</v>
      </c>
      <c r="C60" s="3170" t="s">
        <v>3851</v>
      </c>
      <c r="D60" s="3171" t="s">
        <v>3966</v>
      </c>
      <c r="E60" s="3170" t="s">
        <v>3967</v>
      </c>
      <c r="F60" s="3177" t="s">
        <v>3324</v>
      </c>
      <c r="G60" s="3169">
        <v>-111</v>
      </c>
      <c r="H60" s="3172">
        <v>23.66</v>
      </c>
      <c r="I60" s="3173">
        <v>828100</v>
      </c>
      <c r="J60" s="3174" t="s">
        <v>3447</v>
      </c>
      <c r="K60" s="3161"/>
      <c r="M60" s="3161"/>
    </row>
    <row r="61" spans="1:13" ht="16.5">
      <c r="A61" s="3168">
        <v>59</v>
      </c>
      <c r="B61" s="3169" t="s">
        <v>3771</v>
      </c>
      <c r="C61" s="3170" t="s">
        <v>3851</v>
      </c>
      <c r="D61" s="3171" t="s">
        <v>3968</v>
      </c>
      <c r="E61" s="3170" t="s">
        <v>3969</v>
      </c>
      <c r="F61" s="3177" t="s">
        <v>3324</v>
      </c>
      <c r="G61" s="3169">
        <v>-112</v>
      </c>
      <c r="H61" s="3172">
        <v>23.66</v>
      </c>
      <c r="I61" s="3173">
        <v>828100</v>
      </c>
      <c r="J61" s="3174" t="s">
        <v>3447</v>
      </c>
      <c r="K61" s="3161"/>
      <c r="M61" s="3161"/>
    </row>
    <row r="62" spans="1:13" ht="16.5">
      <c r="A62" s="3168">
        <v>60</v>
      </c>
      <c r="B62" s="3169" t="s">
        <v>3771</v>
      </c>
      <c r="C62" s="3170" t="s">
        <v>3851</v>
      </c>
      <c r="D62" s="3171" t="s">
        <v>3970</v>
      </c>
      <c r="E62" s="3170" t="s">
        <v>3971</v>
      </c>
      <c r="F62" s="3177" t="s">
        <v>3324</v>
      </c>
      <c r="G62" s="3169">
        <v>-113</v>
      </c>
      <c r="H62" s="3172">
        <v>56.69</v>
      </c>
      <c r="I62" s="3173">
        <v>1984150</v>
      </c>
      <c r="J62" s="3174" t="s">
        <v>3447</v>
      </c>
      <c r="K62" s="3161"/>
      <c r="M62" s="3161"/>
    </row>
    <row r="63" spans="1:13" ht="16.5">
      <c r="A63" s="3168">
        <v>61</v>
      </c>
      <c r="B63" s="3169" t="s">
        <v>3771</v>
      </c>
      <c r="C63" s="3170" t="s">
        <v>3851</v>
      </c>
      <c r="D63" s="3171" t="s">
        <v>3972</v>
      </c>
      <c r="E63" s="3170" t="s">
        <v>3973</v>
      </c>
      <c r="F63" s="3177" t="s">
        <v>3324</v>
      </c>
      <c r="G63" s="3169">
        <v>-114</v>
      </c>
      <c r="H63" s="3172">
        <v>41.15</v>
      </c>
      <c r="I63" s="3173">
        <v>1440250</v>
      </c>
      <c r="J63" s="3174" t="s">
        <v>3447</v>
      </c>
      <c r="K63" s="3161"/>
      <c r="M63" s="3161"/>
    </row>
    <row r="64" spans="1:13" ht="16.5">
      <c r="A64" s="3168">
        <v>62</v>
      </c>
      <c r="B64" s="3169" t="s">
        <v>3771</v>
      </c>
      <c r="C64" s="3170" t="s">
        <v>3851</v>
      </c>
      <c r="D64" s="3171" t="s">
        <v>3974</v>
      </c>
      <c r="E64" s="3170" t="s">
        <v>3975</v>
      </c>
      <c r="F64" s="3177" t="s">
        <v>3324</v>
      </c>
      <c r="G64" s="3169">
        <v>-115</v>
      </c>
      <c r="H64" s="3172">
        <v>41.15</v>
      </c>
      <c r="I64" s="3173">
        <v>1440250</v>
      </c>
      <c r="J64" s="3174" t="s">
        <v>3447</v>
      </c>
      <c r="K64" s="3161"/>
      <c r="M64" s="3161"/>
    </row>
    <row r="65" spans="1:13" ht="16.5">
      <c r="A65" s="3168">
        <v>63</v>
      </c>
      <c r="B65" s="3169" t="s">
        <v>3771</v>
      </c>
      <c r="C65" s="3170" t="s">
        <v>3851</v>
      </c>
      <c r="D65" s="3171" t="s">
        <v>3976</v>
      </c>
      <c r="E65" s="3170" t="s">
        <v>3977</v>
      </c>
      <c r="F65" s="3177" t="s">
        <v>3324</v>
      </c>
      <c r="G65" s="3169">
        <v>-116</v>
      </c>
      <c r="H65" s="3172">
        <v>56.69</v>
      </c>
      <c r="I65" s="3173">
        <v>1984150</v>
      </c>
      <c r="J65" s="3174" t="s">
        <v>3447</v>
      </c>
      <c r="K65" s="3161"/>
      <c r="M65" s="3161"/>
    </row>
    <row r="66" spans="1:13" ht="16.5">
      <c r="A66" s="3168">
        <v>64</v>
      </c>
      <c r="B66" s="3169" t="s">
        <v>3771</v>
      </c>
      <c r="C66" s="3170" t="s">
        <v>3851</v>
      </c>
      <c r="D66" s="3171" t="s">
        <v>3978</v>
      </c>
      <c r="E66" s="3170" t="s">
        <v>3979</v>
      </c>
      <c r="F66" s="3177" t="s">
        <v>3324</v>
      </c>
      <c r="G66" s="3169">
        <v>-117</v>
      </c>
      <c r="H66" s="3172">
        <v>23.66</v>
      </c>
      <c r="I66" s="3173">
        <v>828100</v>
      </c>
      <c r="J66" s="3174" t="s">
        <v>3447</v>
      </c>
      <c r="K66" s="3161"/>
      <c r="M66" s="3161"/>
    </row>
    <row r="67" spans="1:13" ht="16.5">
      <c r="A67" s="3168">
        <v>65</v>
      </c>
      <c r="B67" s="3169" t="s">
        <v>3771</v>
      </c>
      <c r="C67" s="3170" t="s">
        <v>3851</v>
      </c>
      <c r="D67" s="3171" t="s">
        <v>3980</v>
      </c>
      <c r="E67" s="3170" t="s">
        <v>3981</v>
      </c>
      <c r="F67" s="3177" t="s">
        <v>3324</v>
      </c>
      <c r="G67" s="3169">
        <v>-118</v>
      </c>
      <c r="H67" s="3172">
        <v>23.66</v>
      </c>
      <c r="I67" s="3173">
        <v>828100</v>
      </c>
      <c r="J67" s="3174" t="s">
        <v>3447</v>
      </c>
      <c r="K67" s="3161"/>
      <c r="M67" s="3161"/>
    </row>
    <row r="68" spans="1:13" ht="16.5">
      <c r="A68" s="3168">
        <v>66</v>
      </c>
      <c r="B68" s="3169" t="s">
        <v>3771</v>
      </c>
      <c r="C68" s="3170" t="s">
        <v>3851</v>
      </c>
      <c r="D68" s="3171" t="s">
        <v>3982</v>
      </c>
      <c r="E68" s="3170" t="s">
        <v>3983</v>
      </c>
      <c r="F68" s="3177" t="s">
        <v>3324</v>
      </c>
      <c r="G68" s="3169">
        <v>-119</v>
      </c>
      <c r="H68" s="3172">
        <v>49.65</v>
      </c>
      <c r="I68" s="3173">
        <v>1737750</v>
      </c>
      <c r="J68" s="3174" t="s">
        <v>3447</v>
      </c>
      <c r="K68" s="3161"/>
      <c r="M68" s="3161"/>
    </row>
    <row r="69" spans="1:13" ht="16.5">
      <c r="A69" s="3168">
        <v>67</v>
      </c>
      <c r="B69" s="3169" t="s">
        <v>3771</v>
      </c>
      <c r="C69" s="3170" t="s">
        <v>3851</v>
      </c>
      <c r="D69" s="3171" t="s">
        <v>3984</v>
      </c>
      <c r="E69" s="3170" t="s">
        <v>3985</v>
      </c>
      <c r="F69" s="3177" t="s">
        <v>3324</v>
      </c>
      <c r="G69" s="3169">
        <v>-120</v>
      </c>
      <c r="H69" s="3172">
        <v>48.02</v>
      </c>
      <c r="I69" s="3173">
        <v>1680700</v>
      </c>
      <c r="J69" s="3174" t="s">
        <v>3447</v>
      </c>
      <c r="K69" s="3161"/>
      <c r="M69" s="3161"/>
    </row>
    <row r="70" spans="1:13" ht="16.5">
      <c r="A70" s="3168">
        <v>68</v>
      </c>
      <c r="B70" s="3169" t="s">
        <v>3771</v>
      </c>
      <c r="C70" s="3170" t="s">
        <v>3851</v>
      </c>
      <c r="D70" s="3171" t="s">
        <v>3986</v>
      </c>
      <c r="E70" s="3170" t="s">
        <v>3987</v>
      </c>
      <c r="F70" s="3177" t="s">
        <v>3324</v>
      </c>
      <c r="G70" s="3169">
        <v>-121</v>
      </c>
      <c r="H70" s="3172">
        <v>22.82</v>
      </c>
      <c r="I70" s="3173">
        <v>798700</v>
      </c>
      <c r="J70" s="3174" t="s">
        <v>3447</v>
      </c>
      <c r="K70" s="3161"/>
      <c r="M70" s="3161"/>
    </row>
    <row r="71" spans="1:13" ht="16.5">
      <c r="A71" s="3168">
        <v>69</v>
      </c>
      <c r="B71" s="3169" t="s">
        <v>3771</v>
      </c>
      <c r="C71" s="3170" t="s">
        <v>3851</v>
      </c>
      <c r="D71" s="3171" t="s">
        <v>3988</v>
      </c>
      <c r="E71" s="3170" t="s">
        <v>3989</v>
      </c>
      <c r="F71" s="3177" t="s">
        <v>3324</v>
      </c>
      <c r="G71" s="3169">
        <v>-122</v>
      </c>
      <c r="H71" s="3172">
        <v>28.01</v>
      </c>
      <c r="I71" s="3173">
        <v>980350</v>
      </c>
      <c r="J71" s="3174" t="s">
        <v>3447</v>
      </c>
      <c r="K71" s="3161"/>
      <c r="M71" s="3161"/>
    </row>
    <row r="72" spans="1:13" ht="16.5">
      <c r="A72" s="3168">
        <v>70</v>
      </c>
      <c r="B72" s="3169" t="s">
        <v>3771</v>
      </c>
      <c r="C72" s="3170" t="s">
        <v>3851</v>
      </c>
      <c r="D72" s="3171" t="s">
        <v>3990</v>
      </c>
      <c r="E72" s="3170" t="s">
        <v>3991</v>
      </c>
      <c r="F72" s="3177" t="s">
        <v>3324</v>
      </c>
      <c r="G72" s="3169">
        <v>-123</v>
      </c>
      <c r="H72" s="3172">
        <v>27.65</v>
      </c>
      <c r="I72" s="3173">
        <v>967750</v>
      </c>
      <c r="J72" s="3174" t="s">
        <v>3447</v>
      </c>
      <c r="K72" s="3161"/>
      <c r="M72" s="3161"/>
    </row>
    <row r="73" spans="1:13" ht="16.5">
      <c r="A73" s="3168">
        <v>71</v>
      </c>
      <c r="B73" s="3169" t="s">
        <v>3771</v>
      </c>
      <c r="C73" s="3170" t="s">
        <v>3851</v>
      </c>
      <c r="D73" s="3171" t="s">
        <v>3992</v>
      </c>
      <c r="E73" s="3170" t="s">
        <v>3993</v>
      </c>
      <c r="F73" s="3177" t="s">
        <v>3324</v>
      </c>
      <c r="G73" s="3169">
        <v>-124</v>
      </c>
      <c r="H73" s="3172">
        <v>19.170000000000002</v>
      </c>
      <c r="I73" s="3173">
        <v>670950</v>
      </c>
      <c r="J73" s="3174" t="s">
        <v>3447</v>
      </c>
      <c r="K73" s="3161"/>
      <c r="M73" s="3161"/>
    </row>
    <row r="74" spans="1:13" ht="16.5">
      <c r="A74" s="3168">
        <v>72</v>
      </c>
      <c r="B74" s="3169" t="s">
        <v>3771</v>
      </c>
      <c r="C74" s="3170" t="s">
        <v>3851</v>
      </c>
      <c r="D74" s="3171" t="s">
        <v>3994</v>
      </c>
      <c r="E74" s="3170" t="s">
        <v>3995</v>
      </c>
      <c r="F74" s="3177" t="s">
        <v>3324</v>
      </c>
      <c r="G74" s="3169">
        <v>-125</v>
      </c>
      <c r="H74" s="3172">
        <v>19.170000000000002</v>
      </c>
      <c r="I74" s="3173">
        <v>670950</v>
      </c>
      <c r="J74" s="3174" t="s">
        <v>3447</v>
      </c>
      <c r="K74" s="3161"/>
      <c r="M74" s="3161"/>
    </row>
    <row r="75" spans="1:13" ht="16.5">
      <c r="A75" s="3168">
        <v>73</v>
      </c>
      <c r="B75" s="3169" t="s">
        <v>3771</v>
      </c>
      <c r="C75" s="3170" t="s">
        <v>3851</v>
      </c>
      <c r="D75" s="3171" t="s">
        <v>3996</v>
      </c>
      <c r="E75" s="3170" t="s">
        <v>3997</v>
      </c>
      <c r="F75" s="3177" t="s">
        <v>3324</v>
      </c>
      <c r="G75" s="3169">
        <v>-126</v>
      </c>
      <c r="H75" s="3172">
        <v>27.82</v>
      </c>
      <c r="I75" s="3173">
        <v>973700</v>
      </c>
      <c r="J75" s="3174" t="s">
        <v>3447</v>
      </c>
      <c r="K75" s="3161"/>
      <c r="M75" s="3161"/>
    </row>
    <row r="76" spans="1:13" ht="16.5">
      <c r="A76" s="3168">
        <v>74</v>
      </c>
      <c r="B76" s="3169" t="s">
        <v>3771</v>
      </c>
      <c r="C76" s="3170" t="s">
        <v>3851</v>
      </c>
      <c r="D76" s="3171" t="s">
        <v>3998</v>
      </c>
      <c r="E76" s="3170" t="s">
        <v>3999</v>
      </c>
      <c r="F76" s="3177" t="s">
        <v>3324</v>
      </c>
      <c r="G76" s="3169">
        <v>-127</v>
      </c>
      <c r="H76" s="3172">
        <v>27.65</v>
      </c>
      <c r="I76" s="3173">
        <v>967750</v>
      </c>
      <c r="J76" s="3174" t="s">
        <v>3447</v>
      </c>
      <c r="K76" s="3161"/>
      <c r="M76" s="3161"/>
    </row>
    <row r="77" spans="1:13" ht="16.5">
      <c r="A77" s="3168">
        <v>75</v>
      </c>
      <c r="B77" s="3169" t="s">
        <v>3771</v>
      </c>
      <c r="C77" s="3170" t="s">
        <v>3851</v>
      </c>
      <c r="D77" s="3171" t="s">
        <v>4000</v>
      </c>
      <c r="E77" s="3170" t="s">
        <v>4001</v>
      </c>
      <c r="F77" s="3177" t="s">
        <v>3324</v>
      </c>
      <c r="G77" s="3169">
        <v>-128</v>
      </c>
      <c r="H77" s="3172">
        <v>19.809999999999999</v>
      </c>
      <c r="I77" s="3173">
        <v>693350</v>
      </c>
      <c r="J77" s="3174" t="s">
        <v>3447</v>
      </c>
      <c r="K77" s="3161"/>
      <c r="M77" s="3161"/>
    </row>
    <row r="78" spans="1:13" ht="16.5">
      <c r="A78" s="3168">
        <v>76</v>
      </c>
      <c r="B78" s="3169" t="s">
        <v>3771</v>
      </c>
      <c r="C78" s="3170" t="s">
        <v>3851</v>
      </c>
      <c r="D78" s="3171" t="s">
        <v>4002</v>
      </c>
      <c r="E78" s="3170" t="s">
        <v>4003</v>
      </c>
      <c r="F78" s="3177" t="s">
        <v>3324</v>
      </c>
      <c r="G78" s="3169">
        <v>-130</v>
      </c>
      <c r="H78" s="3172">
        <v>27.65</v>
      </c>
      <c r="I78" s="3173">
        <v>967750</v>
      </c>
      <c r="J78" s="3174" t="s">
        <v>3447</v>
      </c>
      <c r="K78" s="3161"/>
      <c r="M78" s="3161"/>
    </row>
    <row r="79" spans="1:13" ht="16.5">
      <c r="A79" s="3168">
        <v>77</v>
      </c>
      <c r="B79" s="3169" t="s">
        <v>3771</v>
      </c>
      <c r="C79" s="3170" t="s">
        <v>3851</v>
      </c>
      <c r="D79" s="3171" t="s">
        <v>4004</v>
      </c>
      <c r="E79" s="3170" t="s">
        <v>4005</v>
      </c>
      <c r="F79" s="3177" t="s">
        <v>3324</v>
      </c>
      <c r="G79" s="3169">
        <v>-202</v>
      </c>
      <c r="H79" s="3172">
        <v>16.36</v>
      </c>
      <c r="I79" s="3173">
        <v>572600</v>
      </c>
      <c r="J79" s="3174" t="s">
        <v>3447</v>
      </c>
      <c r="K79" s="3161"/>
      <c r="M79" s="3161"/>
    </row>
    <row r="80" spans="1:13" ht="16.5">
      <c r="A80" s="3168">
        <v>78</v>
      </c>
      <c r="B80" s="3169" t="s">
        <v>3771</v>
      </c>
      <c r="C80" s="3170" t="s">
        <v>3851</v>
      </c>
      <c r="D80" s="3171" t="s">
        <v>4006</v>
      </c>
      <c r="E80" s="3170" t="s">
        <v>4007</v>
      </c>
      <c r="F80" s="3177" t="s">
        <v>3324</v>
      </c>
      <c r="G80" s="3169">
        <v>-203</v>
      </c>
      <c r="H80" s="3172">
        <v>12.4</v>
      </c>
      <c r="I80" s="3173">
        <v>434000</v>
      </c>
      <c r="J80" s="3174" t="s">
        <v>3447</v>
      </c>
      <c r="K80" s="3161"/>
      <c r="M80" s="3161"/>
    </row>
    <row r="81" spans="1:13" ht="16.5">
      <c r="A81" s="3168">
        <v>79</v>
      </c>
      <c r="B81" s="3169" t="s">
        <v>3771</v>
      </c>
      <c r="C81" s="3170" t="s">
        <v>3851</v>
      </c>
      <c r="D81" s="3171" t="s">
        <v>4008</v>
      </c>
      <c r="E81" s="3170" t="s">
        <v>4009</v>
      </c>
      <c r="F81" s="3177" t="s">
        <v>3324</v>
      </c>
      <c r="G81" s="3169">
        <v>-204</v>
      </c>
      <c r="H81" s="3172">
        <v>16.36</v>
      </c>
      <c r="I81" s="3173">
        <v>572600</v>
      </c>
      <c r="J81" s="3174" t="s">
        <v>3447</v>
      </c>
      <c r="K81" s="3161"/>
      <c r="M81" s="3161"/>
    </row>
    <row r="82" spans="1:13" ht="16.5">
      <c r="A82" s="3168">
        <v>80</v>
      </c>
      <c r="B82" s="3169" t="s">
        <v>3771</v>
      </c>
      <c r="C82" s="3170" t="s">
        <v>3851</v>
      </c>
      <c r="D82" s="3171" t="s">
        <v>4010</v>
      </c>
      <c r="E82" s="3170" t="s">
        <v>4011</v>
      </c>
      <c r="F82" s="3177" t="s">
        <v>3324</v>
      </c>
      <c r="G82" s="3169">
        <v>-205</v>
      </c>
      <c r="H82" s="3172">
        <v>16.36</v>
      </c>
      <c r="I82" s="3173">
        <v>572600</v>
      </c>
      <c r="J82" s="3174" t="s">
        <v>3447</v>
      </c>
      <c r="K82" s="3161"/>
      <c r="M82" s="3161"/>
    </row>
    <row r="83" spans="1:13" ht="16.5">
      <c r="A83" s="3168">
        <v>81</v>
      </c>
      <c r="B83" s="3169" t="s">
        <v>3771</v>
      </c>
      <c r="C83" s="3170" t="s">
        <v>3851</v>
      </c>
      <c r="D83" s="3171" t="s">
        <v>4012</v>
      </c>
      <c r="E83" s="3170" t="s">
        <v>4013</v>
      </c>
      <c r="F83" s="3177" t="s">
        <v>3324</v>
      </c>
      <c r="G83" s="3169">
        <v>-206</v>
      </c>
      <c r="H83" s="3172">
        <v>17.04</v>
      </c>
      <c r="I83" s="3173">
        <v>596400</v>
      </c>
      <c r="J83" s="3174" t="s">
        <v>3447</v>
      </c>
      <c r="K83" s="3161"/>
      <c r="M83" s="3161"/>
    </row>
    <row r="84" spans="1:13" ht="16.5">
      <c r="A84" s="3168">
        <v>82</v>
      </c>
      <c r="B84" s="3169" t="s">
        <v>3784</v>
      </c>
      <c r="C84" s="3170" t="s">
        <v>3851</v>
      </c>
      <c r="D84" s="3171" t="s">
        <v>4014</v>
      </c>
      <c r="E84" s="3170" t="s">
        <v>4015</v>
      </c>
      <c r="F84" s="3177" t="s">
        <v>3324</v>
      </c>
      <c r="G84" s="3169">
        <v>-101</v>
      </c>
      <c r="H84" s="3172">
        <v>31.03</v>
      </c>
      <c r="I84" s="3173">
        <v>1086050</v>
      </c>
      <c r="J84" s="3174" t="s">
        <v>3447</v>
      </c>
      <c r="K84" s="3161"/>
      <c r="M84" s="3161"/>
    </row>
    <row r="85" spans="1:13" ht="16.5">
      <c r="A85" s="3168">
        <v>83</v>
      </c>
      <c r="B85" s="3169" t="s">
        <v>3784</v>
      </c>
      <c r="C85" s="3170" t="s">
        <v>3851</v>
      </c>
      <c r="D85" s="3171" t="s">
        <v>4016</v>
      </c>
      <c r="E85" s="3170" t="s">
        <v>4017</v>
      </c>
      <c r="F85" s="3177" t="s">
        <v>3324</v>
      </c>
      <c r="G85" s="3169">
        <v>-102</v>
      </c>
      <c r="H85" s="3172">
        <v>16.079999999999998</v>
      </c>
      <c r="I85" s="3173">
        <v>562800</v>
      </c>
      <c r="J85" s="3174" t="s">
        <v>3447</v>
      </c>
      <c r="K85" s="3161"/>
      <c r="M85" s="3161"/>
    </row>
    <row r="86" spans="1:13" ht="16.5">
      <c r="A86" s="3168">
        <v>84</v>
      </c>
      <c r="B86" s="3169" t="s">
        <v>3784</v>
      </c>
      <c r="C86" s="3170" t="s">
        <v>3851</v>
      </c>
      <c r="D86" s="3171" t="s">
        <v>4018</v>
      </c>
      <c r="E86" s="3170" t="s">
        <v>4019</v>
      </c>
      <c r="F86" s="3177" t="s">
        <v>3324</v>
      </c>
      <c r="G86" s="3169">
        <v>-103</v>
      </c>
      <c r="H86" s="3172">
        <v>46.54</v>
      </c>
      <c r="I86" s="3173">
        <v>1628900</v>
      </c>
      <c r="J86" s="3174" t="s">
        <v>3447</v>
      </c>
      <c r="K86" s="3161"/>
      <c r="M86" s="3161"/>
    </row>
    <row r="87" spans="1:13" ht="16.5">
      <c r="A87" s="3168">
        <v>85</v>
      </c>
      <c r="B87" s="3169" t="s">
        <v>3784</v>
      </c>
      <c r="C87" s="3170" t="s">
        <v>3851</v>
      </c>
      <c r="D87" s="3171" t="s">
        <v>4020</v>
      </c>
      <c r="E87" s="3170" t="s">
        <v>4021</v>
      </c>
      <c r="F87" s="3177" t="s">
        <v>3324</v>
      </c>
      <c r="G87" s="3169">
        <v>-104</v>
      </c>
      <c r="H87" s="3172">
        <v>53.76</v>
      </c>
      <c r="I87" s="3173">
        <v>1881600</v>
      </c>
      <c r="J87" s="3174" t="s">
        <v>3447</v>
      </c>
      <c r="K87" s="3161"/>
      <c r="M87" s="3161"/>
    </row>
    <row r="88" spans="1:13" ht="16.5">
      <c r="A88" s="3168">
        <v>86</v>
      </c>
      <c r="B88" s="3169" t="s">
        <v>3784</v>
      </c>
      <c r="C88" s="3170" t="s">
        <v>3851</v>
      </c>
      <c r="D88" s="3171" t="s">
        <v>4022</v>
      </c>
      <c r="E88" s="3170" t="s">
        <v>4023</v>
      </c>
      <c r="F88" s="3177" t="s">
        <v>3324</v>
      </c>
      <c r="G88" s="3169">
        <v>-105</v>
      </c>
      <c r="H88" s="3172">
        <v>23.66</v>
      </c>
      <c r="I88" s="3173">
        <v>828100</v>
      </c>
      <c r="J88" s="3174" t="s">
        <v>3447</v>
      </c>
      <c r="K88" s="3161"/>
      <c r="M88" s="3161"/>
    </row>
    <row r="89" spans="1:13" ht="16.5">
      <c r="A89" s="3168">
        <v>87</v>
      </c>
      <c r="B89" s="3169" t="s">
        <v>3784</v>
      </c>
      <c r="C89" s="3170" t="s">
        <v>3851</v>
      </c>
      <c r="D89" s="3171" t="s">
        <v>4024</v>
      </c>
      <c r="E89" s="3170" t="s">
        <v>4025</v>
      </c>
      <c r="F89" s="3177" t="s">
        <v>3324</v>
      </c>
      <c r="G89" s="3169">
        <v>-106</v>
      </c>
      <c r="H89" s="3172">
        <v>23.66</v>
      </c>
      <c r="I89" s="3173">
        <v>828100</v>
      </c>
      <c r="J89" s="3174" t="s">
        <v>3447</v>
      </c>
      <c r="K89" s="3161"/>
      <c r="M89" s="3161"/>
    </row>
    <row r="90" spans="1:13" ht="16.5">
      <c r="A90" s="3168">
        <v>88</v>
      </c>
      <c r="B90" s="3169" t="s">
        <v>3784</v>
      </c>
      <c r="C90" s="3170" t="s">
        <v>3851</v>
      </c>
      <c r="D90" s="3171" t="s">
        <v>4026</v>
      </c>
      <c r="E90" s="3170" t="s">
        <v>4027</v>
      </c>
      <c r="F90" s="3177" t="s">
        <v>3324</v>
      </c>
      <c r="G90" s="3169">
        <v>-107</v>
      </c>
      <c r="H90" s="3172">
        <v>56.69</v>
      </c>
      <c r="I90" s="3173">
        <v>1984150</v>
      </c>
      <c r="J90" s="3174" t="s">
        <v>3447</v>
      </c>
      <c r="K90" s="3161"/>
      <c r="M90" s="3161"/>
    </row>
    <row r="91" spans="1:13" ht="16.5">
      <c r="A91" s="3168">
        <v>89</v>
      </c>
      <c r="B91" s="3169" t="s">
        <v>3784</v>
      </c>
      <c r="C91" s="3170" t="s">
        <v>3851</v>
      </c>
      <c r="D91" s="3171" t="s">
        <v>4028</v>
      </c>
      <c r="E91" s="3170" t="s">
        <v>4029</v>
      </c>
      <c r="F91" s="3177" t="s">
        <v>3324</v>
      </c>
      <c r="G91" s="3169">
        <v>-108</v>
      </c>
      <c r="H91" s="3172">
        <v>41.15</v>
      </c>
      <c r="I91" s="3173">
        <v>1440250</v>
      </c>
      <c r="J91" s="3174" t="s">
        <v>3447</v>
      </c>
      <c r="K91" s="3161"/>
      <c r="M91" s="3161"/>
    </row>
    <row r="92" spans="1:13" ht="16.5">
      <c r="A92" s="3168">
        <v>90</v>
      </c>
      <c r="B92" s="3169" t="s">
        <v>3784</v>
      </c>
      <c r="C92" s="3170" t="s">
        <v>3851</v>
      </c>
      <c r="D92" s="3171" t="s">
        <v>4030</v>
      </c>
      <c r="E92" s="3170" t="s">
        <v>4031</v>
      </c>
      <c r="F92" s="3177" t="s">
        <v>3324</v>
      </c>
      <c r="G92" s="3169">
        <v>-109</v>
      </c>
      <c r="H92" s="3172">
        <v>41.15</v>
      </c>
      <c r="I92" s="3173">
        <v>1440250</v>
      </c>
      <c r="J92" s="3174" t="s">
        <v>3447</v>
      </c>
      <c r="K92" s="3161"/>
      <c r="M92" s="3161"/>
    </row>
    <row r="93" spans="1:13" ht="16.5">
      <c r="A93" s="3168">
        <v>91</v>
      </c>
      <c r="B93" s="3169" t="s">
        <v>3784</v>
      </c>
      <c r="C93" s="3170" t="s">
        <v>3851</v>
      </c>
      <c r="D93" s="3171" t="s">
        <v>4032</v>
      </c>
      <c r="E93" s="3170" t="s">
        <v>4033</v>
      </c>
      <c r="F93" s="3177" t="s">
        <v>3324</v>
      </c>
      <c r="G93" s="3169">
        <v>-110</v>
      </c>
      <c r="H93" s="3172">
        <v>56.69</v>
      </c>
      <c r="I93" s="3173">
        <v>1984150</v>
      </c>
      <c r="J93" s="3174" t="s">
        <v>3447</v>
      </c>
      <c r="K93" s="3161"/>
      <c r="M93" s="3161"/>
    </row>
    <row r="94" spans="1:13" ht="16.5">
      <c r="A94" s="3168">
        <v>92</v>
      </c>
      <c r="B94" s="3169" t="s">
        <v>3784</v>
      </c>
      <c r="C94" s="3170" t="s">
        <v>3851</v>
      </c>
      <c r="D94" s="3171" t="s">
        <v>4034</v>
      </c>
      <c r="E94" s="3170" t="s">
        <v>4035</v>
      </c>
      <c r="F94" s="3177" t="s">
        <v>3324</v>
      </c>
      <c r="G94" s="3169">
        <v>-111</v>
      </c>
      <c r="H94" s="3172">
        <v>23.66</v>
      </c>
      <c r="I94" s="3173">
        <v>828100</v>
      </c>
      <c r="J94" s="3174" t="s">
        <v>3447</v>
      </c>
      <c r="K94" s="3161"/>
      <c r="M94" s="3161"/>
    </row>
    <row r="95" spans="1:13" ht="16.5">
      <c r="A95" s="3168">
        <v>93</v>
      </c>
      <c r="B95" s="3169" t="s">
        <v>3784</v>
      </c>
      <c r="C95" s="3170" t="s">
        <v>3851</v>
      </c>
      <c r="D95" s="3171" t="s">
        <v>4036</v>
      </c>
      <c r="E95" s="3170" t="s">
        <v>4037</v>
      </c>
      <c r="F95" s="3177" t="s">
        <v>3324</v>
      </c>
      <c r="G95" s="3169">
        <v>-117</v>
      </c>
      <c r="H95" s="3172">
        <v>27.65</v>
      </c>
      <c r="I95" s="3173">
        <v>967750</v>
      </c>
      <c r="J95" s="3174" t="s">
        <v>3447</v>
      </c>
      <c r="K95" s="3161"/>
      <c r="M95" s="3161"/>
    </row>
    <row r="96" spans="1:13" ht="16.5">
      <c r="A96" s="3168">
        <v>94</v>
      </c>
      <c r="B96" s="3169" t="s">
        <v>3784</v>
      </c>
      <c r="C96" s="3170" t="s">
        <v>3851</v>
      </c>
      <c r="D96" s="3171" t="s">
        <v>4038</v>
      </c>
      <c r="E96" s="3170" t="s">
        <v>4039</v>
      </c>
      <c r="F96" s="3177" t="s">
        <v>3324</v>
      </c>
      <c r="G96" s="3169">
        <v>-118</v>
      </c>
      <c r="H96" s="3172">
        <v>19.170000000000002</v>
      </c>
      <c r="I96" s="3173">
        <v>670950</v>
      </c>
      <c r="J96" s="3174" t="s">
        <v>3447</v>
      </c>
      <c r="K96" s="3161"/>
      <c r="M96" s="3161"/>
    </row>
    <row r="97" spans="1:13" ht="16.5">
      <c r="A97" s="3168">
        <v>95</v>
      </c>
      <c r="B97" s="3169" t="s">
        <v>3784</v>
      </c>
      <c r="C97" s="3170" t="s">
        <v>3851</v>
      </c>
      <c r="D97" s="3171" t="s">
        <v>4040</v>
      </c>
      <c r="E97" s="3170" t="s">
        <v>4041</v>
      </c>
      <c r="F97" s="3177" t="s">
        <v>3324</v>
      </c>
      <c r="G97" s="3169">
        <v>-119</v>
      </c>
      <c r="H97" s="3172">
        <v>19.170000000000002</v>
      </c>
      <c r="I97" s="3173">
        <v>670950</v>
      </c>
      <c r="J97" s="3174" t="s">
        <v>3447</v>
      </c>
      <c r="K97" s="3161"/>
      <c r="M97" s="3161"/>
    </row>
    <row r="98" spans="1:13" ht="16.5">
      <c r="A98" s="3168">
        <v>96</v>
      </c>
      <c r="B98" s="3169" t="s">
        <v>3784</v>
      </c>
      <c r="C98" s="3170" t="s">
        <v>3851</v>
      </c>
      <c r="D98" s="3171" t="s">
        <v>4042</v>
      </c>
      <c r="E98" s="3170" t="s">
        <v>4043</v>
      </c>
      <c r="F98" s="3177" t="s">
        <v>3324</v>
      </c>
      <c r="G98" s="3169">
        <v>-120</v>
      </c>
      <c r="H98" s="3172">
        <v>27.65</v>
      </c>
      <c r="I98" s="3173">
        <v>967750</v>
      </c>
      <c r="J98" s="3174" t="s">
        <v>3447</v>
      </c>
      <c r="K98" s="3161"/>
      <c r="M98" s="3161"/>
    </row>
    <row r="99" spans="1:13" ht="16.5">
      <c r="A99" s="3168">
        <v>97</v>
      </c>
      <c r="B99" s="3169" t="s">
        <v>3784</v>
      </c>
      <c r="C99" s="3170" t="s">
        <v>3851</v>
      </c>
      <c r="D99" s="3171" t="s">
        <v>4044</v>
      </c>
      <c r="E99" s="3170" t="s">
        <v>4045</v>
      </c>
      <c r="F99" s="3177" t="s">
        <v>3324</v>
      </c>
      <c r="G99" s="3169">
        <v>-201</v>
      </c>
      <c r="H99" s="3172">
        <v>18.350000000000001</v>
      </c>
      <c r="I99" s="3173">
        <v>642250</v>
      </c>
      <c r="J99" s="3174" t="s">
        <v>3447</v>
      </c>
      <c r="K99" s="3161"/>
      <c r="M99" s="3161"/>
    </row>
    <row r="100" spans="1:13" ht="16.5">
      <c r="A100" s="3168">
        <v>98</v>
      </c>
      <c r="B100" s="3169" t="s">
        <v>3784</v>
      </c>
      <c r="C100" s="3170" t="s">
        <v>3851</v>
      </c>
      <c r="D100" s="3171" t="s">
        <v>4046</v>
      </c>
      <c r="E100" s="3170" t="s">
        <v>4047</v>
      </c>
      <c r="F100" s="3177" t="s">
        <v>3324</v>
      </c>
      <c r="G100" s="3169">
        <v>-202</v>
      </c>
      <c r="H100" s="3172">
        <v>16.36</v>
      </c>
      <c r="I100" s="3173">
        <v>572600</v>
      </c>
      <c r="J100" s="3174" t="s">
        <v>3447</v>
      </c>
      <c r="K100" s="3161"/>
      <c r="M100" s="3161"/>
    </row>
    <row r="101" spans="1:13" ht="16.5">
      <c r="A101" s="3168">
        <v>99</v>
      </c>
      <c r="B101" s="3169" t="s">
        <v>3784</v>
      </c>
      <c r="C101" s="3170" t="s">
        <v>3851</v>
      </c>
      <c r="D101" s="3171" t="s">
        <v>4048</v>
      </c>
      <c r="E101" s="3170" t="s">
        <v>4049</v>
      </c>
      <c r="F101" s="3177" t="s">
        <v>3324</v>
      </c>
      <c r="G101" s="3169">
        <v>-203</v>
      </c>
      <c r="H101" s="3172">
        <v>12.41</v>
      </c>
      <c r="I101" s="3173">
        <v>434350</v>
      </c>
      <c r="J101" s="3174" t="s">
        <v>3447</v>
      </c>
      <c r="K101" s="3161"/>
      <c r="M101" s="3161"/>
    </row>
    <row r="102" spans="1:13" ht="16.5">
      <c r="A102" s="3168">
        <v>100</v>
      </c>
      <c r="B102" s="3169" t="s">
        <v>3799</v>
      </c>
      <c r="C102" s="3170" t="s">
        <v>3851</v>
      </c>
      <c r="D102" s="3171" t="s">
        <v>4050</v>
      </c>
      <c r="E102" s="3170" t="s">
        <v>4051</v>
      </c>
      <c r="F102" s="3177" t="s">
        <v>3324</v>
      </c>
      <c r="G102" s="3169">
        <v>-101</v>
      </c>
      <c r="H102" s="3172">
        <v>27.29</v>
      </c>
      <c r="I102" s="3173">
        <v>955150</v>
      </c>
      <c r="J102" s="3174" t="s">
        <v>3447</v>
      </c>
      <c r="K102" s="3161"/>
      <c r="M102" s="3161"/>
    </row>
    <row r="103" spans="1:13" ht="16.5">
      <c r="A103" s="3168">
        <v>101</v>
      </c>
      <c r="B103" s="3169" t="s">
        <v>3799</v>
      </c>
      <c r="C103" s="3170" t="s">
        <v>3851</v>
      </c>
      <c r="D103" s="3171" t="s">
        <v>4052</v>
      </c>
      <c r="E103" s="3170" t="s">
        <v>4053</v>
      </c>
      <c r="F103" s="3177" t="s">
        <v>3324</v>
      </c>
      <c r="G103" s="3169">
        <v>-102</v>
      </c>
      <c r="H103" s="3172">
        <v>22.38</v>
      </c>
      <c r="I103" s="3173">
        <v>783300</v>
      </c>
      <c r="J103" s="3174" t="s">
        <v>3447</v>
      </c>
      <c r="K103" s="3161"/>
      <c r="M103" s="3161"/>
    </row>
    <row r="104" spans="1:13" ht="16.5">
      <c r="A104" s="3168">
        <v>102</v>
      </c>
      <c r="B104" s="3169" t="s">
        <v>3799</v>
      </c>
      <c r="C104" s="3170" t="s">
        <v>3851</v>
      </c>
      <c r="D104" s="3171" t="s">
        <v>4054</v>
      </c>
      <c r="E104" s="3170" t="s">
        <v>4055</v>
      </c>
      <c r="F104" s="3177" t="s">
        <v>3324</v>
      </c>
      <c r="G104" s="3169">
        <v>-103</v>
      </c>
      <c r="H104" s="3172">
        <v>47.06</v>
      </c>
      <c r="I104" s="3173">
        <v>1647100</v>
      </c>
      <c r="J104" s="3174" t="s">
        <v>3447</v>
      </c>
      <c r="K104" s="3161"/>
      <c r="M104" s="3161"/>
    </row>
    <row r="105" spans="1:13" ht="16.5">
      <c r="A105" s="3168">
        <v>103</v>
      </c>
      <c r="B105" s="3169" t="s">
        <v>3799</v>
      </c>
      <c r="C105" s="3170" t="s">
        <v>3851</v>
      </c>
      <c r="D105" s="3171" t="s">
        <v>4056</v>
      </c>
      <c r="E105" s="3170" t="s">
        <v>4057</v>
      </c>
      <c r="F105" s="3177" t="s">
        <v>3324</v>
      </c>
      <c r="G105" s="3169">
        <v>-104</v>
      </c>
      <c r="H105" s="3172">
        <v>48.7</v>
      </c>
      <c r="I105" s="3173">
        <v>1704500</v>
      </c>
      <c r="J105" s="3174" t="s">
        <v>3447</v>
      </c>
      <c r="K105" s="3161"/>
      <c r="M105" s="3161"/>
    </row>
    <row r="106" spans="1:13" ht="16.5">
      <c r="A106" s="3168">
        <v>104</v>
      </c>
      <c r="B106" s="3169" t="s">
        <v>3799</v>
      </c>
      <c r="C106" s="3170" t="s">
        <v>3851</v>
      </c>
      <c r="D106" s="3171" t="s">
        <v>4058</v>
      </c>
      <c r="E106" s="3170" t="s">
        <v>4059</v>
      </c>
      <c r="F106" s="3177" t="s">
        <v>3324</v>
      </c>
      <c r="G106" s="3169">
        <v>-105</v>
      </c>
      <c r="H106" s="3172">
        <v>23.2</v>
      </c>
      <c r="I106" s="3173">
        <v>812000</v>
      </c>
      <c r="J106" s="3174" t="s">
        <v>3447</v>
      </c>
      <c r="K106" s="3161"/>
      <c r="M106" s="3161"/>
    </row>
    <row r="107" spans="1:13" ht="16.5">
      <c r="A107" s="3168">
        <v>105</v>
      </c>
      <c r="B107" s="3169" t="s">
        <v>3799</v>
      </c>
      <c r="C107" s="3170" t="s">
        <v>3851</v>
      </c>
      <c r="D107" s="3171" t="s">
        <v>4060</v>
      </c>
      <c r="E107" s="3170" t="s">
        <v>4061</v>
      </c>
      <c r="F107" s="3177" t="s">
        <v>3324</v>
      </c>
      <c r="G107" s="3169">
        <v>-106</v>
      </c>
      <c r="H107" s="3172">
        <v>23.2</v>
      </c>
      <c r="I107" s="3173">
        <v>812000</v>
      </c>
      <c r="J107" s="3174" t="s">
        <v>3447</v>
      </c>
      <c r="K107" s="3161"/>
      <c r="M107" s="3161"/>
    </row>
    <row r="108" spans="1:13" ht="16.5">
      <c r="A108" s="3168">
        <v>106</v>
      </c>
      <c r="B108" s="3169" t="s">
        <v>3799</v>
      </c>
      <c r="C108" s="3170" t="s">
        <v>3851</v>
      </c>
      <c r="D108" s="3171" t="s">
        <v>4062</v>
      </c>
      <c r="E108" s="3170" t="s">
        <v>4063</v>
      </c>
      <c r="F108" s="3177" t="s">
        <v>3324</v>
      </c>
      <c r="G108" s="3169">
        <v>-107</v>
      </c>
      <c r="H108" s="3172">
        <v>48.7</v>
      </c>
      <c r="I108" s="3173">
        <v>1704500</v>
      </c>
      <c r="J108" s="3174" t="s">
        <v>3447</v>
      </c>
      <c r="K108" s="3161"/>
      <c r="M108" s="3161"/>
    </row>
    <row r="109" spans="1:13" ht="16.5">
      <c r="A109" s="3168">
        <v>107</v>
      </c>
      <c r="B109" s="3169" t="s">
        <v>3799</v>
      </c>
      <c r="C109" s="3170" t="s">
        <v>3851</v>
      </c>
      <c r="D109" s="3171" t="s">
        <v>4064</v>
      </c>
      <c r="E109" s="3170" t="s">
        <v>4065</v>
      </c>
      <c r="F109" s="3177" t="s">
        <v>3324</v>
      </c>
      <c r="G109" s="3169">
        <v>-108</v>
      </c>
      <c r="H109" s="3172">
        <v>47.1</v>
      </c>
      <c r="I109" s="3173">
        <v>1648500</v>
      </c>
      <c r="J109" s="3174" t="s">
        <v>3447</v>
      </c>
      <c r="K109" s="3161"/>
      <c r="M109" s="3161"/>
    </row>
    <row r="110" spans="1:13" ht="16.5">
      <c r="A110" s="3168">
        <v>108</v>
      </c>
      <c r="B110" s="3169" t="s">
        <v>3799</v>
      </c>
      <c r="C110" s="3170" t="s">
        <v>3851</v>
      </c>
      <c r="D110" s="3171" t="s">
        <v>4066</v>
      </c>
      <c r="E110" s="3170" t="s">
        <v>4067</v>
      </c>
      <c r="F110" s="3177" t="s">
        <v>3324</v>
      </c>
      <c r="G110" s="3169">
        <v>-109</v>
      </c>
      <c r="H110" s="3172">
        <v>27.52</v>
      </c>
      <c r="I110" s="3173">
        <v>963200</v>
      </c>
      <c r="J110" s="3174" t="s">
        <v>3447</v>
      </c>
      <c r="K110" s="3161"/>
      <c r="M110" s="3161"/>
    </row>
    <row r="111" spans="1:13" ht="16.5">
      <c r="A111" s="3168">
        <v>109</v>
      </c>
      <c r="B111" s="3169" t="s">
        <v>3799</v>
      </c>
      <c r="C111" s="3170" t="s">
        <v>3851</v>
      </c>
      <c r="D111" s="3171" t="s">
        <v>4068</v>
      </c>
      <c r="E111" s="3170" t="s">
        <v>4069</v>
      </c>
      <c r="F111" s="3177" t="s">
        <v>3324</v>
      </c>
      <c r="G111" s="3169">
        <v>-201</v>
      </c>
      <c r="H111" s="3172">
        <v>16.940000000000001</v>
      </c>
      <c r="I111" s="3173">
        <v>592900</v>
      </c>
      <c r="J111" s="3174" t="s">
        <v>3447</v>
      </c>
      <c r="K111" s="3161"/>
      <c r="M111" s="3161"/>
    </row>
    <row r="112" spans="1:13" ht="16.5">
      <c r="A112" s="3168">
        <v>110</v>
      </c>
      <c r="B112" s="3169" t="s">
        <v>3799</v>
      </c>
      <c r="C112" s="3170" t="s">
        <v>3851</v>
      </c>
      <c r="D112" s="3171" t="s">
        <v>4070</v>
      </c>
      <c r="E112" s="3170" t="s">
        <v>4071</v>
      </c>
      <c r="F112" s="3177" t="s">
        <v>3324</v>
      </c>
      <c r="G112" s="3169">
        <v>-202</v>
      </c>
      <c r="H112" s="3172">
        <v>26.37</v>
      </c>
      <c r="I112" s="3173">
        <v>922950</v>
      </c>
      <c r="J112" s="3174" t="s">
        <v>3447</v>
      </c>
      <c r="K112" s="3161"/>
      <c r="M112" s="3161"/>
    </row>
    <row r="113" spans="1:13" ht="16.5">
      <c r="A113" s="3168">
        <v>111</v>
      </c>
      <c r="B113" s="3169" t="s">
        <v>3799</v>
      </c>
      <c r="C113" s="3170" t="s">
        <v>3851</v>
      </c>
      <c r="D113" s="3171" t="s">
        <v>4072</v>
      </c>
      <c r="E113" s="3170" t="s">
        <v>4073</v>
      </c>
      <c r="F113" s="3177" t="s">
        <v>3324</v>
      </c>
      <c r="G113" s="3169">
        <v>-203</v>
      </c>
      <c r="H113" s="3172">
        <v>19.690000000000001</v>
      </c>
      <c r="I113" s="3173">
        <v>689150</v>
      </c>
      <c r="J113" s="3174" t="s">
        <v>3447</v>
      </c>
      <c r="K113" s="3161"/>
      <c r="M113" s="3161"/>
    </row>
    <row r="114" spans="1:13" ht="16.5">
      <c r="A114" s="3168">
        <v>112</v>
      </c>
      <c r="B114" s="3169" t="s">
        <v>3799</v>
      </c>
      <c r="C114" s="3170" t="s">
        <v>3851</v>
      </c>
      <c r="D114" s="3171" t="s">
        <v>4074</v>
      </c>
      <c r="E114" s="3170" t="s">
        <v>4075</v>
      </c>
      <c r="F114" s="3177" t="s">
        <v>3324</v>
      </c>
      <c r="G114" s="3169">
        <v>-204</v>
      </c>
      <c r="H114" s="3172">
        <v>19.690000000000001</v>
      </c>
      <c r="I114" s="3173">
        <v>689150</v>
      </c>
      <c r="J114" s="3174" t="s">
        <v>3447</v>
      </c>
      <c r="K114" s="3161"/>
      <c r="M114" s="3161"/>
    </row>
    <row r="115" spans="1:13" ht="16.5">
      <c r="A115" s="3168">
        <v>113</v>
      </c>
      <c r="B115" s="3169" t="s">
        <v>3799</v>
      </c>
      <c r="C115" s="3170" t="s">
        <v>3851</v>
      </c>
      <c r="D115" s="3171" t="s">
        <v>4076</v>
      </c>
      <c r="E115" s="3170" t="s">
        <v>4077</v>
      </c>
      <c r="F115" s="3177" t="s">
        <v>3324</v>
      </c>
      <c r="G115" s="3169">
        <v>-205</v>
      </c>
      <c r="H115" s="3172">
        <v>16.440000000000001</v>
      </c>
      <c r="I115" s="3173">
        <v>575400</v>
      </c>
      <c r="J115" s="3174" t="s">
        <v>3447</v>
      </c>
      <c r="K115" s="3161"/>
      <c r="M115" s="3161"/>
    </row>
    <row r="116" spans="1:13" ht="16.5">
      <c r="A116" s="3168">
        <v>114</v>
      </c>
      <c r="B116" s="3169" t="s">
        <v>3810</v>
      </c>
      <c r="C116" s="3170" t="s">
        <v>3851</v>
      </c>
      <c r="D116" s="3172" t="s">
        <v>4078</v>
      </c>
      <c r="E116" s="3170" t="s">
        <v>4079</v>
      </c>
      <c r="F116" s="3177" t="s">
        <v>3324</v>
      </c>
      <c r="G116" s="3169">
        <v>-106</v>
      </c>
      <c r="H116" s="3172">
        <v>23.11</v>
      </c>
      <c r="I116" s="3173">
        <v>808850</v>
      </c>
      <c r="J116" s="3174" t="s">
        <v>3463</v>
      </c>
      <c r="K116" s="3161"/>
      <c r="M116" s="3161"/>
    </row>
    <row r="117" spans="1:13" ht="16.5">
      <c r="A117" s="3168">
        <v>115</v>
      </c>
      <c r="B117" s="3169" t="s">
        <v>3810</v>
      </c>
      <c r="C117" s="3170" t="s">
        <v>3851</v>
      </c>
      <c r="D117" s="3172" t="s">
        <v>4080</v>
      </c>
      <c r="E117" s="3170" t="s">
        <v>4081</v>
      </c>
      <c r="F117" s="3177" t="s">
        <v>3324</v>
      </c>
      <c r="G117" s="3169">
        <v>-107</v>
      </c>
      <c r="H117" s="3172">
        <v>52.52</v>
      </c>
      <c r="I117" s="3173">
        <v>1838200</v>
      </c>
      <c r="J117" s="3174" t="s">
        <v>3463</v>
      </c>
      <c r="K117" s="3161"/>
      <c r="M117" s="3161"/>
    </row>
    <row r="118" spans="1:13" ht="16.5">
      <c r="A118" s="3168">
        <v>116</v>
      </c>
      <c r="B118" s="3169" t="s">
        <v>3810</v>
      </c>
      <c r="C118" s="3170" t="s">
        <v>3851</v>
      </c>
      <c r="D118" s="3172" t="s">
        <v>4082</v>
      </c>
      <c r="E118" s="3170" t="s">
        <v>4083</v>
      </c>
      <c r="F118" s="3177" t="s">
        <v>3324</v>
      </c>
      <c r="G118" s="3169">
        <v>-108</v>
      </c>
      <c r="H118" s="3172">
        <v>45.47</v>
      </c>
      <c r="I118" s="3173">
        <v>1591450</v>
      </c>
      <c r="J118" s="3174" t="s">
        <v>3463</v>
      </c>
      <c r="K118" s="3161"/>
      <c r="M118" s="3161"/>
    </row>
    <row r="119" spans="1:13" ht="16.5">
      <c r="A119" s="3168">
        <v>117</v>
      </c>
      <c r="B119" s="3169" t="s">
        <v>3810</v>
      </c>
      <c r="C119" s="3170" t="s">
        <v>3851</v>
      </c>
      <c r="D119" s="3172" t="s">
        <v>4084</v>
      </c>
      <c r="E119" s="3170" t="s">
        <v>4085</v>
      </c>
      <c r="F119" s="3177" t="s">
        <v>3324</v>
      </c>
      <c r="G119" s="3169">
        <v>-109</v>
      </c>
      <c r="H119" s="3172">
        <v>15.71</v>
      </c>
      <c r="I119" s="3173">
        <v>549850</v>
      </c>
      <c r="J119" s="3174" t="s">
        <v>3463</v>
      </c>
      <c r="K119" s="3161"/>
      <c r="M119" s="3161"/>
    </row>
    <row r="120" spans="1:13" ht="16.5">
      <c r="A120" s="3168">
        <v>118</v>
      </c>
      <c r="B120" s="3169" t="s">
        <v>3810</v>
      </c>
      <c r="C120" s="3170" t="s">
        <v>3851</v>
      </c>
      <c r="D120" s="3172" t="s">
        <v>4086</v>
      </c>
      <c r="E120" s="3170" t="s">
        <v>4087</v>
      </c>
      <c r="F120" s="3177" t="s">
        <v>3324</v>
      </c>
      <c r="G120" s="3169">
        <v>-110</v>
      </c>
      <c r="H120" s="3172">
        <v>30.31</v>
      </c>
      <c r="I120" s="3173">
        <v>1060850</v>
      </c>
      <c r="J120" s="3174" t="s">
        <v>3463</v>
      </c>
      <c r="K120" s="3161"/>
      <c r="M120" s="3161"/>
    </row>
    <row r="121" spans="1:13" ht="16.5">
      <c r="A121" s="3168">
        <v>119</v>
      </c>
      <c r="B121" s="3169" t="s">
        <v>3810</v>
      </c>
      <c r="C121" s="3170" t="s">
        <v>3851</v>
      </c>
      <c r="D121" s="3171" t="s">
        <v>4088</v>
      </c>
      <c r="E121" s="3170" t="s">
        <v>4089</v>
      </c>
      <c r="F121" s="3177" t="s">
        <v>3324</v>
      </c>
      <c r="G121" s="3169">
        <v>-201</v>
      </c>
      <c r="H121" s="3172">
        <v>15.67</v>
      </c>
      <c r="I121" s="3173">
        <v>548450</v>
      </c>
      <c r="J121" s="3174" t="s">
        <v>3447</v>
      </c>
      <c r="K121" s="3161"/>
      <c r="M121" s="3161"/>
    </row>
    <row r="122" spans="1:13" ht="16.5">
      <c r="A122" s="3168">
        <v>120</v>
      </c>
      <c r="B122" s="3169" t="s">
        <v>3810</v>
      </c>
      <c r="C122" s="3170" t="s">
        <v>3851</v>
      </c>
      <c r="D122" s="3172" t="s">
        <v>4090</v>
      </c>
      <c r="E122" s="3170" t="s">
        <v>4091</v>
      </c>
      <c r="F122" s="3177" t="s">
        <v>3324</v>
      </c>
      <c r="G122" s="3169">
        <v>-203</v>
      </c>
      <c r="H122" s="3172">
        <v>20.13</v>
      </c>
      <c r="I122" s="3173">
        <v>704550</v>
      </c>
      <c r="J122" s="3174" t="s">
        <v>3463</v>
      </c>
      <c r="K122" s="3161"/>
      <c r="M122" s="3161"/>
    </row>
    <row r="123" spans="1:13" ht="16.5">
      <c r="A123" s="3168">
        <v>121</v>
      </c>
      <c r="B123" s="3169" t="s">
        <v>3815</v>
      </c>
      <c r="C123" s="3170" t="s">
        <v>3851</v>
      </c>
      <c r="D123" s="3172" t="s">
        <v>4092</v>
      </c>
      <c r="E123" s="3170" t="s">
        <v>4093</v>
      </c>
      <c r="F123" s="3177" t="s">
        <v>3324</v>
      </c>
      <c r="G123" s="3169">
        <v>-106</v>
      </c>
      <c r="H123" s="3172">
        <v>23.61</v>
      </c>
      <c r="I123" s="3173">
        <v>826350</v>
      </c>
      <c r="J123" s="3174" t="s">
        <v>3447</v>
      </c>
      <c r="K123" s="3161"/>
      <c r="M123" s="3161"/>
    </row>
    <row r="124" spans="1:13" ht="16.5">
      <c r="A124" s="3168">
        <v>122</v>
      </c>
      <c r="B124" s="3169" t="s">
        <v>3815</v>
      </c>
      <c r="C124" s="3170" t="s">
        <v>3851</v>
      </c>
      <c r="D124" s="3172" t="s">
        <v>4094</v>
      </c>
      <c r="E124" s="3170" t="s">
        <v>4095</v>
      </c>
      <c r="F124" s="3177" t="s">
        <v>3324</v>
      </c>
      <c r="G124" s="3169">
        <v>-107</v>
      </c>
      <c r="H124" s="3172">
        <v>56.57</v>
      </c>
      <c r="I124" s="3173">
        <v>1979950</v>
      </c>
      <c r="J124" s="3174" t="s">
        <v>3447</v>
      </c>
      <c r="K124" s="3161"/>
      <c r="M124" s="3161"/>
    </row>
    <row r="125" spans="1:13" ht="16.5">
      <c r="A125" s="3168">
        <v>123</v>
      </c>
      <c r="B125" s="3169" t="s">
        <v>3815</v>
      </c>
      <c r="C125" s="3170" t="s">
        <v>3851</v>
      </c>
      <c r="D125" s="3172" t="s">
        <v>4096</v>
      </c>
      <c r="E125" s="3170" t="s">
        <v>4097</v>
      </c>
      <c r="F125" s="3177" t="s">
        <v>3324</v>
      </c>
      <c r="G125" s="3169">
        <v>-108</v>
      </c>
      <c r="H125" s="3172">
        <v>41.37</v>
      </c>
      <c r="I125" s="3173">
        <v>1447950</v>
      </c>
      <c r="J125" s="3174" t="s">
        <v>3447</v>
      </c>
      <c r="K125" s="3161"/>
      <c r="M125" s="3161"/>
    </row>
    <row r="126" spans="1:13" ht="16.5">
      <c r="A126" s="3168">
        <v>124</v>
      </c>
      <c r="B126" s="3169" t="s">
        <v>3815</v>
      </c>
      <c r="C126" s="3170" t="s">
        <v>3851</v>
      </c>
      <c r="D126" s="3172" t="s">
        <v>4098</v>
      </c>
      <c r="E126" s="3170" t="s">
        <v>4099</v>
      </c>
      <c r="F126" s="3177" t="s">
        <v>3324</v>
      </c>
      <c r="G126" s="3169">
        <v>-109</v>
      </c>
      <c r="H126" s="3172">
        <v>41.37</v>
      </c>
      <c r="I126" s="3173">
        <v>1447950</v>
      </c>
      <c r="J126" s="3174" t="s">
        <v>3447</v>
      </c>
      <c r="K126" s="3161"/>
      <c r="M126" s="3161"/>
    </row>
    <row r="127" spans="1:13" ht="16.5">
      <c r="A127" s="3168">
        <v>125</v>
      </c>
      <c r="B127" s="3169" t="s">
        <v>3815</v>
      </c>
      <c r="C127" s="3170" t="s">
        <v>3851</v>
      </c>
      <c r="D127" s="3172" t="s">
        <v>4100</v>
      </c>
      <c r="E127" s="3170" t="s">
        <v>4101</v>
      </c>
      <c r="F127" s="3177" t="s">
        <v>3324</v>
      </c>
      <c r="G127" s="3169">
        <v>-110</v>
      </c>
      <c r="H127" s="3172">
        <v>56.57</v>
      </c>
      <c r="I127" s="3173">
        <v>1979950</v>
      </c>
      <c r="J127" s="3174" t="s">
        <v>3447</v>
      </c>
      <c r="K127" s="3161"/>
      <c r="M127" s="3161"/>
    </row>
    <row r="128" spans="1:13" ht="16.5">
      <c r="A128" s="3168">
        <v>126</v>
      </c>
      <c r="B128" s="3169" t="s">
        <v>3815</v>
      </c>
      <c r="C128" s="3170" t="s">
        <v>3851</v>
      </c>
      <c r="D128" s="3172" t="s">
        <v>4102</v>
      </c>
      <c r="E128" s="3170" t="s">
        <v>4103</v>
      </c>
      <c r="F128" s="3177" t="s">
        <v>3324</v>
      </c>
      <c r="G128" s="3169">
        <v>-111</v>
      </c>
      <c r="H128" s="3172">
        <v>23.61</v>
      </c>
      <c r="I128" s="3173">
        <v>826350</v>
      </c>
      <c r="J128" s="3174" t="s">
        <v>3447</v>
      </c>
      <c r="K128" s="3161"/>
      <c r="M128" s="3161"/>
    </row>
    <row r="129" spans="1:13" ht="16.5">
      <c r="A129" s="3168">
        <v>127</v>
      </c>
      <c r="B129" s="3169" t="s">
        <v>3815</v>
      </c>
      <c r="C129" s="3170" t="s">
        <v>3851</v>
      </c>
      <c r="D129" s="3172" t="s">
        <v>4104</v>
      </c>
      <c r="E129" s="3170" t="s">
        <v>4105</v>
      </c>
      <c r="F129" s="3177" t="s">
        <v>3324</v>
      </c>
      <c r="G129" s="3169">
        <v>-115</v>
      </c>
      <c r="H129" s="3172">
        <v>41.06</v>
      </c>
      <c r="I129" s="3173">
        <v>1437100</v>
      </c>
      <c r="J129" s="3174" t="s">
        <v>3447</v>
      </c>
      <c r="K129" s="3161"/>
      <c r="M129" s="3161"/>
    </row>
    <row r="130" spans="1:13" ht="16.5">
      <c r="A130" s="3168">
        <v>128</v>
      </c>
      <c r="B130" s="3169" t="s">
        <v>3815</v>
      </c>
      <c r="C130" s="3170" t="s">
        <v>3851</v>
      </c>
      <c r="D130" s="3172" t="s">
        <v>4106</v>
      </c>
      <c r="E130" s="3170" t="s">
        <v>4107</v>
      </c>
      <c r="F130" s="3177" t="s">
        <v>3324</v>
      </c>
      <c r="G130" s="3169">
        <v>-116</v>
      </c>
      <c r="H130" s="3172">
        <v>56.57</v>
      </c>
      <c r="I130" s="3173">
        <v>1979950</v>
      </c>
      <c r="J130" s="3174" t="s">
        <v>3447</v>
      </c>
      <c r="K130" s="3161"/>
      <c r="M130" s="3161"/>
    </row>
    <row r="131" spans="1:13" ht="16.5">
      <c r="A131" s="3168">
        <v>129</v>
      </c>
      <c r="B131" s="3169" t="s">
        <v>3815</v>
      </c>
      <c r="C131" s="3170" t="s">
        <v>3851</v>
      </c>
      <c r="D131" s="3172" t="s">
        <v>4108</v>
      </c>
      <c r="E131" s="3170" t="s">
        <v>4109</v>
      </c>
      <c r="F131" s="3177" t="s">
        <v>3324</v>
      </c>
      <c r="G131" s="3169">
        <v>-117</v>
      </c>
      <c r="H131" s="3172">
        <v>23.61</v>
      </c>
      <c r="I131" s="3173">
        <v>826350</v>
      </c>
      <c r="J131" s="3174" t="s">
        <v>3447</v>
      </c>
      <c r="K131" s="3161"/>
      <c r="M131" s="3161"/>
    </row>
    <row r="132" spans="1:13" ht="16.5">
      <c r="A132" s="3168">
        <v>130</v>
      </c>
      <c r="B132" s="3169" t="s">
        <v>3815</v>
      </c>
      <c r="C132" s="3170" t="s">
        <v>3851</v>
      </c>
      <c r="D132" s="3172" t="s">
        <v>4110</v>
      </c>
      <c r="E132" s="3170" t="s">
        <v>4111</v>
      </c>
      <c r="F132" s="3177" t="s">
        <v>3324</v>
      </c>
      <c r="G132" s="3169">
        <v>-118</v>
      </c>
      <c r="H132" s="3172">
        <v>23.61</v>
      </c>
      <c r="I132" s="3173">
        <v>826350</v>
      </c>
      <c r="J132" s="3174" t="s">
        <v>3447</v>
      </c>
      <c r="K132" s="3161"/>
      <c r="M132" s="3161"/>
    </row>
    <row r="133" spans="1:13" ht="16.5">
      <c r="A133" s="3168">
        <v>131</v>
      </c>
      <c r="B133" s="3169" t="s">
        <v>3815</v>
      </c>
      <c r="C133" s="3170" t="s">
        <v>3851</v>
      </c>
      <c r="D133" s="3172" t="s">
        <v>4112</v>
      </c>
      <c r="E133" s="3170" t="s">
        <v>4113</v>
      </c>
      <c r="F133" s="3177" t="s">
        <v>3324</v>
      </c>
      <c r="G133" s="3169">
        <v>-119</v>
      </c>
      <c r="H133" s="3172">
        <v>49.55</v>
      </c>
      <c r="I133" s="3173">
        <v>1734250</v>
      </c>
      <c r="J133" s="3174" t="s">
        <v>3447</v>
      </c>
      <c r="K133" s="3161"/>
      <c r="M133" s="3161"/>
    </row>
    <row r="134" spans="1:13" ht="16.5">
      <c r="A134" s="3168">
        <v>132</v>
      </c>
      <c r="B134" s="3169" t="s">
        <v>3815</v>
      </c>
      <c r="C134" s="3170" t="s">
        <v>3851</v>
      </c>
      <c r="D134" s="3172" t="s">
        <v>4114</v>
      </c>
      <c r="E134" s="3170" t="s">
        <v>4115</v>
      </c>
      <c r="F134" s="3177" t="s">
        <v>3324</v>
      </c>
      <c r="G134" s="3169">
        <v>-120</v>
      </c>
      <c r="H134" s="3172">
        <v>47.92</v>
      </c>
      <c r="I134" s="3173">
        <v>1677200</v>
      </c>
      <c r="J134" s="3174" t="s">
        <v>3447</v>
      </c>
      <c r="K134" s="3161"/>
      <c r="M134" s="3161"/>
    </row>
    <row r="135" spans="1:13" ht="16.5">
      <c r="A135" s="3168">
        <v>133</v>
      </c>
      <c r="B135" s="3169" t="s">
        <v>3815</v>
      </c>
      <c r="C135" s="3170" t="s">
        <v>3851</v>
      </c>
      <c r="D135" s="3172" t="s">
        <v>4116</v>
      </c>
      <c r="E135" s="3170" t="s">
        <v>4117</v>
      </c>
      <c r="F135" s="3177" t="s">
        <v>3324</v>
      </c>
      <c r="G135" s="3169">
        <v>-121</v>
      </c>
      <c r="H135" s="3172">
        <v>22.78</v>
      </c>
      <c r="I135" s="3173">
        <v>797300</v>
      </c>
      <c r="J135" s="3174" t="s">
        <v>3447</v>
      </c>
      <c r="K135" s="3161"/>
      <c r="M135" s="3161"/>
    </row>
    <row r="136" spans="1:13" ht="16.5">
      <c r="A136" s="3168">
        <v>134</v>
      </c>
      <c r="B136" s="3169" t="s">
        <v>3815</v>
      </c>
      <c r="C136" s="3170" t="s">
        <v>3851</v>
      </c>
      <c r="D136" s="3172" t="s">
        <v>4118</v>
      </c>
      <c r="E136" s="3170" t="s">
        <v>4119</v>
      </c>
      <c r="F136" s="3177" t="s">
        <v>3324</v>
      </c>
      <c r="G136" s="3169">
        <v>-122</v>
      </c>
      <c r="H136" s="3172">
        <v>27.95</v>
      </c>
      <c r="I136" s="3173">
        <v>978250</v>
      </c>
      <c r="J136" s="3174" t="s">
        <v>3447</v>
      </c>
      <c r="K136" s="3161"/>
      <c r="M136" s="3161"/>
    </row>
    <row r="137" spans="1:13" ht="16.5">
      <c r="A137" s="3168">
        <v>135</v>
      </c>
      <c r="B137" s="3169" t="s">
        <v>3815</v>
      </c>
      <c r="C137" s="3170" t="s">
        <v>3851</v>
      </c>
      <c r="D137" s="3172" t="s">
        <v>4120</v>
      </c>
      <c r="E137" s="3170" t="s">
        <v>4121</v>
      </c>
      <c r="F137" s="3177" t="s">
        <v>3324</v>
      </c>
      <c r="G137" s="3169">
        <v>-123</v>
      </c>
      <c r="H137" s="3172">
        <v>27.59</v>
      </c>
      <c r="I137" s="3173">
        <v>965650</v>
      </c>
      <c r="J137" s="3174" t="s">
        <v>3447</v>
      </c>
      <c r="K137" s="3161"/>
      <c r="M137" s="3161"/>
    </row>
    <row r="138" spans="1:13" ht="16.5">
      <c r="A138" s="3168">
        <v>136</v>
      </c>
      <c r="B138" s="3169" t="s">
        <v>3815</v>
      </c>
      <c r="C138" s="3170" t="s">
        <v>3851</v>
      </c>
      <c r="D138" s="3172" t="s">
        <v>4122</v>
      </c>
      <c r="E138" s="3170" t="s">
        <v>4123</v>
      </c>
      <c r="F138" s="3177" t="s">
        <v>3324</v>
      </c>
      <c r="G138" s="3169">
        <v>-124</v>
      </c>
      <c r="H138" s="3172">
        <v>19.13</v>
      </c>
      <c r="I138" s="3173">
        <v>669550</v>
      </c>
      <c r="J138" s="3174" t="s">
        <v>3447</v>
      </c>
      <c r="K138" s="3161"/>
      <c r="M138" s="3161"/>
    </row>
    <row r="139" spans="1:13" ht="16.5">
      <c r="A139" s="3168">
        <v>137</v>
      </c>
      <c r="B139" s="3169" t="s">
        <v>3815</v>
      </c>
      <c r="C139" s="3170" t="s">
        <v>3851</v>
      </c>
      <c r="D139" s="3172" t="s">
        <v>4124</v>
      </c>
      <c r="E139" s="3170" t="s">
        <v>4125</v>
      </c>
      <c r="F139" s="3177" t="s">
        <v>3324</v>
      </c>
      <c r="G139" s="3169">
        <v>-126</v>
      </c>
      <c r="H139" s="3172">
        <v>27.77</v>
      </c>
      <c r="I139" s="3173">
        <v>971950</v>
      </c>
      <c r="J139" s="3174" t="s">
        <v>3447</v>
      </c>
      <c r="K139" s="3161"/>
      <c r="M139" s="3161"/>
    </row>
    <row r="140" spans="1:13" ht="16.5">
      <c r="A140" s="3168">
        <v>138</v>
      </c>
      <c r="B140" s="3169" t="s">
        <v>3815</v>
      </c>
      <c r="C140" s="3170" t="s">
        <v>3851</v>
      </c>
      <c r="D140" s="3172" t="s">
        <v>4126</v>
      </c>
      <c r="E140" s="3170" t="s">
        <v>4127</v>
      </c>
      <c r="F140" s="3177" t="s">
        <v>3324</v>
      </c>
      <c r="G140" s="3169">
        <v>-127</v>
      </c>
      <c r="H140" s="3172">
        <v>27.59</v>
      </c>
      <c r="I140" s="3173">
        <v>965650</v>
      </c>
      <c r="J140" s="3174" t="s">
        <v>3447</v>
      </c>
      <c r="K140" s="3161"/>
      <c r="M140" s="3161"/>
    </row>
    <row r="141" spans="1:13" ht="16.5">
      <c r="A141" s="3168">
        <v>139</v>
      </c>
      <c r="B141" s="3169" t="s">
        <v>3815</v>
      </c>
      <c r="C141" s="3170" t="s">
        <v>3851</v>
      </c>
      <c r="D141" s="3172" t="s">
        <v>4128</v>
      </c>
      <c r="E141" s="3170" t="s">
        <v>4129</v>
      </c>
      <c r="F141" s="3177" t="s">
        <v>3324</v>
      </c>
      <c r="G141" s="3169">
        <v>-128</v>
      </c>
      <c r="H141" s="3172">
        <v>19.77</v>
      </c>
      <c r="I141" s="3173">
        <v>691950</v>
      </c>
      <c r="J141" s="3174" t="s">
        <v>3447</v>
      </c>
      <c r="K141" s="3161"/>
      <c r="M141" s="3161"/>
    </row>
    <row r="142" spans="1:13" ht="16.5">
      <c r="A142" s="3168">
        <v>140</v>
      </c>
      <c r="B142" s="3169" t="s">
        <v>3815</v>
      </c>
      <c r="C142" s="3170" t="s">
        <v>3851</v>
      </c>
      <c r="D142" s="3172" t="s">
        <v>4130</v>
      </c>
      <c r="E142" s="3170" t="s">
        <v>4131</v>
      </c>
      <c r="F142" s="3177" t="s">
        <v>3324</v>
      </c>
      <c r="G142" s="3169">
        <v>-202</v>
      </c>
      <c r="H142" s="3172">
        <v>16.329999999999998</v>
      </c>
      <c r="I142" s="3173">
        <v>571550</v>
      </c>
      <c r="J142" s="3174" t="s">
        <v>3447</v>
      </c>
      <c r="K142" s="3161"/>
      <c r="M142" s="3161"/>
    </row>
    <row r="143" spans="1:13" ht="16.5">
      <c r="A143" s="3168">
        <v>141</v>
      </c>
      <c r="B143" s="3169" t="s">
        <v>3815</v>
      </c>
      <c r="C143" s="3170" t="s">
        <v>3851</v>
      </c>
      <c r="D143" s="3172" t="s">
        <v>4132</v>
      </c>
      <c r="E143" s="3170" t="s">
        <v>4133</v>
      </c>
      <c r="F143" s="3177" t="s">
        <v>3324</v>
      </c>
      <c r="G143" s="3169">
        <v>-203</v>
      </c>
      <c r="H143" s="3172">
        <v>12.38</v>
      </c>
      <c r="I143" s="3173">
        <v>433300</v>
      </c>
      <c r="J143" s="3174" t="s">
        <v>3447</v>
      </c>
      <c r="K143" s="3161"/>
      <c r="M143" s="3161"/>
    </row>
    <row r="144" spans="1:13" ht="16.5">
      <c r="A144" s="3168">
        <v>142</v>
      </c>
      <c r="B144" s="3169" t="s">
        <v>3815</v>
      </c>
      <c r="C144" s="3170" t="s">
        <v>3851</v>
      </c>
      <c r="D144" s="3172" t="s">
        <v>4134</v>
      </c>
      <c r="E144" s="3170" t="s">
        <v>4135</v>
      </c>
      <c r="F144" s="3177" t="s">
        <v>3324</v>
      </c>
      <c r="G144" s="3169">
        <v>-205</v>
      </c>
      <c r="H144" s="3172">
        <v>12.38</v>
      </c>
      <c r="I144" s="3173">
        <v>433300</v>
      </c>
      <c r="J144" s="3174" t="s">
        <v>3447</v>
      </c>
      <c r="K144" s="3161"/>
      <c r="M144" s="3161"/>
    </row>
    <row r="145" spans="1:13" ht="16.5">
      <c r="A145" s="3168">
        <v>143</v>
      </c>
      <c r="B145" s="3169" t="s">
        <v>3815</v>
      </c>
      <c r="C145" s="3170" t="s">
        <v>3851</v>
      </c>
      <c r="D145" s="3172" t="s">
        <v>4136</v>
      </c>
      <c r="E145" s="3170" t="s">
        <v>4137</v>
      </c>
      <c r="F145" s="3177" t="s">
        <v>3324</v>
      </c>
      <c r="G145" s="3169">
        <v>-206</v>
      </c>
      <c r="H145" s="3172">
        <v>17</v>
      </c>
      <c r="I145" s="3173">
        <v>595000</v>
      </c>
      <c r="J145" s="3174" t="s">
        <v>3447</v>
      </c>
      <c r="K145" s="3161"/>
      <c r="M145" s="3161"/>
    </row>
    <row r="146" spans="1:13" ht="16.5">
      <c r="A146" s="3168">
        <v>144</v>
      </c>
      <c r="B146" s="3169" t="s">
        <v>3828</v>
      </c>
      <c r="C146" s="3170" t="s">
        <v>3851</v>
      </c>
      <c r="D146" s="3171" t="s">
        <v>4138</v>
      </c>
      <c r="E146" s="3170" t="s">
        <v>4139</v>
      </c>
      <c r="F146" s="3177" t="s">
        <v>3324</v>
      </c>
      <c r="G146" s="3169">
        <v>-101</v>
      </c>
      <c r="H146" s="3172">
        <v>30.98</v>
      </c>
      <c r="I146" s="3173">
        <v>1084300</v>
      </c>
      <c r="J146" s="3174" t="s">
        <v>3447</v>
      </c>
      <c r="K146" s="3161"/>
      <c r="M146" s="3161"/>
    </row>
    <row r="147" spans="1:13" ht="16.5">
      <c r="A147" s="3168">
        <v>145</v>
      </c>
      <c r="B147" s="3169" t="s">
        <v>3828</v>
      </c>
      <c r="C147" s="3170" t="s">
        <v>3851</v>
      </c>
      <c r="D147" s="3171" t="s">
        <v>4140</v>
      </c>
      <c r="E147" s="3170" t="s">
        <v>4141</v>
      </c>
      <c r="F147" s="3177" t="s">
        <v>3324</v>
      </c>
      <c r="G147" s="3169">
        <v>-102</v>
      </c>
      <c r="H147" s="3172">
        <v>16.059999999999999</v>
      </c>
      <c r="I147" s="3173">
        <v>562100</v>
      </c>
      <c r="J147" s="3174" t="s">
        <v>3447</v>
      </c>
      <c r="K147" s="3161"/>
      <c r="M147" s="3161"/>
    </row>
    <row r="148" spans="1:13" ht="16.5">
      <c r="A148" s="3168">
        <v>146</v>
      </c>
      <c r="B148" s="3169" t="s">
        <v>3828</v>
      </c>
      <c r="C148" s="3170" t="s">
        <v>3851</v>
      </c>
      <c r="D148" s="3171" t="s">
        <v>4142</v>
      </c>
      <c r="E148" s="3170" t="s">
        <v>4143</v>
      </c>
      <c r="F148" s="3177" t="s">
        <v>3324</v>
      </c>
      <c r="G148" s="3169">
        <v>-103</v>
      </c>
      <c r="H148" s="3172">
        <v>46.48</v>
      </c>
      <c r="I148" s="3173">
        <v>1626800</v>
      </c>
      <c r="J148" s="3174" t="s">
        <v>3447</v>
      </c>
      <c r="K148" s="3161"/>
      <c r="M148" s="3161"/>
    </row>
    <row r="149" spans="1:13" ht="16.5">
      <c r="A149" s="3168">
        <v>147</v>
      </c>
      <c r="B149" s="3169" t="s">
        <v>3828</v>
      </c>
      <c r="C149" s="3170" t="s">
        <v>3851</v>
      </c>
      <c r="D149" s="3171" t="s">
        <v>4144</v>
      </c>
      <c r="E149" s="3170" t="s">
        <v>4145</v>
      </c>
      <c r="F149" s="3177" t="s">
        <v>3324</v>
      </c>
      <c r="G149" s="3169">
        <v>-104</v>
      </c>
      <c r="H149" s="3172">
        <v>53.69</v>
      </c>
      <c r="I149" s="3173">
        <v>1879150</v>
      </c>
      <c r="J149" s="3174" t="s">
        <v>3447</v>
      </c>
      <c r="K149" s="3161"/>
      <c r="M149" s="3161"/>
    </row>
    <row r="150" spans="1:13" ht="16.5">
      <c r="A150" s="3168">
        <v>148</v>
      </c>
      <c r="B150" s="3169" t="s">
        <v>3828</v>
      </c>
      <c r="C150" s="3170" t="s">
        <v>3851</v>
      </c>
      <c r="D150" s="3171" t="s">
        <v>4146</v>
      </c>
      <c r="E150" s="3170" t="s">
        <v>4147</v>
      </c>
      <c r="F150" s="3177" t="s">
        <v>3324</v>
      </c>
      <c r="G150" s="3169">
        <v>-105</v>
      </c>
      <c r="H150" s="3172">
        <v>23.63</v>
      </c>
      <c r="I150" s="3173">
        <v>827050</v>
      </c>
      <c r="J150" s="3174" t="s">
        <v>3447</v>
      </c>
      <c r="K150" s="3161"/>
      <c r="M150" s="3161"/>
    </row>
    <row r="151" spans="1:13" ht="16.5">
      <c r="A151" s="3168">
        <v>149</v>
      </c>
      <c r="B151" s="3169" t="s">
        <v>3828</v>
      </c>
      <c r="C151" s="3170" t="s">
        <v>3851</v>
      </c>
      <c r="D151" s="3171" t="s">
        <v>4148</v>
      </c>
      <c r="E151" s="3170" t="s">
        <v>4149</v>
      </c>
      <c r="F151" s="3177" t="s">
        <v>3324</v>
      </c>
      <c r="G151" s="3169">
        <v>-106</v>
      </c>
      <c r="H151" s="3172">
        <v>23.66</v>
      </c>
      <c r="I151" s="3173">
        <v>828100</v>
      </c>
      <c r="J151" s="3174" t="s">
        <v>3447</v>
      </c>
      <c r="K151" s="3161"/>
      <c r="M151" s="3161"/>
    </row>
    <row r="152" spans="1:13" ht="16.5">
      <c r="A152" s="3168">
        <v>150</v>
      </c>
      <c r="B152" s="3169" t="s">
        <v>3828</v>
      </c>
      <c r="C152" s="3170" t="s">
        <v>3851</v>
      </c>
      <c r="D152" s="3171" t="s">
        <v>4150</v>
      </c>
      <c r="E152" s="3170" t="s">
        <v>4151</v>
      </c>
      <c r="F152" s="3177" t="s">
        <v>3324</v>
      </c>
      <c r="G152" s="3169">
        <v>-107</v>
      </c>
      <c r="H152" s="3172">
        <v>56.65</v>
      </c>
      <c r="I152" s="3173">
        <v>1982750</v>
      </c>
      <c r="J152" s="3174" t="s">
        <v>3447</v>
      </c>
      <c r="K152" s="3161"/>
      <c r="M152" s="3161"/>
    </row>
    <row r="153" spans="1:13" ht="16.5">
      <c r="A153" s="3168">
        <v>151</v>
      </c>
      <c r="B153" s="3169" t="s">
        <v>3828</v>
      </c>
      <c r="C153" s="3170" t="s">
        <v>3851</v>
      </c>
      <c r="D153" s="3171" t="s">
        <v>4152</v>
      </c>
      <c r="E153" s="3170" t="s">
        <v>4153</v>
      </c>
      <c r="F153" s="3177" t="s">
        <v>3324</v>
      </c>
      <c r="G153" s="3169">
        <v>-108</v>
      </c>
      <c r="H153" s="3172">
        <v>41.09</v>
      </c>
      <c r="I153" s="3173">
        <v>1438150</v>
      </c>
      <c r="J153" s="3174" t="s">
        <v>3447</v>
      </c>
      <c r="K153" s="3161"/>
      <c r="M153" s="3161"/>
    </row>
    <row r="154" spans="1:13" ht="16.5">
      <c r="A154" s="3168">
        <v>152</v>
      </c>
      <c r="B154" s="3169" t="s">
        <v>3828</v>
      </c>
      <c r="C154" s="3170" t="s">
        <v>3851</v>
      </c>
      <c r="D154" s="3171" t="s">
        <v>4154</v>
      </c>
      <c r="E154" s="3170" t="s">
        <v>4155</v>
      </c>
      <c r="F154" s="3177" t="s">
        <v>3324</v>
      </c>
      <c r="G154" s="3169">
        <v>-109</v>
      </c>
      <c r="H154" s="3172">
        <v>41.09</v>
      </c>
      <c r="I154" s="3173">
        <v>1438150</v>
      </c>
      <c r="J154" s="3174" t="s">
        <v>3447</v>
      </c>
      <c r="K154" s="3161"/>
      <c r="M154" s="3161"/>
    </row>
    <row r="155" spans="1:13" ht="16.5">
      <c r="A155" s="3168">
        <v>153</v>
      </c>
      <c r="B155" s="3169" t="s">
        <v>3828</v>
      </c>
      <c r="C155" s="3170" t="s">
        <v>3851</v>
      </c>
      <c r="D155" s="3171" t="s">
        <v>4156</v>
      </c>
      <c r="E155" s="3170" t="s">
        <v>4157</v>
      </c>
      <c r="F155" s="3177" t="s">
        <v>3324</v>
      </c>
      <c r="G155" s="3169">
        <v>-110</v>
      </c>
      <c r="H155" s="3172">
        <v>56.65</v>
      </c>
      <c r="I155" s="3173">
        <v>1982750</v>
      </c>
      <c r="J155" s="3174" t="s">
        <v>3447</v>
      </c>
      <c r="K155" s="3161"/>
      <c r="M155" s="3161"/>
    </row>
    <row r="156" spans="1:13" ht="16.5">
      <c r="A156" s="3168">
        <v>154</v>
      </c>
      <c r="B156" s="3169" t="s">
        <v>3828</v>
      </c>
      <c r="C156" s="3170" t="s">
        <v>3851</v>
      </c>
      <c r="D156" s="3171" t="s">
        <v>4158</v>
      </c>
      <c r="E156" s="3170" t="s">
        <v>4159</v>
      </c>
      <c r="F156" s="3177" t="s">
        <v>3324</v>
      </c>
      <c r="G156" s="3169">
        <v>-112</v>
      </c>
      <c r="H156" s="3172">
        <v>23.63</v>
      </c>
      <c r="I156" s="3173">
        <v>827050</v>
      </c>
      <c r="J156" s="3174" t="s">
        <v>3447</v>
      </c>
      <c r="K156" s="3161"/>
      <c r="M156" s="3161"/>
    </row>
    <row r="157" spans="1:13" ht="16.5">
      <c r="A157" s="3168">
        <v>155</v>
      </c>
      <c r="B157" s="3169" t="s">
        <v>3828</v>
      </c>
      <c r="C157" s="3170" t="s">
        <v>3851</v>
      </c>
      <c r="D157" s="3171" t="s">
        <v>4160</v>
      </c>
      <c r="E157" s="3170" t="s">
        <v>4161</v>
      </c>
      <c r="F157" s="3177" t="s">
        <v>3324</v>
      </c>
      <c r="G157" s="3169">
        <v>-113</v>
      </c>
      <c r="H157" s="3172">
        <v>49.59</v>
      </c>
      <c r="I157" s="3173">
        <v>1735650</v>
      </c>
      <c r="J157" s="3174" t="s">
        <v>3447</v>
      </c>
      <c r="K157" s="3161"/>
      <c r="M157" s="3161"/>
    </row>
    <row r="158" spans="1:13" ht="16.5">
      <c r="A158" s="3168">
        <v>156</v>
      </c>
      <c r="B158" s="3169" t="s">
        <v>3828</v>
      </c>
      <c r="C158" s="3170" t="s">
        <v>3851</v>
      </c>
      <c r="D158" s="3171" t="s">
        <v>4162</v>
      </c>
      <c r="E158" s="3170" t="s">
        <v>4163</v>
      </c>
      <c r="F158" s="3177" t="s">
        <v>3324</v>
      </c>
      <c r="G158" s="3169">
        <v>-114</v>
      </c>
      <c r="H158" s="3172">
        <v>47.96</v>
      </c>
      <c r="I158" s="3173">
        <v>1678600</v>
      </c>
      <c r="J158" s="3174" t="s">
        <v>3447</v>
      </c>
      <c r="K158" s="3161"/>
      <c r="M158" s="3161"/>
    </row>
    <row r="159" spans="1:13" ht="16.5">
      <c r="A159" s="3168">
        <v>157</v>
      </c>
      <c r="B159" s="3169" t="s">
        <v>3828</v>
      </c>
      <c r="C159" s="3170" t="s">
        <v>3851</v>
      </c>
      <c r="D159" s="3171" t="s">
        <v>4164</v>
      </c>
      <c r="E159" s="3170" t="s">
        <v>4165</v>
      </c>
      <c r="F159" s="3177" t="s">
        <v>3324</v>
      </c>
      <c r="G159" s="3169">
        <v>-115</v>
      </c>
      <c r="H159" s="3172">
        <v>22.62</v>
      </c>
      <c r="I159" s="3173">
        <v>791700</v>
      </c>
      <c r="J159" s="3174" t="s">
        <v>3447</v>
      </c>
      <c r="K159" s="3161"/>
      <c r="M159" s="3161"/>
    </row>
    <row r="160" spans="1:13" ht="16.5">
      <c r="A160" s="3168">
        <v>158</v>
      </c>
      <c r="B160" s="3169" t="s">
        <v>3828</v>
      </c>
      <c r="C160" s="3170" t="s">
        <v>3851</v>
      </c>
      <c r="D160" s="3171" t="s">
        <v>4166</v>
      </c>
      <c r="E160" s="3170" t="s">
        <v>4167</v>
      </c>
      <c r="F160" s="3177" t="s">
        <v>3324</v>
      </c>
      <c r="G160" s="3169">
        <v>-116</v>
      </c>
      <c r="H160" s="3172">
        <v>27.97</v>
      </c>
      <c r="I160" s="3173">
        <v>978950</v>
      </c>
      <c r="J160" s="3174" t="s">
        <v>3447</v>
      </c>
      <c r="K160" s="3161"/>
      <c r="M160" s="3161"/>
    </row>
    <row r="161" spans="1:13" ht="16.5">
      <c r="A161" s="3168">
        <v>159</v>
      </c>
      <c r="B161" s="3169" t="s">
        <v>3828</v>
      </c>
      <c r="C161" s="3170" t="s">
        <v>3851</v>
      </c>
      <c r="D161" s="3171" t="s">
        <v>4168</v>
      </c>
      <c r="E161" s="3170" t="s">
        <v>4169</v>
      </c>
      <c r="F161" s="3177" t="s">
        <v>3324</v>
      </c>
      <c r="G161" s="3169">
        <v>-117</v>
      </c>
      <c r="H161" s="3172">
        <v>27.62</v>
      </c>
      <c r="I161" s="3173">
        <v>966700</v>
      </c>
      <c r="J161" s="3174" t="s">
        <v>3447</v>
      </c>
      <c r="K161" s="3161"/>
      <c r="M161" s="3161"/>
    </row>
    <row r="162" spans="1:13" ht="16.5">
      <c r="A162" s="3168">
        <v>160</v>
      </c>
      <c r="B162" s="3169" t="s">
        <v>3828</v>
      </c>
      <c r="C162" s="3170" t="s">
        <v>3851</v>
      </c>
      <c r="D162" s="3171" t="s">
        <v>4170</v>
      </c>
      <c r="E162" s="3170" t="s">
        <v>4171</v>
      </c>
      <c r="F162" s="3177" t="s">
        <v>3324</v>
      </c>
      <c r="G162" s="3169">
        <v>-118</v>
      </c>
      <c r="H162" s="3172">
        <v>19.149999999999999</v>
      </c>
      <c r="I162" s="3173">
        <v>670250</v>
      </c>
      <c r="J162" s="3174" t="s">
        <v>3447</v>
      </c>
      <c r="K162" s="3161"/>
      <c r="M162" s="3161"/>
    </row>
    <row r="163" spans="1:13" ht="16.5">
      <c r="A163" s="3168">
        <v>161</v>
      </c>
      <c r="B163" s="3169" t="s">
        <v>3828</v>
      </c>
      <c r="C163" s="3170" t="s">
        <v>3851</v>
      </c>
      <c r="D163" s="3171" t="s">
        <v>4172</v>
      </c>
      <c r="E163" s="3170" t="s">
        <v>4173</v>
      </c>
      <c r="F163" s="3177" t="s">
        <v>3324</v>
      </c>
      <c r="G163" s="3169">
        <v>-119</v>
      </c>
      <c r="H163" s="3172">
        <v>19.149999999999999</v>
      </c>
      <c r="I163" s="3173">
        <v>670250</v>
      </c>
      <c r="J163" s="3174" t="s">
        <v>3447</v>
      </c>
      <c r="K163" s="3161"/>
      <c r="M163" s="3161"/>
    </row>
    <row r="164" spans="1:13" ht="16.5">
      <c r="A164" s="3168">
        <v>162</v>
      </c>
      <c r="B164" s="3169" t="s">
        <v>3828</v>
      </c>
      <c r="C164" s="3170" t="s">
        <v>3851</v>
      </c>
      <c r="D164" s="3171" t="s">
        <v>4174</v>
      </c>
      <c r="E164" s="3170" t="s">
        <v>4175</v>
      </c>
      <c r="F164" s="3177" t="s">
        <v>3324</v>
      </c>
      <c r="G164" s="3169">
        <v>-120</v>
      </c>
      <c r="H164" s="3172">
        <v>27.62</v>
      </c>
      <c r="I164" s="3173">
        <v>966700</v>
      </c>
      <c r="J164" s="3174" t="s">
        <v>3447</v>
      </c>
      <c r="K164" s="3161"/>
      <c r="M164" s="3161"/>
    </row>
    <row r="165" spans="1:13" ht="16.5">
      <c r="A165" s="3168">
        <v>163</v>
      </c>
      <c r="B165" s="3169" t="s">
        <v>3828</v>
      </c>
      <c r="C165" s="3170" t="s">
        <v>3851</v>
      </c>
      <c r="D165" s="3171" t="s">
        <v>4176</v>
      </c>
      <c r="E165" s="3170" t="s">
        <v>4177</v>
      </c>
      <c r="F165" s="3177" t="s">
        <v>3324</v>
      </c>
      <c r="G165" s="3169">
        <v>-201</v>
      </c>
      <c r="H165" s="3172">
        <v>18.329999999999998</v>
      </c>
      <c r="I165" s="3173">
        <v>641550</v>
      </c>
      <c r="J165" s="3174" t="s">
        <v>3447</v>
      </c>
      <c r="K165" s="3161"/>
      <c r="M165" s="3161"/>
    </row>
    <row r="166" spans="1:13" ht="16.5">
      <c r="A166" s="3168">
        <v>164</v>
      </c>
      <c r="B166" s="3169" t="s">
        <v>3828</v>
      </c>
      <c r="C166" s="3170" t="s">
        <v>3851</v>
      </c>
      <c r="D166" s="3171" t="s">
        <v>4178</v>
      </c>
      <c r="E166" s="3170" t="s">
        <v>4179</v>
      </c>
      <c r="F166" s="3177" t="s">
        <v>3324</v>
      </c>
      <c r="G166" s="3169">
        <v>-203</v>
      </c>
      <c r="H166" s="3172">
        <v>16.34</v>
      </c>
      <c r="I166" s="3173">
        <v>571900</v>
      </c>
      <c r="J166" s="3174" t="s">
        <v>3447</v>
      </c>
      <c r="K166" s="3161"/>
      <c r="M166" s="3161"/>
    </row>
    <row r="167" spans="1:13" ht="16.5">
      <c r="A167" s="3168">
        <v>165</v>
      </c>
      <c r="B167" s="3169" t="s">
        <v>3828</v>
      </c>
      <c r="C167" s="3170" t="s">
        <v>3851</v>
      </c>
      <c r="D167" s="3171" t="s">
        <v>4180</v>
      </c>
      <c r="E167" s="3170" t="s">
        <v>4181</v>
      </c>
      <c r="F167" s="3177" t="s">
        <v>3324</v>
      </c>
      <c r="G167" s="3169">
        <v>-204</v>
      </c>
      <c r="H167" s="3172">
        <v>17.02</v>
      </c>
      <c r="I167" s="3173">
        <v>595700</v>
      </c>
      <c r="J167" s="3174" t="s">
        <v>3447</v>
      </c>
      <c r="K167" s="3161"/>
      <c r="M167" s="3161"/>
    </row>
    <row r="168" spans="1:13" ht="16.5">
      <c r="A168" s="3168">
        <v>166</v>
      </c>
      <c r="B168" s="3169" t="s">
        <v>3472</v>
      </c>
      <c r="C168" s="3170" t="s">
        <v>3851</v>
      </c>
      <c r="D168" s="3171" t="s">
        <v>4182</v>
      </c>
      <c r="E168" s="3170" t="s">
        <v>4183</v>
      </c>
      <c r="F168" s="3177" t="s">
        <v>3324</v>
      </c>
      <c r="G168" s="3169">
        <v>-101</v>
      </c>
      <c r="H168" s="3172">
        <v>27.99</v>
      </c>
      <c r="I168" s="3173">
        <v>979650</v>
      </c>
      <c r="J168" s="3174" t="s">
        <v>3447</v>
      </c>
      <c r="K168" s="3161"/>
      <c r="M168" s="3161"/>
    </row>
    <row r="169" spans="1:13" ht="16.5">
      <c r="A169" s="3168">
        <v>167</v>
      </c>
      <c r="B169" s="3169" t="s">
        <v>3472</v>
      </c>
      <c r="C169" s="3170" t="s">
        <v>3851</v>
      </c>
      <c r="D169" s="3171" t="s">
        <v>4184</v>
      </c>
      <c r="E169" s="3170" t="s">
        <v>4185</v>
      </c>
      <c r="F169" s="3177" t="s">
        <v>3324</v>
      </c>
      <c r="G169" s="3169">
        <v>-102</v>
      </c>
      <c r="H169" s="3172">
        <v>22.8</v>
      </c>
      <c r="I169" s="3173">
        <v>798000</v>
      </c>
      <c r="J169" s="3174" t="s">
        <v>3447</v>
      </c>
      <c r="K169" s="3161"/>
      <c r="M169" s="3161"/>
    </row>
    <row r="170" spans="1:13" ht="16.5">
      <c r="A170" s="3168">
        <v>168</v>
      </c>
      <c r="B170" s="3169" t="s">
        <v>3472</v>
      </c>
      <c r="C170" s="3170" t="s">
        <v>3851</v>
      </c>
      <c r="D170" s="3171" t="s">
        <v>4186</v>
      </c>
      <c r="E170" s="3170" t="s">
        <v>4187</v>
      </c>
      <c r="F170" s="3177" t="s">
        <v>3324</v>
      </c>
      <c r="G170" s="3169">
        <v>-103</v>
      </c>
      <c r="H170" s="3172">
        <v>47.99</v>
      </c>
      <c r="I170" s="3173">
        <v>1679650</v>
      </c>
      <c r="J170" s="3174" t="s">
        <v>3447</v>
      </c>
      <c r="K170" s="3161"/>
      <c r="M170" s="3161"/>
    </row>
    <row r="171" spans="1:13" ht="16.5">
      <c r="A171" s="3168">
        <v>169</v>
      </c>
      <c r="B171" s="3169" t="s">
        <v>3472</v>
      </c>
      <c r="C171" s="3170" t="s">
        <v>3851</v>
      </c>
      <c r="D171" s="3171" t="s">
        <v>4188</v>
      </c>
      <c r="E171" s="3170" t="s">
        <v>4189</v>
      </c>
      <c r="F171" s="3177" t="s">
        <v>3324</v>
      </c>
      <c r="G171" s="3169">
        <v>-104</v>
      </c>
      <c r="H171" s="3172">
        <v>49.61</v>
      </c>
      <c r="I171" s="3173">
        <v>1736350</v>
      </c>
      <c r="J171" s="3174" t="s">
        <v>3447</v>
      </c>
      <c r="K171" s="3161"/>
      <c r="M171" s="3161"/>
    </row>
    <row r="172" spans="1:13" ht="16.5">
      <c r="A172" s="3168">
        <v>170</v>
      </c>
      <c r="B172" s="3169" t="s">
        <v>3472</v>
      </c>
      <c r="C172" s="3170" t="s">
        <v>3851</v>
      </c>
      <c r="D172" s="3171" t="s">
        <v>4190</v>
      </c>
      <c r="E172" s="3170" t="s">
        <v>4191</v>
      </c>
      <c r="F172" s="3177" t="s">
        <v>3324</v>
      </c>
      <c r="G172" s="3169">
        <v>-105</v>
      </c>
      <c r="H172" s="3172">
        <v>23.64</v>
      </c>
      <c r="I172" s="3173">
        <v>827400</v>
      </c>
      <c r="J172" s="3174" t="s">
        <v>3447</v>
      </c>
      <c r="K172" s="3161"/>
      <c r="M172" s="3161"/>
    </row>
    <row r="173" spans="1:13" ht="16.5">
      <c r="A173" s="3168">
        <v>171</v>
      </c>
      <c r="B173" s="3169" t="s">
        <v>3472</v>
      </c>
      <c r="C173" s="3170" t="s">
        <v>3851</v>
      </c>
      <c r="D173" s="3171" t="s">
        <v>4192</v>
      </c>
      <c r="E173" s="3170" t="s">
        <v>4193</v>
      </c>
      <c r="F173" s="3177" t="s">
        <v>3324</v>
      </c>
      <c r="G173" s="3169">
        <v>-107</v>
      </c>
      <c r="H173" s="3172">
        <v>56.68</v>
      </c>
      <c r="I173" s="3173">
        <v>1983800</v>
      </c>
      <c r="J173" s="3174" t="s">
        <v>3447</v>
      </c>
      <c r="K173" s="3161"/>
      <c r="M173" s="3161"/>
    </row>
    <row r="174" spans="1:13" ht="16.5">
      <c r="A174" s="3168">
        <v>172</v>
      </c>
      <c r="B174" s="3169" t="s">
        <v>3472</v>
      </c>
      <c r="C174" s="3170" t="s">
        <v>3851</v>
      </c>
      <c r="D174" s="3171" t="s">
        <v>4194</v>
      </c>
      <c r="E174" s="3170" t="s">
        <v>4195</v>
      </c>
      <c r="F174" s="3177" t="s">
        <v>3324</v>
      </c>
      <c r="G174" s="3169">
        <v>-108</v>
      </c>
      <c r="H174" s="3172">
        <v>41.11</v>
      </c>
      <c r="I174" s="3173">
        <v>1438850</v>
      </c>
      <c r="J174" s="3174" t="s">
        <v>3447</v>
      </c>
      <c r="K174" s="3161"/>
      <c r="M174" s="3161"/>
    </row>
    <row r="175" spans="1:13" ht="16.5">
      <c r="A175" s="3168">
        <v>173</v>
      </c>
      <c r="B175" s="3169" t="s">
        <v>3472</v>
      </c>
      <c r="C175" s="3170" t="s">
        <v>3851</v>
      </c>
      <c r="D175" s="3171" t="s">
        <v>4196</v>
      </c>
      <c r="E175" s="3170" t="s">
        <v>4197</v>
      </c>
      <c r="F175" s="3177" t="s">
        <v>3324</v>
      </c>
      <c r="G175" s="3169">
        <v>-109</v>
      </c>
      <c r="H175" s="3172">
        <v>41.11</v>
      </c>
      <c r="I175" s="3173">
        <v>1438850</v>
      </c>
      <c r="J175" s="3174" t="s">
        <v>3447</v>
      </c>
      <c r="K175" s="3161"/>
      <c r="M175" s="3161"/>
    </row>
    <row r="176" spans="1:13" ht="16.5">
      <c r="A176" s="3168">
        <v>174</v>
      </c>
      <c r="B176" s="3169" t="s">
        <v>3472</v>
      </c>
      <c r="C176" s="3170" t="s">
        <v>3851</v>
      </c>
      <c r="D176" s="3171" t="s">
        <v>4198</v>
      </c>
      <c r="E176" s="3170" t="s">
        <v>4199</v>
      </c>
      <c r="F176" s="3177" t="s">
        <v>3324</v>
      </c>
      <c r="G176" s="3169">
        <v>-110</v>
      </c>
      <c r="H176" s="3172">
        <v>56.68</v>
      </c>
      <c r="I176" s="3173">
        <v>1983800</v>
      </c>
      <c r="J176" s="3174" t="s">
        <v>3447</v>
      </c>
      <c r="K176" s="3161"/>
      <c r="M176" s="3161"/>
    </row>
    <row r="177" spans="1:13" ht="16.5">
      <c r="A177" s="3168">
        <v>175</v>
      </c>
      <c r="B177" s="3169" t="s">
        <v>3472</v>
      </c>
      <c r="C177" s="3170" t="s">
        <v>3851</v>
      </c>
      <c r="D177" s="3171" t="s">
        <v>4200</v>
      </c>
      <c r="E177" s="3170" t="s">
        <v>4201</v>
      </c>
      <c r="F177" s="3177" t="s">
        <v>3324</v>
      </c>
      <c r="G177" s="3169">
        <v>-112</v>
      </c>
      <c r="H177" s="3172">
        <v>23.64</v>
      </c>
      <c r="I177" s="3173">
        <v>827400</v>
      </c>
      <c r="J177" s="3174" t="s">
        <v>3447</v>
      </c>
      <c r="K177" s="3161"/>
      <c r="M177" s="3161"/>
    </row>
    <row r="178" spans="1:13" ht="16.5">
      <c r="A178" s="3168">
        <v>176</v>
      </c>
      <c r="B178" s="3169" t="s">
        <v>3472</v>
      </c>
      <c r="C178" s="3170" t="s">
        <v>3851</v>
      </c>
      <c r="D178" s="3171" t="s">
        <v>4202</v>
      </c>
      <c r="E178" s="3170" t="s">
        <v>4203</v>
      </c>
      <c r="F178" s="3177" t="s">
        <v>3324</v>
      </c>
      <c r="G178" s="3169">
        <v>-113</v>
      </c>
      <c r="H178" s="3172">
        <v>53.72</v>
      </c>
      <c r="I178" s="3173">
        <v>1880200</v>
      </c>
      <c r="J178" s="3174" t="s">
        <v>3447</v>
      </c>
      <c r="K178" s="3161"/>
      <c r="M178" s="3161"/>
    </row>
    <row r="179" spans="1:13" ht="16.5">
      <c r="A179" s="3168">
        <v>177</v>
      </c>
      <c r="B179" s="3169" t="s">
        <v>3472</v>
      </c>
      <c r="C179" s="3170" t="s">
        <v>3851</v>
      </c>
      <c r="D179" s="3171" t="s">
        <v>4204</v>
      </c>
      <c r="E179" s="3170" t="s">
        <v>4205</v>
      </c>
      <c r="F179" s="3177" t="s">
        <v>3324</v>
      </c>
      <c r="G179" s="3169">
        <v>-114</v>
      </c>
      <c r="H179" s="3172">
        <v>46.5</v>
      </c>
      <c r="I179" s="3173">
        <v>1627500</v>
      </c>
      <c r="J179" s="3174" t="s">
        <v>3447</v>
      </c>
      <c r="K179" s="3161"/>
      <c r="M179" s="3161"/>
    </row>
    <row r="180" spans="1:13" ht="16.5">
      <c r="A180" s="3168">
        <v>178</v>
      </c>
      <c r="B180" s="3169" t="s">
        <v>3472</v>
      </c>
      <c r="C180" s="3170" t="s">
        <v>3851</v>
      </c>
      <c r="D180" s="3171" t="s">
        <v>4206</v>
      </c>
      <c r="E180" s="3170" t="s">
        <v>4207</v>
      </c>
      <c r="F180" s="3177" t="s">
        <v>3324</v>
      </c>
      <c r="G180" s="3169">
        <v>-115</v>
      </c>
      <c r="H180" s="3172">
        <v>16.07</v>
      </c>
      <c r="I180" s="3173">
        <v>562450</v>
      </c>
      <c r="J180" s="3174" t="s">
        <v>3447</v>
      </c>
      <c r="K180" s="3161"/>
      <c r="M180" s="3161"/>
    </row>
    <row r="181" spans="1:13" ht="16.5">
      <c r="A181" s="3168">
        <v>179</v>
      </c>
      <c r="B181" s="3169" t="s">
        <v>3472</v>
      </c>
      <c r="C181" s="3170" t="s">
        <v>3851</v>
      </c>
      <c r="D181" s="3171" t="s">
        <v>4208</v>
      </c>
      <c r="E181" s="3170" t="s">
        <v>4209</v>
      </c>
      <c r="F181" s="3177" t="s">
        <v>3324</v>
      </c>
      <c r="G181" s="3169">
        <v>-116</v>
      </c>
      <c r="H181" s="3172">
        <v>31</v>
      </c>
      <c r="I181" s="3173">
        <v>1085000</v>
      </c>
      <c r="J181" s="3174" t="s">
        <v>3447</v>
      </c>
      <c r="K181" s="3161"/>
      <c r="M181" s="3161"/>
    </row>
    <row r="182" spans="1:13" ht="16.5">
      <c r="A182" s="3168">
        <v>180</v>
      </c>
      <c r="B182" s="3169" t="s">
        <v>3472</v>
      </c>
      <c r="C182" s="3170" t="s">
        <v>3851</v>
      </c>
      <c r="D182" s="3171" t="s">
        <v>4210</v>
      </c>
      <c r="E182" s="3170" t="s">
        <v>4211</v>
      </c>
      <c r="F182" s="3177" t="s">
        <v>3324</v>
      </c>
      <c r="G182" s="3169">
        <v>-119</v>
      </c>
      <c r="H182" s="3172">
        <v>19.16</v>
      </c>
      <c r="I182" s="3173">
        <v>670600</v>
      </c>
      <c r="J182" s="3174" t="s">
        <v>3447</v>
      </c>
      <c r="K182" s="3161"/>
      <c r="M182" s="3161"/>
    </row>
    <row r="183" spans="1:13" ht="16.5">
      <c r="A183" s="3168">
        <v>181</v>
      </c>
      <c r="B183" s="3169" t="s">
        <v>3472</v>
      </c>
      <c r="C183" s="3170" t="s">
        <v>3851</v>
      </c>
      <c r="D183" s="3171" t="s">
        <v>4212</v>
      </c>
      <c r="E183" s="3170" t="s">
        <v>4213</v>
      </c>
      <c r="F183" s="3177" t="s">
        <v>3324</v>
      </c>
      <c r="G183" s="3169">
        <v>-120</v>
      </c>
      <c r="H183" s="3172">
        <v>27.63</v>
      </c>
      <c r="I183" s="3173">
        <v>967050</v>
      </c>
      <c r="J183" s="3174" t="s">
        <v>3447</v>
      </c>
      <c r="K183" s="3161"/>
      <c r="M183" s="3161"/>
    </row>
    <row r="184" spans="1:13" ht="16.5">
      <c r="A184" s="3168">
        <v>182</v>
      </c>
      <c r="B184" s="3169" t="s">
        <v>3472</v>
      </c>
      <c r="C184" s="3170" t="s">
        <v>3851</v>
      </c>
      <c r="D184" s="3171" t="s">
        <v>4214</v>
      </c>
      <c r="E184" s="3170" t="s">
        <v>4215</v>
      </c>
      <c r="F184" s="3177" t="s">
        <v>3324</v>
      </c>
      <c r="G184" s="3169">
        <v>-201</v>
      </c>
      <c r="H184" s="3172">
        <v>16.350000000000001</v>
      </c>
      <c r="I184" s="3173">
        <v>572250</v>
      </c>
      <c r="J184" s="3174" t="s">
        <v>3447</v>
      </c>
      <c r="K184" s="3161"/>
      <c r="M184" s="3161"/>
    </row>
    <row r="185" spans="1:13" ht="16.5">
      <c r="A185" s="3168">
        <v>183</v>
      </c>
      <c r="B185" s="3169" t="s">
        <v>3472</v>
      </c>
      <c r="C185" s="3170" t="s">
        <v>3851</v>
      </c>
      <c r="D185" s="3171" t="s">
        <v>4216</v>
      </c>
      <c r="E185" s="3170" t="s">
        <v>4217</v>
      </c>
      <c r="F185" s="3177" t="s">
        <v>3324</v>
      </c>
      <c r="G185" s="3169">
        <v>-203</v>
      </c>
      <c r="H185" s="3172">
        <v>17.78</v>
      </c>
      <c r="I185" s="3173">
        <v>622300</v>
      </c>
      <c r="J185" s="3174" t="s">
        <v>3447</v>
      </c>
      <c r="K185" s="3161"/>
      <c r="M185" s="3161"/>
    </row>
    <row r="186" spans="1:13" ht="16.5">
      <c r="A186" s="3168">
        <v>184</v>
      </c>
      <c r="B186" s="3169" t="s">
        <v>3472</v>
      </c>
      <c r="C186" s="3170" t="s">
        <v>3851</v>
      </c>
      <c r="D186" s="3171" t="s">
        <v>4218</v>
      </c>
      <c r="E186" s="3170" t="s">
        <v>4219</v>
      </c>
      <c r="F186" s="3177" t="s">
        <v>3324</v>
      </c>
      <c r="G186" s="3169">
        <v>-204</v>
      </c>
      <c r="H186" s="3172">
        <v>20.59</v>
      </c>
      <c r="I186" s="3173">
        <v>720650</v>
      </c>
      <c r="J186" s="3174" t="s">
        <v>3447</v>
      </c>
      <c r="K186" s="3161"/>
      <c r="M186" s="3161"/>
    </row>
    <row r="187" spans="1:13" ht="16.5">
      <c r="A187" s="3168">
        <v>185</v>
      </c>
      <c r="B187" s="3169" t="s">
        <v>3481</v>
      </c>
      <c r="C187" s="3170" t="s">
        <v>3851</v>
      </c>
      <c r="D187" s="3171" t="s">
        <v>4220</v>
      </c>
      <c r="E187" s="3170" t="s">
        <v>4221</v>
      </c>
      <c r="F187" s="3177" t="s">
        <v>3324</v>
      </c>
      <c r="G187" s="3169">
        <v>-106</v>
      </c>
      <c r="H187" s="3172">
        <v>23.69</v>
      </c>
      <c r="I187" s="3173">
        <v>829150</v>
      </c>
      <c r="J187" s="3174" t="s">
        <v>3447</v>
      </c>
      <c r="K187" s="3161"/>
      <c r="M187" s="3161"/>
    </row>
    <row r="188" spans="1:13" ht="16.5">
      <c r="A188" s="3168">
        <v>186</v>
      </c>
      <c r="B188" s="3169" t="s">
        <v>3481</v>
      </c>
      <c r="C188" s="3170" t="s">
        <v>3851</v>
      </c>
      <c r="D188" s="3171" t="s">
        <v>4222</v>
      </c>
      <c r="E188" s="3170" t="s">
        <v>4223</v>
      </c>
      <c r="F188" s="3177" t="s">
        <v>3324</v>
      </c>
      <c r="G188" s="3169">
        <v>-107</v>
      </c>
      <c r="H188" s="3172">
        <v>56.77</v>
      </c>
      <c r="I188" s="3173">
        <v>1986950</v>
      </c>
      <c r="J188" s="3174" t="s">
        <v>3447</v>
      </c>
      <c r="K188" s="3161"/>
      <c r="M188" s="3161"/>
    </row>
    <row r="189" spans="1:13" ht="16.5">
      <c r="A189" s="3168">
        <v>187</v>
      </c>
      <c r="B189" s="3169" t="s">
        <v>3481</v>
      </c>
      <c r="C189" s="3170" t="s">
        <v>3851</v>
      </c>
      <c r="D189" s="3171" t="s">
        <v>4224</v>
      </c>
      <c r="E189" s="3170" t="s">
        <v>4225</v>
      </c>
      <c r="F189" s="3177" t="s">
        <v>3324</v>
      </c>
      <c r="G189" s="3169">
        <v>-108</v>
      </c>
      <c r="H189" s="3172">
        <v>41.51</v>
      </c>
      <c r="I189" s="3173">
        <v>1452850</v>
      </c>
      <c r="J189" s="3174" t="s">
        <v>3447</v>
      </c>
      <c r="K189" s="3161"/>
      <c r="M189" s="3161"/>
    </row>
    <row r="190" spans="1:13" ht="16.5">
      <c r="A190" s="3168">
        <v>188</v>
      </c>
      <c r="B190" s="3169" t="s">
        <v>3481</v>
      </c>
      <c r="C190" s="3170" t="s">
        <v>3851</v>
      </c>
      <c r="D190" s="3171" t="s">
        <v>4226</v>
      </c>
      <c r="E190" s="3170" t="s">
        <v>4227</v>
      </c>
      <c r="F190" s="3177" t="s">
        <v>3324</v>
      </c>
      <c r="G190" s="3169">
        <v>-109</v>
      </c>
      <c r="H190" s="3172">
        <v>41.51</v>
      </c>
      <c r="I190" s="3173">
        <v>1452850</v>
      </c>
      <c r="J190" s="3174" t="s">
        <v>3447</v>
      </c>
      <c r="K190" s="3161"/>
      <c r="M190" s="3161"/>
    </row>
    <row r="191" spans="1:13" ht="16.5">
      <c r="A191" s="3168">
        <v>189</v>
      </c>
      <c r="B191" s="3169" t="s">
        <v>3481</v>
      </c>
      <c r="C191" s="3170" t="s">
        <v>3851</v>
      </c>
      <c r="D191" s="3171" t="s">
        <v>4228</v>
      </c>
      <c r="E191" s="3170" t="s">
        <v>4229</v>
      </c>
      <c r="F191" s="3177" t="s">
        <v>3324</v>
      </c>
      <c r="G191" s="3169">
        <v>-110</v>
      </c>
      <c r="H191" s="3172">
        <v>56.77</v>
      </c>
      <c r="I191" s="3173">
        <v>1986950</v>
      </c>
      <c r="J191" s="3174" t="s">
        <v>3447</v>
      </c>
      <c r="K191" s="3161"/>
      <c r="M191" s="3161"/>
    </row>
    <row r="192" spans="1:13" ht="16.5">
      <c r="A192" s="3168">
        <v>190</v>
      </c>
      <c r="B192" s="3169" t="s">
        <v>3481</v>
      </c>
      <c r="C192" s="3170" t="s">
        <v>3851</v>
      </c>
      <c r="D192" s="3171" t="s">
        <v>4230</v>
      </c>
      <c r="E192" s="3170" t="s">
        <v>4231</v>
      </c>
      <c r="F192" s="3177" t="s">
        <v>3324</v>
      </c>
      <c r="G192" s="3169">
        <v>-111</v>
      </c>
      <c r="H192" s="3172">
        <v>23.69</v>
      </c>
      <c r="I192" s="3173">
        <v>829150</v>
      </c>
      <c r="J192" s="3174" t="s">
        <v>3447</v>
      </c>
      <c r="K192" s="3161"/>
      <c r="M192" s="3161"/>
    </row>
    <row r="193" spans="1:13" ht="16.5">
      <c r="A193" s="3168">
        <v>191</v>
      </c>
      <c r="B193" s="3169" t="s">
        <v>3481</v>
      </c>
      <c r="C193" s="3170" t="s">
        <v>3851</v>
      </c>
      <c r="D193" s="3172" t="s">
        <v>4232</v>
      </c>
      <c r="E193" s="3170" t="s">
        <v>4233</v>
      </c>
      <c r="F193" s="3177" t="s">
        <v>3324</v>
      </c>
      <c r="G193" s="3169">
        <v>-115</v>
      </c>
      <c r="H193" s="3172">
        <v>41.21</v>
      </c>
      <c r="I193" s="3173">
        <v>1442350</v>
      </c>
      <c r="J193" s="3174" t="s">
        <v>3447</v>
      </c>
      <c r="K193" s="3161"/>
      <c r="M193" s="3161"/>
    </row>
    <row r="194" spans="1:13" ht="16.5">
      <c r="A194" s="3168">
        <v>192</v>
      </c>
      <c r="B194" s="3169" t="s">
        <v>3481</v>
      </c>
      <c r="C194" s="3170" t="s">
        <v>3851</v>
      </c>
      <c r="D194" s="3172" t="s">
        <v>4234</v>
      </c>
      <c r="E194" s="3170" t="s">
        <v>4235</v>
      </c>
      <c r="F194" s="3177" t="s">
        <v>3324</v>
      </c>
      <c r="G194" s="3169">
        <v>-116</v>
      </c>
      <c r="H194" s="3172">
        <v>56.77</v>
      </c>
      <c r="I194" s="3173">
        <v>1986950</v>
      </c>
      <c r="J194" s="3174" t="s">
        <v>3447</v>
      </c>
      <c r="K194" s="3161"/>
      <c r="M194" s="3161"/>
    </row>
    <row r="195" spans="1:13" ht="16.5">
      <c r="A195" s="3168">
        <v>193</v>
      </c>
      <c r="B195" s="3169" t="s">
        <v>3481</v>
      </c>
      <c r="C195" s="3170" t="s">
        <v>3851</v>
      </c>
      <c r="D195" s="3172" t="s">
        <v>4236</v>
      </c>
      <c r="E195" s="3170" t="s">
        <v>4237</v>
      </c>
      <c r="F195" s="3177" t="s">
        <v>3324</v>
      </c>
      <c r="G195" s="3169">
        <v>-117</v>
      </c>
      <c r="H195" s="3172">
        <v>23.69</v>
      </c>
      <c r="I195" s="3173">
        <v>829150</v>
      </c>
      <c r="J195" s="3174" t="s">
        <v>3447</v>
      </c>
      <c r="K195" s="3161"/>
      <c r="M195" s="3161"/>
    </row>
    <row r="196" spans="1:13" ht="16.5">
      <c r="A196" s="3168">
        <v>194</v>
      </c>
      <c r="B196" s="3169" t="s">
        <v>3481</v>
      </c>
      <c r="C196" s="3170" t="s">
        <v>3851</v>
      </c>
      <c r="D196" s="3172" t="s">
        <v>4238</v>
      </c>
      <c r="E196" s="3170" t="s">
        <v>4239</v>
      </c>
      <c r="F196" s="3177" t="s">
        <v>3324</v>
      </c>
      <c r="G196" s="3169">
        <v>-123</v>
      </c>
      <c r="H196" s="3172">
        <v>27.69</v>
      </c>
      <c r="I196" s="3173">
        <v>969150</v>
      </c>
      <c r="J196" s="3174" t="s">
        <v>3447</v>
      </c>
      <c r="K196" s="3161"/>
      <c r="M196" s="3161"/>
    </row>
    <row r="197" spans="1:13" ht="16.5">
      <c r="A197" s="3168">
        <v>195</v>
      </c>
      <c r="B197" s="3169" t="s">
        <v>3481</v>
      </c>
      <c r="C197" s="3170" t="s">
        <v>3851</v>
      </c>
      <c r="D197" s="3172" t="s">
        <v>4240</v>
      </c>
      <c r="E197" s="3170" t="s">
        <v>4241</v>
      </c>
      <c r="F197" s="3177" t="s">
        <v>3324</v>
      </c>
      <c r="G197" s="3169">
        <v>-124</v>
      </c>
      <c r="H197" s="3172">
        <v>19.2</v>
      </c>
      <c r="I197" s="3173">
        <v>672000</v>
      </c>
      <c r="J197" s="3174" t="s">
        <v>3447</v>
      </c>
      <c r="K197" s="3161"/>
      <c r="M197" s="3161"/>
    </row>
    <row r="198" spans="1:13" ht="16.5">
      <c r="A198" s="3168">
        <v>196</v>
      </c>
      <c r="B198" s="3169" t="s">
        <v>3481</v>
      </c>
      <c r="C198" s="3170" t="s">
        <v>3851</v>
      </c>
      <c r="D198" s="3172" t="s">
        <v>4242</v>
      </c>
      <c r="E198" s="3170" t="s">
        <v>4243</v>
      </c>
      <c r="F198" s="3177" t="s">
        <v>3324</v>
      </c>
      <c r="G198" s="3169">
        <v>-125</v>
      </c>
      <c r="H198" s="3172">
        <v>19.2</v>
      </c>
      <c r="I198" s="3173">
        <v>672000</v>
      </c>
      <c r="J198" s="3174" t="s">
        <v>3447</v>
      </c>
      <c r="K198" s="3161"/>
      <c r="M198" s="3161"/>
    </row>
    <row r="199" spans="1:13" ht="16.5">
      <c r="A199" s="3168">
        <v>197</v>
      </c>
      <c r="B199" s="3169" t="s">
        <v>3481</v>
      </c>
      <c r="C199" s="3170" t="s">
        <v>3851</v>
      </c>
      <c r="D199" s="3172" t="s">
        <v>4244</v>
      </c>
      <c r="E199" s="3170" t="s">
        <v>4245</v>
      </c>
      <c r="F199" s="3177" t="s">
        <v>3324</v>
      </c>
      <c r="G199" s="3169">
        <v>-127</v>
      </c>
      <c r="H199" s="3172">
        <v>27.69</v>
      </c>
      <c r="I199" s="3173">
        <v>969150</v>
      </c>
      <c r="J199" s="3174" t="s">
        <v>3447</v>
      </c>
      <c r="K199" s="3161"/>
      <c r="M199" s="3161"/>
    </row>
    <row r="200" spans="1:13" ht="16.5">
      <c r="A200" s="3168">
        <v>198</v>
      </c>
      <c r="B200" s="3169" t="s">
        <v>3481</v>
      </c>
      <c r="C200" s="3170" t="s">
        <v>3851</v>
      </c>
      <c r="D200" s="3172" t="s">
        <v>4246</v>
      </c>
      <c r="E200" s="3170" t="s">
        <v>4247</v>
      </c>
      <c r="F200" s="3177" t="s">
        <v>3324</v>
      </c>
      <c r="G200" s="3169">
        <v>-128</v>
      </c>
      <c r="H200" s="3172">
        <v>19.84</v>
      </c>
      <c r="I200" s="3173">
        <v>694400</v>
      </c>
      <c r="J200" s="3174" t="s">
        <v>3447</v>
      </c>
      <c r="K200" s="3161"/>
      <c r="M200" s="3161"/>
    </row>
    <row r="201" spans="1:13" ht="16.5">
      <c r="A201" s="3168">
        <v>199</v>
      </c>
      <c r="B201" s="3169" t="s">
        <v>3481</v>
      </c>
      <c r="C201" s="3170" t="s">
        <v>3851</v>
      </c>
      <c r="D201" s="3172" t="s">
        <v>4248</v>
      </c>
      <c r="E201" s="3170" t="s">
        <v>4249</v>
      </c>
      <c r="F201" s="3177" t="s">
        <v>3324</v>
      </c>
      <c r="G201" s="3169">
        <v>-129</v>
      </c>
      <c r="H201" s="3172">
        <v>19.84</v>
      </c>
      <c r="I201" s="3173">
        <v>694400</v>
      </c>
      <c r="J201" s="3174" t="s">
        <v>3447</v>
      </c>
      <c r="K201" s="3161"/>
      <c r="M201" s="3161"/>
    </row>
    <row r="202" spans="1:13" ht="16.5">
      <c r="A202" s="3168">
        <v>200</v>
      </c>
      <c r="B202" s="3169" t="s">
        <v>3481</v>
      </c>
      <c r="C202" s="3170" t="s">
        <v>3851</v>
      </c>
      <c r="D202" s="3172" t="s">
        <v>4250</v>
      </c>
      <c r="E202" s="3170" t="s">
        <v>4251</v>
      </c>
      <c r="F202" s="3177" t="s">
        <v>3324</v>
      </c>
      <c r="G202" s="3169">
        <v>-130</v>
      </c>
      <c r="H202" s="3172">
        <v>27.69</v>
      </c>
      <c r="I202" s="3173">
        <v>969150</v>
      </c>
      <c r="J202" s="3174" t="s">
        <v>3447</v>
      </c>
      <c r="K202" s="3161"/>
      <c r="M202" s="3161"/>
    </row>
    <row r="203" spans="1:13" ht="16.5">
      <c r="A203" s="3168">
        <v>201</v>
      </c>
      <c r="B203" s="3169" t="s">
        <v>3481</v>
      </c>
      <c r="C203" s="3170" t="s">
        <v>3851</v>
      </c>
      <c r="D203" s="3171" t="s">
        <v>4252</v>
      </c>
      <c r="E203" s="3170" t="s">
        <v>4253</v>
      </c>
      <c r="F203" s="3177" t="s">
        <v>3324</v>
      </c>
      <c r="G203" s="3169">
        <v>-202</v>
      </c>
      <c r="H203" s="3172">
        <v>16.39</v>
      </c>
      <c r="I203" s="3173">
        <v>573650</v>
      </c>
      <c r="J203" s="3174" t="s">
        <v>3447</v>
      </c>
      <c r="K203" s="3161"/>
      <c r="M203" s="3161"/>
    </row>
    <row r="204" spans="1:13" ht="16.5">
      <c r="A204" s="3168">
        <v>202</v>
      </c>
      <c r="B204" s="3169" t="s">
        <v>3481</v>
      </c>
      <c r="C204" s="3170" t="s">
        <v>3851</v>
      </c>
      <c r="D204" s="3171" t="s">
        <v>4254</v>
      </c>
      <c r="E204" s="3170" t="s">
        <v>4255</v>
      </c>
      <c r="F204" s="3177" t="s">
        <v>3324</v>
      </c>
      <c r="G204" s="3169">
        <v>-203</v>
      </c>
      <c r="H204" s="3172">
        <v>12.42</v>
      </c>
      <c r="I204" s="3173">
        <v>434700</v>
      </c>
      <c r="J204" s="3174" t="s">
        <v>3447</v>
      </c>
      <c r="K204" s="3161"/>
      <c r="M204" s="3161"/>
    </row>
    <row r="205" spans="1:13" ht="16.5">
      <c r="A205" s="3168">
        <v>203</v>
      </c>
      <c r="B205" s="3169" t="s">
        <v>3481</v>
      </c>
      <c r="C205" s="3170" t="s">
        <v>3851</v>
      </c>
      <c r="D205" s="3171" t="s">
        <v>4256</v>
      </c>
      <c r="E205" s="3170" t="s">
        <v>4257</v>
      </c>
      <c r="F205" s="3177" t="s">
        <v>3324</v>
      </c>
      <c r="G205" s="3169">
        <v>-205</v>
      </c>
      <c r="H205" s="3172">
        <v>16.39</v>
      </c>
      <c r="I205" s="3173">
        <v>573650</v>
      </c>
      <c r="J205" s="3174" t="s">
        <v>3447</v>
      </c>
      <c r="K205" s="3161"/>
      <c r="M205" s="3161"/>
    </row>
    <row r="206" spans="1:13" ht="16.5">
      <c r="A206" s="3168">
        <v>204</v>
      </c>
      <c r="B206" s="3169" t="s">
        <v>3494</v>
      </c>
      <c r="C206" s="3170" t="s">
        <v>3851</v>
      </c>
      <c r="D206" s="3172" t="s">
        <v>4258</v>
      </c>
      <c r="E206" s="3170" t="s">
        <v>4259</v>
      </c>
      <c r="F206" s="3177" t="s">
        <v>3324</v>
      </c>
      <c r="G206" s="3169">
        <v>-106</v>
      </c>
      <c r="H206" s="3172">
        <v>34.1</v>
      </c>
      <c r="I206" s="3173">
        <v>1193500</v>
      </c>
      <c r="J206" s="3174" t="s">
        <v>3447</v>
      </c>
      <c r="K206" s="3161"/>
      <c r="M206" s="3161"/>
    </row>
    <row r="207" spans="1:13" ht="16.5">
      <c r="A207" s="3168">
        <v>205</v>
      </c>
      <c r="B207" s="3169" t="s">
        <v>3494</v>
      </c>
      <c r="C207" s="3170" t="s">
        <v>3851</v>
      </c>
      <c r="D207" s="3172" t="s">
        <v>4260</v>
      </c>
      <c r="E207" s="3170" t="s">
        <v>4261</v>
      </c>
      <c r="F207" s="3177" t="s">
        <v>3324</v>
      </c>
      <c r="G207" s="3169">
        <v>-107</v>
      </c>
      <c r="H207" s="3172">
        <v>62.51</v>
      </c>
      <c r="I207" s="3173">
        <v>2187850</v>
      </c>
      <c r="J207" s="3174" t="s">
        <v>3447</v>
      </c>
      <c r="K207" s="3161"/>
      <c r="M207" s="3161"/>
    </row>
    <row r="208" spans="1:13" ht="16.5">
      <c r="A208" s="3168">
        <v>206</v>
      </c>
      <c r="B208" s="3169" t="s">
        <v>3494</v>
      </c>
      <c r="C208" s="3170" t="s">
        <v>3851</v>
      </c>
      <c r="D208" s="3172" t="s">
        <v>4262</v>
      </c>
      <c r="E208" s="3170" t="s">
        <v>4263</v>
      </c>
      <c r="F208" s="3177" t="s">
        <v>3324</v>
      </c>
      <c r="G208" s="3169">
        <v>-108</v>
      </c>
      <c r="H208" s="3172">
        <v>47.4</v>
      </c>
      <c r="I208" s="3173">
        <v>1659000</v>
      </c>
      <c r="J208" s="3174" t="s">
        <v>3447</v>
      </c>
      <c r="K208" s="3161"/>
      <c r="M208" s="3161"/>
    </row>
    <row r="209" spans="1:13" ht="16.5">
      <c r="A209" s="3168">
        <v>207</v>
      </c>
      <c r="B209" s="3169" t="s">
        <v>3494</v>
      </c>
      <c r="C209" s="3170" t="s">
        <v>3851</v>
      </c>
      <c r="D209" s="3172" t="s">
        <v>4264</v>
      </c>
      <c r="E209" s="3170" t="s">
        <v>4265</v>
      </c>
      <c r="F209" s="3177" t="s">
        <v>3324</v>
      </c>
      <c r="G209" s="3169">
        <v>-109</v>
      </c>
      <c r="H209" s="3172">
        <v>47.4</v>
      </c>
      <c r="I209" s="3173">
        <v>1659000</v>
      </c>
      <c r="J209" s="3174" t="s">
        <v>3447</v>
      </c>
      <c r="K209" s="3161"/>
      <c r="M209" s="3161"/>
    </row>
    <row r="210" spans="1:13" ht="16.5">
      <c r="A210" s="3168">
        <v>208</v>
      </c>
      <c r="B210" s="3169" t="s">
        <v>3494</v>
      </c>
      <c r="C210" s="3170" t="s">
        <v>3851</v>
      </c>
      <c r="D210" s="3172" t="s">
        <v>4266</v>
      </c>
      <c r="E210" s="3170" t="s">
        <v>4267</v>
      </c>
      <c r="F210" s="3177" t="s">
        <v>3324</v>
      </c>
      <c r="G210" s="3169">
        <v>-110</v>
      </c>
      <c r="H210" s="3172">
        <v>62.51</v>
      </c>
      <c r="I210" s="3173">
        <v>2187850</v>
      </c>
      <c r="J210" s="3174" t="s">
        <v>3447</v>
      </c>
      <c r="K210" s="3161"/>
      <c r="M210" s="3161"/>
    </row>
    <row r="211" spans="1:13" ht="16.5">
      <c r="A211" s="3168">
        <v>209</v>
      </c>
      <c r="B211" s="3169" t="s">
        <v>3494</v>
      </c>
      <c r="C211" s="3170" t="s">
        <v>3851</v>
      </c>
      <c r="D211" s="3172" t="s">
        <v>4268</v>
      </c>
      <c r="E211" s="3170" t="s">
        <v>4269</v>
      </c>
      <c r="F211" s="3177" t="s">
        <v>3324</v>
      </c>
      <c r="G211" s="3169">
        <v>-111</v>
      </c>
      <c r="H211" s="3172">
        <v>34.1</v>
      </c>
      <c r="I211" s="3173">
        <v>1193500</v>
      </c>
      <c r="J211" s="3174" t="s">
        <v>3447</v>
      </c>
      <c r="K211" s="3161"/>
      <c r="M211" s="3161"/>
    </row>
    <row r="212" spans="1:13" ht="16.5">
      <c r="A212" s="3168">
        <v>210</v>
      </c>
      <c r="B212" s="3169" t="s">
        <v>3494</v>
      </c>
      <c r="C212" s="3170" t="s">
        <v>3851</v>
      </c>
      <c r="D212" s="3172" t="s">
        <v>4270</v>
      </c>
      <c r="E212" s="3170" t="s">
        <v>4271</v>
      </c>
      <c r="F212" s="3177" t="s">
        <v>3324</v>
      </c>
      <c r="G212" s="3169">
        <v>-112</v>
      </c>
      <c r="H212" s="3172">
        <v>34.1</v>
      </c>
      <c r="I212" s="3173">
        <v>1193500</v>
      </c>
      <c r="J212" s="3174" t="s">
        <v>3447</v>
      </c>
      <c r="K212" s="3161"/>
      <c r="M212" s="3161"/>
    </row>
    <row r="213" spans="1:13" ht="16.5">
      <c r="A213" s="3168">
        <v>211</v>
      </c>
      <c r="B213" s="3169" t="s">
        <v>3494</v>
      </c>
      <c r="C213" s="3170" t="s">
        <v>3851</v>
      </c>
      <c r="D213" s="3172" t="s">
        <v>4272</v>
      </c>
      <c r="E213" s="3170" t="s">
        <v>4273</v>
      </c>
      <c r="F213" s="3177" t="s">
        <v>3324</v>
      </c>
      <c r="G213" s="3169">
        <v>-113</v>
      </c>
      <c r="H213" s="3172">
        <v>62.51</v>
      </c>
      <c r="I213" s="3173">
        <v>2187850</v>
      </c>
      <c r="J213" s="3174" t="s">
        <v>3447</v>
      </c>
      <c r="K213" s="3161"/>
      <c r="M213" s="3161"/>
    </row>
    <row r="214" spans="1:13" ht="16.5">
      <c r="A214" s="3168">
        <v>212</v>
      </c>
      <c r="B214" s="3169" t="s">
        <v>3494</v>
      </c>
      <c r="C214" s="3170" t="s">
        <v>3851</v>
      </c>
      <c r="D214" s="3172" t="s">
        <v>4274</v>
      </c>
      <c r="E214" s="3170" t="s">
        <v>4275</v>
      </c>
      <c r="F214" s="3177" t="s">
        <v>3324</v>
      </c>
      <c r="G214" s="3169">
        <v>-114</v>
      </c>
      <c r="H214" s="3172">
        <v>47.06</v>
      </c>
      <c r="I214" s="3173">
        <v>1647100</v>
      </c>
      <c r="J214" s="3174" t="s">
        <v>3447</v>
      </c>
      <c r="K214" s="3161"/>
      <c r="M214" s="3161"/>
    </row>
    <row r="215" spans="1:13" ht="16.5">
      <c r="A215" s="3168">
        <v>213</v>
      </c>
      <c r="B215" s="3169" t="s">
        <v>3494</v>
      </c>
      <c r="C215" s="3170" t="s">
        <v>3851</v>
      </c>
      <c r="D215" s="3172" t="s">
        <v>4276</v>
      </c>
      <c r="E215" s="3170" t="s">
        <v>4277</v>
      </c>
      <c r="F215" s="3177" t="s">
        <v>3324</v>
      </c>
      <c r="G215" s="3169">
        <v>-115</v>
      </c>
      <c r="H215" s="3172">
        <v>47.06</v>
      </c>
      <c r="I215" s="3173">
        <v>1647100</v>
      </c>
      <c r="J215" s="3174" t="s">
        <v>3447</v>
      </c>
      <c r="K215" s="3161"/>
      <c r="M215" s="3161"/>
    </row>
    <row r="216" spans="1:13" ht="16.5">
      <c r="A216" s="3168">
        <v>214</v>
      </c>
      <c r="B216" s="3169" t="s">
        <v>3494</v>
      </c>
      <c r="C216" s="3170" t="s">
        <v>3851</v>
      </c>
      <c r="D216" s="3172" t="s">
        <v>4278</v>
      </c>
      <c r="E216" s="3170" t="s">
        <v>4279</v>
      </c>
      <c r="F216" s="3177" t="s">
        <v>3324</v>
      </c>
      <c r="G216" s="3169">
        <v>-116</v>
      </c>
      <c r="H216" s="3172">
        <v>62.51</v>
      </c>
      <c r="I216" s="3173">
        <v>2187850</v>
      </c>
      <c r="J216" s="3174" t="s">
        <v>3447</v>
      </c>
      <c r="K216" s="3161"/>
      <c r="M216" s="3161"/>
    </row>
    <row r="217" spans="1:13" ht="16.5">
      <c r="A217" s="3168">
        <v>215</v>
      </c>
      <c r="B217" s="3169" t="s">
        <v>3494</v>
      </c>
      <c r="C217" s="3170" t="s">
        <v>3851</v>
      </c>
      <c r="D217" s="3172" t="s">
        <v>4280</v>
      </c>
      <c r="E217" s="3170" t="s">
        <v>4281</v>
      </c>
      <c r="F217" s="3177" t="s">
        <v>3324</v>
      </c>
      <c r="G217" s="3169">
        <v>-117</v>
      </c>
      <c r="H217" s="3172">
        <v>34.1</v>
      </c>
      <c r="I217" s="3173">
        <v>1193500</v>
      </c>
      <c r="J217" s="3174" t="s">
        <v>3447</v>
      </c>
      <c r="K217" s="3161"/>
      <c r="M217" s="3161"/>
    </row>
    <row r="218" spans="1:13" ht="16.5">
      <c r="A218" s="3168">
        <v>216</v>
      </c>
      <c r="B218" s="3169" t="s">
        <v>3494</v>
      </c>
      <c r="C218" s="3170" t="s">
        <v>3851</v>
      </c>
      <c r="D218" s="3172" t="s">
        <v>4282</v>
      </c>
      <c r="E218" s="3170" t="s">
        <v>4283</v>
      </c>
      <c r="F218" s="3177" t="s">
        <v>3324</v>
      </c>
      <c r="G218" s="3169">
        <v>-118</v>
      </c>
      <c r="H218" s="3172">
        <v>34.1</v>
      </c>
      <c r="I218" s="3173">
        <v>1193500</v>
      </c>
      <c r="J218" s="3174" t="s">
        <v>3447</v>
      </c>
      <c r="K218" s="3161"/>
      <c r="M218" s="3161"/>
    </row>
    <row r="219" spans="1:13" ht="16.5">
      <c r="A219" s="3168">
        <v>217</v>
      </c>
      <c r="B219" s="3169" t="s">
        <v>3494</v>
      </c>
      <c r="C219" s="3170" t="s">
        <v>3851</v>
      </c>
      <c r="D219" s="3172" t="s">
        <v>4284</v>
      </c>
      <c r="E219" s="3170" t="s">
        <v>4285</v>
      </c>
      <c r="F219" s="3177" t="s">
        <v>3324</v>
      </c>
      <c r="G219" s="3169">
        <v>-119</v>
      </c>
      <c r="H219" s="3172">
        <v>62.51</v>
      </c>
      <c r="I219" s="3173">
        <v>2187850</v>
      </c>
      <c r="J219" s="3174" t="s">
        <v>3447</v>
      </c>
      <c r="K219" s="3161"/>
      <c r="M219" s="3161"/>
    </row>
    <row r="220" spans="1:13" ht="16.5">
      <c r="A220" s="3168">
        <v>218</v>
      </c>
      <c r="B220" s="3169" t="s">
        <v>3494</v>
      </c>
      <c r="C220" s="3170" t="s">
        <v>3851</v>
      </c>
      <c r="D220" s="3172" t="s">
        <v>4286</v>
      </c>
      <c r="E220" s="3170" t="s">
        <v>4287</v>
      </c>
      <c r="F220" s="3177" t="s">
        <v>3324</v>
      </c>
      <c r="G220" s="3169">
        <v>-120</v>
      </c>
      <c r="H220" s="3172">
        <v>55.87</v>
      </c>
      <c r="I220" s="3173">
        <v>1955450</v>
      </c>
      <c r="J220" s="3174" t="s">
        <v>3447</v>
      </c>
      <c r="K220" s="3161"/>
      <c r="M220" s="3161"/>
    </row>
    <row r="221" spans="1:13" ht="16.5">
      <c r="A221" s="3168">
        <v>219</v>
      </c>
      <c r="B221" s="3169" t="s">
        <v>3494</v>
      </c>
      <c r="C221" s="3170" t="s">
        <v>3851</v>
      </c>
      <c r="D221" s="3172" t="s">
        <v>4288</v>
      </c>
      <c r="E221" s="3170" t="s">
        <v>4289</v>
      </c>
      <c r="F221" s="3177" t="s">
        <v>3324</v>
      </c>
      <c r="G221" s="3169">
        <v>-121</v>
      </c>
      <c r="H221" s="3172">
        <v>28.64</v>
      </c>
      <c r="I221" s="3173">
        <v>1002400</v>
      </c>
      <c r="J221" s="3174" t="s">
        <v>3447</v>
      </c>
      <c r="K221" s="3161"/>
      <c r="M221" s="3161"/>
    </row>
    <row r="222" spans="1:13" ht="16.5">
      <c r="A222" s="3168">
        <v>220</v>
      </c>
      <c r="B222" s="3169" t="s">
        <v>3494</v>
      </c>
      <c r="C222" s="3170" t="s">
        <v>3851</v>
      </c>
      <c r="D222" s="3172" t="s">
        <v>4290</v>
      </c>
      <c r="E222" s="3170" t="s">
        <v>4291</v>
      </c>
      <c r="F222" s="3177" t="s">
        <v>3324</v>
      </c>
      <c r="G222" s="3169">
        <v>-122</v>
      </c>
      <c r="H222" s="3172">
        <v>22.65</v>
      </c>
      <c r="I222" s="3173">
        <v>792750</v>
      </c>
      <c r="J222" s="3174" t="s">
        <v>3447</v>
      </c>
      <c r="K222" s="3161"/>
      <c r="M222" s="3161"/>
    </row>
    <row r="223" spans="1:13" ht="16.5">
      <c r="A223" s="3168">
        <v>221</v>
      </c>
      <c r="B223" s="3169" t="s">
        <v>3494</v>
      </c>
      <c r="C223" s="3170" t="s">
        <v>3851</v>
      </c>
      <c r="D223" s="3172" t="s">
        <v>4292</v>
      </c>
      <c r="E223" s="3170" t="s">
        <v>4293</v>
      </c>
      <c r="F223" s="3177" t="s">
        <v>3324</v>
      </c>
      <c r="G223" s="3169">
        <v>-123</v>
      </c>
      <c r="H223" s="3172">
        <v>28.58</v>
      </c>
      <c r="I223" s="3173">
        <v>1000300</v>
      </c>
      <c r="J223" s="3174" t="s">
        <v>3447</v>
      </c>
      <c r="K223" s="3161"/>
      <c r="M223" s="3161"/>
    </row>
    <row r="224" spans="1:13" ht="16.5">
      <c r="A224" s="3168">
        <v>222</v>
      </c>
      <c r="B224" s="3169" t="s">
        <v>3494</v>
      </c>
      <c r="C224" s="3170" t="s">
        <v>3851</v>
      </c>
      <c r="D224" s="3172" t="s">
        <v>4294</v>
      </c>
      <c r="E224" s="3170" t="s">
        <v>4295</v>
      </c>
      <c r="F224" s="3177" t="s">
        <v>3324</v>
      </c>
      <c r="G224" s="3169">
        <v>-124</v>
      </c>
      <c r="H224" s="3172">
        <v>28.58</v>
      </c>
      <c r="I224" s="3173">
        <v>1000300</v>
      </c>
      <c r="J224" s="3174" t="s">
        <v>3447</v>
      </c>
      <c r="K224" s="3161"/>
      <c r="M224" s="3161"/>
    </row>
    <row r="225" spans="1:13" ht="16.5">
      <c r="A225" s="3168">
        <v>223</v>
      </c>
      <c r="B225" s="3169" t="s">
        <v>3494</v>
      </c>
      <c r="C225" s="3170" t="s">
        <v>3851</v>
      </c>
      <c r="D225" s="3172" t="s">
        <v>4296</v>
      </c>
      <c r="E225" s="3170" t="s">
        <v>4297</v>
      </c>
      <c r="F225" s="3177" t="s">
        <v>3324</v>
      </c>
      <c r="G225" s="3169">
        <v>-126</v>
      </c>
      <c r="H225" s="3172">
        <v>43.21</v>
      </c>
      <c r="I225" s="3173">
        <v>1512350</v>
      </c>
      <c r="J225" s="3174" t="s">
        <v>3447</v>
      </c>
      <c r="K225" s="3161"/>
      <c r="M225" s="3161"/>
    </row>
    <row r="226" spans="1:13" ht="16.5">
      <c r="A226" s="3168">
        <v>224</v>
      </c>
      <c r="B226" s="3169" t="s">
        <v>3494</v>
      </c>
      <c r="C226" s="3170" t="s">
        <v>3851</v>
      </c>
      <c r="D226" s="3172" t="s">
        <v>4298</v>
      </c>
      <c r="E226" s="3170" t="s">
        <v>4299</v>
      </c>
      <c r="F226" s="3177" t="s">
        <v>3324</v>
      </c>
      <c r="G226" s="3169">
        <v>-127</v>
      </c>
      <c r="H226" s="3172">
        <v>43.12</v>
      </c>
      <c r="I226" s="3173">
        <v>1509200</v>
      </c>
      <c r="J226" s="3174" t="s">
        <v>3447</v>
      </c>
      <c r="K226" s="3161"/>
      <c r="M226" s="3161"/>
    </row>
    <row r="227" spans="1:13" ht="16.5">
      <c r="A227" s="3168">
        <v>225</v>
      </c>
      <c r="B227" s="3169" t="s">
        <v>3494</v>
      </c>
      <c r="C227" s="3170" t="s">
        <v>3851</v>
      </c>
      <c r="D227" s="3172" t="s">
        <v>4300</v>
      </c>
      <c r="E227" s="3170" t="s">
        <v>4301</v>
      </c>
      <c r="F227" s="3177" t="s">
        <v>3324</v>
      </c>
      <c r="G227" s="3169">
        <v>-202</v>
      </c>
      <c r="H227" s="3172">
        <v>19.97</v>
      </c>
      <c r="I227" s="3173">
        <v>698950</v>
      </c>
      <c r="J227" s="3174" t="s">
        <v>3447</v>
      </c>
      <c r="K227" s="3161"/>
      <c r="M227" s="3161"/>
    </row>
    <row r="228" spans="1:13" ht="16.5">
      <c r="A228" s="3168">
        <v>226</v>
      </c>
      <c r="B228" s="3169" t="s">
        <v>3494</v>
      </c>
      <c r="C228" s="3170" t="s">
        <v>3851</v>
      </c>
      <c r="D228" s="3172" t="s">
        <v>4302</v>
      </c>
      <c r="E228" s="3170" t="s">
        <v>4303</v>
      </c>
      <c r="F228" s="3177" t="s">
        <v>3324</v>
      </c>
      <c r="G228" s="3169">
        <v>-203</v>
      </c>
      <c r="H228" s="3172">
        <v>19.97</v>
      </c>
      <c r="I228" s="3173">
        <v>698950</v>
      </c>
      <c r="J228" s="3174" t="s">
        <v>3447</v>
      </c>
      <c r="K228" s="3161"/>
      <c r="M228" s="3161"/>
    </row>
    <row r="229" spans="1:13" ht="16.5">
      <c r="A229" s="3168">
        <v>227</v>
      </c>
      <c r="B229" s="3169" t="s">
        <v>3494</v>
      </c>
      <c r="C229" s="3170" t="s">
        <v>3851</v>
      </c>
      <c r="D229" s="3172" t="s">
        <v>4304</v>
      </c>
      <c r="E229" s="3170" t="s">
        <v>4305</v>
      </c>
      <c r="F229" s="3177" t="s">
        <v>3324</v>
      </c>
      <c r="G229" s="3169">
        <v>-204</v>
      </c>
      <c r="H229" s="3172">
        <v>19.97</v>
      </c>
      <c r="I229" s="3173">
        <v>698950</v>
      </c>
      <c r="J229" s="3174" t="s">
        <v>3447</v>
      </c>
      <c r="K229" s="3161"/>
      <c r="M229" s="3161"/>
    </row>
    <row r="230" spans="1:13" ht="16.5">
      <c r="A230" s="3168">
        <v>228</v>
      </c>
      <c r="B230" s="3169" t="s">
        <v>3494</v>
      </c>
      <c r="C230" s="3170" t="s">
        <v>3851</v>
      </c>
      <c r="D230" s="3172" t="s">
        <v>4306</v>
      </c>
      <c r="E230" s="3170" t="s">
        <v>4307</v>
      </c>
      <c r="F230" s="3177" t="s">
        <v>3324</v>
      </c>
      <c r="G230" s="3169">
        <v>-205</v>
      </c>
      <c r="H230" s="3172">
        <v>19.97</v>
      </c>
      <c r="I230" s="3173">
        <v>698950</v>
      </c>
      <c r="J230" s="3174" t="s">
        <v>3447</v>
      </c>
      <c r="K230" s="3161"/>
      <c r="M230" s="3161"/>
    </row>
    <row r="231" spans="1:13" ht="16.5">
      <c r="A231" s="3168">
        <v>229</v>
      </c>
      <c r="B231" s="3169" t="s">
        <v>3494</v>
      </c>
      <c r="C231" s="3170" t="s">
        <v>3851</v>
      </c>
      <c r="D231" s="3172" t="s">
        <v>4308</v>
      </c>
      <c r="E231" s="3170" t="s">
        <v>4309</v>
      </c>
      <c r="F231" s="3177" t="s">
        <v>3324</v>
      </c>
      <c r="G231" s="3169">
        <v>-206</v>
      </c>
      <c r="H231" s="3172">
        <v>19.97</v>
      </c>
      <c r="I231" s="3173">
        <v>698950</v>
      </c>
      <c r="J231" s="3174" t="s">
        <v>3447</v>
      </c>
      <c r="K231" s="3161"/>
      <c r="M231" s="3161"/>
    </row>
    <row r="232" spans="1:13" ht="16.5">
      <c r="A232" s="3168">
        <v>230</v>
      </c>
      <c r="B232" s="3169" t="s">
        <v>3535</v>
      </c>
      <c r="C232" s="3170" t="s">
        <v>3851</v>
      </c>
      <c r="D232" s="3171" t="s">
        <v>4310</v>
      </c>
      <c r="E232" s="3170" t="s">
        <v>4311</v>
      </c>
      <c r="F232" s="3177" t="s">
        <v>3324</v>
      </c>
      <c r="G232" s="3169">
        <v>-102</v>
      </c>
      <c r="H232" s="3172">
        <v>42.4</v>
      </c>
      <c r="I232" s="3173">
        <v>1484000</v>
      </c>
      <c r="J232" s="3174" t="s">
        <v>3447</v>
      </c>
      <c r="K232" s="3161"/>
      <c r="M232" s="3161"/>
    </row>
    <row r="233" spans="1:13" ht="16.5">
      <c r="A233" s="3168">
        <v>231</v>
      </c>
      <c r="B233" s="3169" t="s">
        <v>3535</v>
      </c>
      <c r="C233" s="3170" t="s">
        <v>3851</v>
      </c>
      <c r="D233" s="3171" t="s">
        <v>4312</v>
      </c>
      <c r="E233" s="3170" t="s">
        <v>4313</v>
      </c>
      <c r="F233" s="3177" t="s">
        <v>3324</v>
      </c>
      <c r="G233" s="3169">
        <v>-103</v>
      </c>
      <c r="H233" s="3172">
        <v>47.18</v>
      </c>
      <c r="I233" s="3173">
        <v>1651300</v>
      </c>
      <c r="J233" s="3174" t="s">
        <v>3447</v>
      </c>
      <c r="K233" s="3161"/>
      <c r="M233" s="3161"/>
    </row>
    <row r="234" spans="1:13" ht="16.5">
      <c r="A234" s="3168">
        <v>232</v>
      </c>
      <c r="B234" s="3169" t="s">
        <v>3535</v>
      </c>
      <c r="C234" s="3170" t="s">
        <v>3851</v>
      </c>
      <c r="D234" s="3171" t="s">
        <v>4314</v>
      </c>
      <c r="E234" s="3170" t="s">
        <v>4315</v>
      </c>
      <c r="F234" s="3177" t="s">
        <v>3324</v>
      </c>
      <c r="G234" s="3169">
        <v>-104</v>
      </c>
      <c r="H234" s="3172">
        <v>62.35</v>
      </c>
      <c r="I234" s="3173">
        <v>2182250</v>
      </c>
      <c r="J234" s="3174" t="s">
        <v>3447</v>
      </c>
      <c r="K234" s="3161"/>
      <c r="M234" s="3161"/>
    </row>
    <row r="235" spans="1:13" ht="16.5">
      <c r="A235" s="3168">
        <v>233</v>
      </c>
      <c r="B235" s="3169" t="s">
        <v>3535</v>
      </c>
      <c r="C235" s="3170" t="s">
        <v>3851</v>
      </c>
      <c r="D235" s="3171" t="s">
        <v>4316</v>
      </c>
      <c r="E235" s="3170" t="s">
        <v>4317</v>
      </c>
      <c r="F235" s="3177" t="s">
        <v>3324</v>
      </c>
      <c r="G235" s="3169">
        <v>-105</v>
      </c>
      <c r="H235" s="3172">
        <v>61.39</v>
      </c>
      <c r="I235" s="3173">
        <v>2148650</v>
      </c>
      <c r="J235" s="3174" t="s">
        <v>3447</v>
      </c>
      <c r="K235" s="3161"/>
      <c r="M235" s="3161"/>
    </row>
    <row r="236" spans="1:13" ht="16.5">
      <c r="A236" s="3168">
        <v>234</v>
      </c>
      <c r="B236" s="3169" t="s">
        <v>3535</v>
      </c>
      <c r="C236" s="3170" t="s">
        <v>3851</v>
      </c>
      <c r="D236" s="3171" t="s">
        <v>4318</v>
      </c>
      <c r="E236" s="3170" t="s">
        <v>4319</v>
      </c>
      <c r="F236" s="3177" t="s">
        <v>3324</v>
      </c>
      <c r="G236" s="3169">
        <v>-106</v>
      </c>
      <c r="H236" s="3172">
        <v>61.39</v>
      </c>
      <c r="I236" s="3173">
        <v>2148650</v>
      </c>
      <c r="J236" s="3174" t="s">
        <v>3447</v>
      </c>
      <c r="K236" s="3161"/>
      <c r="M236" s="3161"/>
    </row>
    <row r="237" spans="1:13" ht="16.5">
      <c r="A237" s="3168">
        <v>235</v>
      </c>
      <c r="B237" s="3169" t="s">
        <v>3535</v>
      </c>
      <c r="C237" s="3170" t="s">
        <v>3851</v>
      </c>
      <c r="D237" s="3171" t="s">
        <v>4320</v>
      </c>
      <c r="E237" s="3170" t="s">
        <v>4321</v>
      </c>
      <c r="F237" s="3177" t="s">
        <v>3324</v>
      </c>
      <c r="G237" s="3169">
        <v>-107</v>
      </c>
      <c r="H237" s="3172">
        <v>62.35</v>
      </c>
      <c r="I237" s="3173">
        <v>2182250</v>
      </c>
      <c r="J237" s="3174" t="s">
        <v>3447</v>
      </c>
      <c r="K237" s="3161"/>
      <c r="M237" s="3161"/>
    </row>
    <row r="238" spans="1:13" ht="16.5">
      <c r="A238" s="3168">
        <v>236</v>
      </c>
      <c r="B238" s="3169" t="s">
        <v>3535</v>
      </c>
      <c r="C238" s="3170" t="s">
        <v>3851</v>
      </c>
      <c r="D238" s="3171" t="s">
        <v>4322</v>
      </c>
      <c r="E238" s="3170" t="s">
        <v>4323</v>
      </c>
      <c r="F238" s="3177" t="s">
        <v>3324</v>
      </c>
      <c r="G238" s="3169">
        <v>-108</v>
      </c>
      <c r="H238" s="3172">
        <v>47.18</v>
      </c>
      <c r="I238" s="3173">
        <v>1651300</v>
      </c>
      <c r="J238" s="3174" t="s">
        <v>3447</v>
      </c>
      <c r="K238" s="3161"/>
      <c r="M238" s="3161"/>
    </row>
    <row r="239" spans="1:13" ht="16.5">
      <c r="A239" s="3168">
        <v>237</v>
      </c>
      <c r="B239" s="3169" t="s">
        <v>3535</v>
      </c>
      <c r="C239" s="3170" t="s">
        <v>3851</v>
      </c>
      <c r="D239" s="3171" t="s">
        <v>4324</v>
      </c>
      <c r="E239" s="3170" t="s">
        <v>4325</v>
      </c>
      <c r="F239" s="3177" t="s">
        <v>3324</v>
      </c>
      <c r="G239" s="3169">
        <v>-109</v>
      </c>
      <c r="H239" s="3172">
        <v>42.77</v>
      </c>
      <c r="I239" s="3173">
        <v>1496950</v>
      </c>
      <c r="J239" s="3174" t="s">
        <v>3447</v>
      </c>
      <c r="K239" s="3161"/>
      <c r="M239" s="3161"/>
    </row>
    <row r="240" spans="1:13" ht="16.5">
      <c r="A240" s="3168">
        <v>238</v>
      </c>
      <c r="B240" s="3169" t="s">
        <v>3535</v>
      </c>
      <c r="C240" s="3170" t="s">
        <v>3851</v>
      </c>
      <c r="D240" s="3171" t="s">
        <v>4326</v>
      </c>
      <c r="E240" s="3170" t="s">
        <v>4327</v>
      </c>
      <c r="F240" s="3177" t="s">
        <v>3324</v>
      </c>
      <c r="G240" s="3169">
        <v>-110</v>
      </c>
      <c r="H240" s="3172">
        <v>42.77</v>
      </c>
      <c r="I240" s="3173">
        <v>1496950</v>
      </c>
      <c r="J240" s="3174" t="s">
        <v>3447</v>
      </c>
      <c r="K240" s="3161"/>
      <c r="M240" s="3161"/>
    </row>
    <row r="241" spans="1:13" ht="16.5">
      <c r="A241" s="3168">
        <v>239</v>
      </c>
      <c r="B241" s="3169" t="s">
        <v>3535</v>
      </c>
      <c r="C241" s="3170" t="s">
        <v>3851</v>
      </c>
      <c r="D241" s="3171" t="s">
        <v>4328</v>
      </c>
      <c r="E241" s="3170" t="s">
        <v>4329</v>
      </c>
      <c r="F241" s="3177" t="s">
        <v>3324</v>
      </c>
      <c r="G241" s="3169">
        <v>-111</v>
      </c>
      <c r="H241" s="3172">
        <v>47.18</v>
      </c>
      <c r="I241" s="3173">
        <v>1651300</v>
      </c>
      <c r="J241" s="3174" t="s">
        <v>3447</v>
      </c>
      <c r="K241" s="3161"/>
      <c r="M241" s="3161"/>
    </row>
    <row r="242" spans="1:13" ht="16.5">
      <c r="A242" s="3168">
        <v>240</v>
      </c>
      <c r="B242" s="3169" t="s">
        <v>3535</v>
      </c>
      <c r="C242" s="3170" t="s">
        <v>3851</v>
      </c>
      <c r="D242" s="3171" t="s">
        <v>4330</v>
      </c>
      <c r="E242" s="3170" t="s">
        <v>4331</v>
      </c>
      <c r="F242" s="3177" t="s">
        <v>3324</v>
      </c>
      <c r="G242" s="3169">
        <v>-112</v>
      </c>
      <c r="H242" s="3172">
        <v>62.35</v>
      </c>
      <c r="I242" s="3173">
        <v>2182250</v>
      </c>
      <c r="J242" s="3174" t="s">
        <v>3447</v>
      </c>
      <c r="K242" s="3161"/>
      <c r="M242" s="3161"/>
    </row>
    <row r="243" spans="1:13" ht="16.5">
      <c r="A243" s="3168">
        <v>241</v>
      </c>
      <c r="B243" s="3169" t="s">
        <v>3535</v>
      </c>
      <c r="C243" s="3170" t="s">
        <v>3851</v>
      </c>
      <c r="D243" s="3171" t="s">
        <v>4332</v>
      </c>
      <c r="E243" s="3170" t="s">
        <v>4333</v>
      </c>
      <c r="F243" s="3177" t="s">
        <v>3324</v>
      </c>
      <c r="G243" s="3169">
        <v>-113</v>
      </c>
      <c r="H243" s="3172">
        <v>61.39</v>
      </c>
      <c r="I243" s="3173">
        <v>2148650</v>
      </c>
      <c r="J243" s="3174" t="s">
        <v>3447</v>
      </c>
      <c r="K243" s="3161"/>
      <c r="M243" s="3161"/>
    </row>
    <row r="244" spans="1:13" ht="16.5">
      <c r="A244" s="3168">
        <v>242</v>
      </c>
      <c r="B244" s="3169" t="s">
        <v>3535</v>
      </c>
      <c r="C244" s="3170" t="s">
        <v>3851</v>
      </c>
      <c r="D244" s="3171" t="s">
        <v>4334</v>
      </c>
      <c r="E244" s="3170" t="s">
        <v>4335</v>
      </c>
      <c r="F244" s="3177" t="s">
        <v>3324</v>
      </c>
      <c r="G244" s="3169">
        <v>-114</v>
      </c>
      <c r="H244" s="3172">
        <v>61.39</v>
      </c>
      <c r="I244" s="3173">
        <v>2148650</v>
      </c>
      <c r="J244" s="3174" t="s">
        <v>3447</v>
      </c>
      <c r="K244" s="3161"/>
      <c r="M244" s="3161"/>
    </row>
    <row r="245" spans="1:13" ht="16.5">
      <c r="A245" s="3168">
        <v>243</v>
      </c>
      <c r="B245" s="3169" t="s">
        <v>3535</v>
      </c>
      <c r="C245" s="3170" t="s">
        <v>3851</v>
      </c>
      <c r="D245" s="3171" t="s">
        <v>4336</v>
      </c>
      <c r="E245" s="3170" t="s">
        <v>4337</v>
      </c>
      <c r="F245" s="3177" t="s">
        <v>3324</v>
      </c>
      <c r="G245" s="3169">
        <v>-115</v>
      </c>
      <c r="H245" s="3172">
        <v>62.35</v>
      </c>
      <c r="I245" s="3173">
        <v>2182250</v>
      </c>
      <c r="J245" s="3174" t="s">
        <v>3447</v>
      </c>
      <c r="K245" s="3161"/>
      <c r="M245" s="3161"/>
    </row>
    <row r="246" spans="1:13" ht="16.5">
      <c r="A246" s="3168">
        <v>244</v>
      </c>
      <c r="B246" s="3169" t="s">
        <v>3535</v>
      </c>
      <c r="C246" s="3170" t="s">
        <v>3851</v>
      </c>
      <c r="D246" s="3171" t="s">
        <v>4338</v>
      </c>
      <c r="E246" s="3170" t="s">
        <v>4339</v>
      </c>
      <c r="F246" s="3177" t="s">
        <v>3324</v>
      </c>
      <c r="G246" s="3169">
        <v>-116</v>
      </c>
      <c r="H246" s="3172">
        <v>47.18</v>
      </c>
      <c r="I246" s="3173">
        <v>1651300</v>
      </c>
      <c r="J246" s="3174" t="s">
        <v>3447</v>
      </c>
      <c r="K246" s="3161"/>
      <c r="M246" s="3161"/>
    </row>
    <row r="247" spans="1:13" ht="16.5">
      <c r="A247" s="3168">
        <v>245</v>
      </c>
      <c r="B247" s="3169" t="s">
        <v>3535</v>
      </c>
      <c r="C247" s="3170" t="s">
        <v>3851</v>
      </c>
      <c r="D247" s="3171" t="s">
        <v>4340</v>
      </c>
      <c r="E247" s="3170" t="s">
        <v>4341</v>
      </c>
      <c r="F247" s="3177" t="s">
        <v>3324</v>
      </c>
      <c r="G247" s="3169">
        <v>-117</v>
      </c>
      <c r="H247" s="3172">
        <v>54.43</v>
      </c>
      <c r="I247" s="3173">
        <v>1905050</v>
      </c>
      <c r="J247" s="3174" t="s">
        <v>3447</v>
      </c>
      <c r="K247" s="3161"/>
      <c r="M247" s="3161"/>
    </row>
    <row r="248" spans="1:13" ht="16.5">
      <c r="A248" s="3168">
        <v>246</v>
      </c>
      <c r="B248" s="3169" t="s">
        <v>3535</v>
      </c>
      <c r="C248" s="3170" t="s">
        <v>3851</v>
      </c>
      <c r="D248" s="3171" t="s">
        <v>4342</v>
      </c>
      <c r="E248" s="3170" t="s">
        <v>4343</v>
      </c>
      <c r="F248" s="3177" t="s">
        <v>3324</v>
      </c>
      <c r="G248" s="3169">
        <v>-118</v>
      </c>
      <c r="H248" s="3172">
        <v>15.15</v>
      </c>
      <c r="I248" s="3173">
        <v>530250</v>
      </c>
      <c r="J248" s="3174" t="s">
        <v>3447</v>
      </c>
      <c r="K248" s="3161"/>
      <c r="M248" s="3161"/>
    </row>
    <row r="249" spans="1:13" ht="16.5">
      <c r="A249" s="3168">
        <v>247</v>
      </c>
      <c r="B249" s="3169" t="s">
        <v>3535</v>
      </c>
      <c r="C249" s="3170" t="s">
        <v>3851</v>
      </c>
      <c r="D249" s="3171" t="s">
        <v>4344</v>
      </c>
      <c r="E249" s="3170" t="s">
        <v>4345</v>
      </c>
      <c r="F249" s="3177" t="s">
        <v>3324</v>
      </c>
      <c r="G249" s="3169">
        <v>-119</v>
      </c>
      <c r="H249" s="3172">
        <v>14.91</v>
      </c>
      <c r="I249" s="3173">
        <v>521850</v>
      </c>
      <c r="J249" s="3174" t="s">
        <v>3447</v>
      </c>
      <c r="K249" s="3161"/>
      <c r="M249" s="3161"/>
    </row>
    <row r="250" spans="1:13" ht="16.5">
      <c r="A250" s="3168">
        <v>248</v>
      </c>
      <c r="B250" s="3169" t="s">
        <v>3535</v>
      </c>
      <c r="C250" s="3170" t="s">
        <v>3851</v>
      </c>
      <c r="D250" s="3171" t="s">
        <v>4346</v>
      </c>
      <c r="E250" s="3170" t="s">
        <v>4347</v>
      </c>
      <c r="F250" s="3177" t="s">
        <v>3324</v>
      </c>
      <c r="G250" s="3169">
        <v>-201</v>
      </c>
      <c r="H250" s="3172">
        <v>22.9</v>
      </c>
      <c r="I250" s="3173">
        <v>801500</v>
      </c>
      <c r="J250" s="3174" t="s">
        <v>3447</v>
      </c>
      <c r="K250" s="3161"/>
      <c r="M250" s="3161"/>
    </row>
    <row r="251" spans="1:13" ht="16.5">
      <c r="A251" s="3168">
        <v>249</v>
      </c>
      <c r="B251" s="3169" t="s">
        <v>3535</v>
      </c>
      <c r="C251" s="3170" t="s">
        <v>3851</v>
      </c>
      <c r="D251" s="3171" t="s">
        <v>4348</v>
      </c>
      <c r="E251" s="3170" t="s">
        <v>4349</v>
      </c>
      <c r="F251" s="3177" t="s">
        <v>3324</v>
      </c>
      <c r="G251" s="3169">
        <v>-202</v>
      </c>
      <c r="H251" s="3172">
        <v>22.9</v>
      </c>
      <c r="I251" s="3173">
        <v>801500</v>
      </c>
      <c r="J251" s="3174" t="s">
        <v>3447</v>
      </c>
      <c r="K251" s="3161"/>
      <c r="M251" s="3161"/>
    </row>
    <row r="252" spans="1:13" ht="16.5">
      <c r="A252" s="3168">
        <v>250</v>
      </c>
      <c r="B252" s="3169" t="s">
        <v>3535</v>
      </c>
      <c r="C252" s="3170" t="s">
        <v>3851</v>
      </c>
      <c r="D252" s="3171" t="s">
        <v>4350</v>
      </c>
      <c r="E252" s="3170" t="s">
        <v>4351</v>
      </c>
      <c r="F252" s="3177" t="s">
        <v>3324</v>
      </c>
      <c r="G252" s="3169">
        <v>-203</v>
      </c>
      <c r="H252" s="3172">
        <v>22.9</v>
      </c>
      <c r="I252" s="3173">
        <v>801500</v>
      </c>
      <c r="J252" s="3174" t="s">
        <v>3447</v>
      </c>
      <c r="K252" s="3161"/>
      <c r="M252" s="3161"/>
    </row>
    <row r="253" spans="1:13" ht="16.5">
      <c r="A253" s="3168">
        <v>251</v>
      </c>
      <c r="B253" s="3169" t="s">
        <v>3535</v>
      </c>
      <c r="C253" s="3170" t="s">
        <v>3851</v>
      </c>
      <c r="D253" s="3171" t="s">
        <v>4352</v>
      </c>
      <c r="E253" s="3170" t="s">
        <v>4353</v>
      </c>
      <c r="F253" s="3177" t="s">
        <v>3324</v>
      </c>
      <c r="G253" s="3169">
        <v>-204</v>
      </c>
      <c r="H253" s="3172">
        <v>21.51</v>
      </c>
      <c r="I253" s="3173">
        <v>752850</v>
      </c>
      <c r="J253" s="3174" t="s">
        <v>3447</v>
      </c>
      <c r="K253" s="3161"/>
      <c r="M253" s="3161"/>
    </row>
    <row r="254" spans="1:13" ht="16.5">
      <c r="A254" s="3168">
        <v>252</v>
      </c>
      <c r="B254" s="3169" t="s">
        <v>3560</v>
      </c>
      <c r="C254" s="3170" t="s">
        <v>3851</v>
      </c>
      <c r="D254" s="3172" t="s">
        <v>4354</v>
      </c>
      <c r="E254" s="3170" t="s">
        <v>4355</v>
      </c>
      <c r="F254" s="3177" t="s">
        <v>3324</v>
      </c>
      <c r="G254" s="3169">
        <v>-109</v>
      </c>
      <c r="H254" s="3172">
        <v>29.78</v>
      </c>
      <c r="I254" s="3173">
        <v>1042300</v>
      </c>
      <c r="J254" s="3174" t="s">
        <v>3447</v>
      </c>
      <c r="K254" s="3161"/>
      <c r="M254" s="3161"/>
    </row>
    <row r="255" spans="1:13" ht="16.5">
      <c r="A255" s="3168">
        <v>253</v>
      </c>
      <c r="B255" s="3169" t="s">
        <v>3560</v>
      </c>
      <c r="C255" s="3170" t="s">
        <v>3851</v>
      </c>
      <c r="D255" s="3172" t="s">
        <v>4356</v>
      </c>
      <c r="E255" s="3170" t="s">
        <v>4357</v>
      </c>
      <c r="F255" s="3177" t="s">
        <v>3324</v>
      </c>
      <c r="G255" s="3169">
        <v>-202</v>
      </c>
      <c r="H255" s="3172">
        <v>30.16</v>
      </c>
      <c r="I255" s="3173">
        <v>1055600</v>
      </c>
      <c r="J255" s="3174" t="s">
        <v>3447</v>
      </c>
      <c r="K255" s="3161"/>
      <c r="M255" s="3161"/>
    </row>
    <row r="256" spans="1:13" ht="16.5">
      <c r="A256" s="3168">
        <v>254</v>
      </c>
      <c r="B256" s="3169" t="s">
        <v>3567</v>
      </c>
      <c r="C256" s="3170" t="s">
        <v>3851</v>
      </c>
      <c r="D256" s="3172" t="s">
        <v>4358</v>
      </c>
      <c r="E256" s="3170" t="s">
        <v>4359</v>
      </c>
      <c r="F256" s="3177" t="s">
        <v>3324</v>
      </c>
      <c r="G256" s="3169">
        <v>-106</v>
      </c>
      <c r="H256" s="3172">
        <v>61.69</v>
      </c>
      <c r="I256" s="3173">
        <v>2159150</v>
      </c>
      <c r="J256" s="3174" t="s">
        <v>3447</v>
      </c>
      <c r="K256" s="3161"/>
      <c r="M256" s="3161"/>
    </row>
    <row r="257" spans="1:13" ht="16.5">
      <c r="A257" s="3168">
        <v>255</v>
      </c>
      <c r="B257" s="3169" t="s">
        <v>3567</v>
      </c>
      <c r="C257" s="3170" t="s">
        <v>3851</v>
      </c>
      <c r="D257" s="3172" t="s">
        <v>4360</v>
      </c>
      <c r="E257" s="3170" t="s">
        <v>4361</v>
      </c>
      <c r="F257" s="3177" t="s">
        <v>3324</v>
      </c>
      <c r="G257" s="3169">
        <v>-107</v>
      </c>
      <c r="H257" s="3172">
        <v>62.66</v>
      </c>
      <c r="I257" s="3173">
        <v>2193100</v>
      </c>
      <c r="J257" s="3174" t="s">
        <v>3447</v>
      </c>
      <c r="K257" s="3161"/>
      <c r="M257" s="3161"/>
    </row>
    <row r="258" spans="1:13" ht="16.5">
      <c r="A258" s="3168">
        <v>256</v>
      </c>
      <c r="B258" s="3169" t="s">
        <v>3567</v>
      </c>
      <c r="C258" s="3170" t="s">
        <v>3851</v>
      </c>
      <c r="D258" s="3172" t="s">
        <v>4362</v>
      </c>
      <c r="E258" s="3170" t="s">
        <v>4363</v>
      </c>
      <c r="F258" s="3177" t="s">
        <v>3324</v>
      </c>
      <c r="G258" s="3169">
        <v>-108</v>
      </c>
      <c r="H258" s="3172">
        <v>47.41</v>
      </c>
      <c r="I258" s="3173">
        <v>1659350</v>
      </c>
      <c r="J258" s="3174" t="s">
        <v>3447</v>
      </c>
      <c r="K258" s="3161"/>
      <c r="M258" s="3161"/>
    </row>
    <row r="259" spans="1:13" ht="16.5">
      <c r="A259" s="3168">
        <v>257</v>
      </c>
      <c r="B259" s="3169" t="s">
        <v>3567</v>
      </c>
      <c r="C259" s="3170" t="s">
        <v>3851</v>
      </c>
      <c r="D259" s="3172" t="s">
        <v>4364</v>
      </c>
      <c r="E259" s="3170" t="s">
        <v>4365</v>
      </c>
      <c r="F259" s="3177" t="s">
        <v>3324</v>
      </c>
      <c r="G259" s="3169">
        <v>-109</v>
      </c>
      <c r="H259" s="3172">
        <v>42.6</v>
      </c>
      <c r="I259" s="3173">
        <v>1491000</v>
      </c>
      <c r="J259" s="3174" t="s">
        <v>3447</v>
      </c>
      <c r="K259" s="3161"/>
      <c r="M259" s="3161"/>
    </row>
    <row r="260" spans="1:13" ht="16.5">
      <c r="A260" s="3168">
        <v>258</v>
      </c>
      <c r="B260" s="3169" t="s">
        <v>3567</v>
      </c>
      <c r="C260" s="3170" t="s">
        <v>3851</v>
      </c>
      <c r="D260" s="3172" t="s">
        <v>4366</v>
      </c>
      <c r="E260" s="3170" t="s">
        <v>4367</v>
      </c>
      <c r="F260" s="3177" t="s">
        <v>3324</v>
      </c>
      <c r="G260" s="3169">
        <v>-202</v>
      </c>
      <c r="H260" s="3172">
        <v>23.01</v>
      </c>
      <c r="I260" s="3173">
        <v>805350</v>
      </c>
      <c r="J260" s="3174" t="s">
        <v>3447</v>
      </c>
      <c r="K260" s="3161"/>
      <c r="M260" s="3161"/>
    </row>
    <row r="261" spans="1:13" ht="16.5">
      <c r="A261" s="3168">
        <v>259</v>
      </c>
      <c r="B261" s="3169" t="s">
        <v>3572</v>
      </c>
      <c r="C261" s="3170" t="s">
        <v>3851</v>
      </c>
      <c r="D261" s="3171" t="s">
        <v>4368</v>
      </c>
      <c r="E261" s="3170" t="s">
        <v>4369</v>
      </c>
      <c r="F261" s="3177" t="s">
        <v>3324</v>
      </c>
      <c r="G261" s="3169">
        <v>-101</v>
      </c>
      <c r="H261" s="3172">
        <v>12.98</v>
      </c>
      <c r="I261" s="3173">
        <v>454300</v>
      </c>
      <c r="J261" s="3174" t="s">
        <v>3447</v>
      </c>
      <c r="K261" s="3161"/>
      <c r="M261" s="3161"/>
    </row>
    <row r="262" spans="1:13" ht="16.5">
      <c r="A262" s="3168">
        <v>260</v>
      </c>
      <c r="B262" s="3169" t="s">
        <v>3572</v>
      </c>
      <c r="C262" s="3170" t="s">
        <v>3851</v>
      </c>
      <c r="D262" s="3171" t="s">
        <v>4370</v>
      </c>
      <c r="E262" s="3170" t="s">
        <v>4371</v>
      </c>
      <c r="F262" s="3177" t="s">
        <v>3324</v>
      </c>
      <c r="G262" s="3169">
        <v>-102</v>
      </c>
      <c r="H262" s="3172">
        <v>38.93</v>
      </c>
      <c r="I262" s="3173">
        <v>1362550</v>
      </c>
      <c r="J262" s="3174" t="s">
        <v>3447</v>
      </c>
      <c r="K262" s="3161"/>
      <c r="M262" s="3161"/>
    </row>
    <row r="263" spans="1:13" ht="16.5">
      <c r="A263" s="3168">
        <v>261</v>
      </c>
      <c r="B263" s="3169" t="s">
        <v>3572</v>
      </c>
      <c r="C263" s="3170" t="s">
        <v>3851</v>
      </c>
      <c r="D263" s="3171" t="s">
        <v>4372</v>
      </c>
      <c r="E263" s="3170" t="s">
        <v>4373</v>
      </c>
      <c r="F263" s="3177" t="s">
        <v>3324</v>
      </c>
      <c r="G263" s="3169">
        <v>-103</v>
      </c>
      <c r="H263" s="3172">
        <v>47.03</v>
      </c>
      <c r="I263" s="3173">
        <v>1646050</v>
      </c>
      <c r="J263" s="3174" t="s">
        <v>3447</v>
      </c>
      <c r="K263" s="3161"/>
      <c r="M263" s="3161"/>
    </row>
    <row r="264" spans="1:13" ht="16.5">
      <c r="A264" s="3168">
        <v>262</v>
      </c>
      <c r="B264" s="3169" t="s">
        <v>3572</v>
      </c>
      <c r="C264" s="3170" t="s">
        <v>3851</v>
      </c>
      <c r="D264" s="3171" t="s">
        <v>4374</v>
      </c>
      <c r="E264" s="3170" t="s">
        <v>4375</v>
      </c>
      <c r="F264" s="3177" t="s">
        <v>3324</v>
      </c>
      <c r="G264" s="3169">
        <v>-104</v>
      </c>
      <c r="H264" s="3172">
        <v>62.16</v>
      </c>
      <c r="I264" s="3173">
        <v>2175600</v>
      </c>
      <c r="J264" s="3174" t="s">
        <v>3447</v>
      </c>
      <c r="K264" s="3161"/>
      <c r="M264" s="3161"/>
    </row>
    <row r="265" spans="1:13" ht="16.5">
      <c r="A265" s="3168">
        <v>263</v>
      </c>
      <c r="B265" s="3169" t="s">
        <v>3572</v>
      </c>
      <c r="C265" s="3170" t="s">
        <v>3851</v>
      </c>
      <c r="D265" s="3171" t="s">
        <v>4376</v>
      </c>
      <c r="E265" s="3170" t="s">
        <v>4377</v>
      </c>
      <c r="F265" s="3177" t="s">
        <v>3324</v>
      </c>
      <c r="G265" s="3169">
        <v>-105</v>
      </c>
      <c r="H265" s="3172">
        <v>61.2</v>
      </c>
      <c r="I265" s="3173">
        <v>2142000</v>
      </c>
      <c r="J265" s="3174" t="s">
        <v>3447</v>
      </c>
      <c r="K265" s="3161"/>
      <c r="M265" s="3161"/>
    </row>
    <row r="266" spans="1:13" ht="16.5">
      <c r="A266" s="3168">
        <v>264</v>
      </c>
      <c r="B266" s="3169" t="s">
        <v>3572</v>
      </c>
      <c r="C266" s="3170" t="s">
        <v>3851</v>
      </c>
      <c r="D266" s="3171" t="s">
        <v>4378</v>
      </c>
      <c r="E266" s="3170" t="s">
        <v>4379</v>
      </c>
      <c r="F266" s="3177" t="s">
        <v>3324</v>
      </c>
      <c r="G266" s="3169">
        <v>-106</v>
      </c>
      <c r="H266" s="3172">
        <v>61.2</v>
      </c>
      <c r="I266" s="3173">
        <v>2142000</v>
      </c>
      <c r="J266" s="3174" t="s">
        <v>3447</v>
      </c>
      <c r="K266" s="3161"/>
      <c r="M266" s="3161"/>
    </row>
    <row r="267" spans="1:13" ht="16.5">
      <c r="A267" s="3168">
        <v>265</v>
      </c>
      <c r="B267" s="3169" t="s">
        <v>3572</v>
      </c>
      <c r="C267" s="3170" t="s">
        <v>3851</v>
      </c>
      <c r="D267" s="3171" t="s">
        <v>4380</v>
      </c>
      <c r="E267" s="3170" t="s">
        <v>4381</v>
      </c>
      <c r="F267" s="3177" t="s">
        <v>3324</v>
      </c>
      <c r="G267" s="3169">
        <v>-107</v>
      </c>
      <c r="H267" s="3172">
        <v>62.16</v>
      </c>
      <c r="I267" s="3173">
        <v>2175600</v>
      </c>
      <c r="J267" s="3174" t="s">
        <v>3447</v>
      </c>
      <c r="K267" s="3161"/>
      <c r="M267" s="3161"/>
    </row>
    <row r="268" spans="1:13" ht="16.5">
      <c r="A268" s="3168">
        <v>266</v>
      </c>
      <c r="B268" s="3169" t="s">
        <v>3572</v>
      </c>
      <c r="C268" s="3170" t="s">
        <v>3851</v>
      </c>
      <c r="D268" s="3171" t="s">
        <v>4382</v>
      </c>
      <c r="E268" s="3170" t="s">
        <v>4383</v>
      </c>
      <c r="F268" s="3177" t="s">
        <v>3324</v>
      </c>
      <c r="G268" s="3169">
        <v>-108</v>
      </c>
      <c r="H268" s="3172">
        <v>47.03</v>
      </c>
      <c r="I268" s="3173">
        <v>1646050</v>
      </c>
      <c r="J268" s="3174" t="s">
        <v>3447</v>
      </c>
      <c r="K268" s="3161"/>
      <c r="M268" s="3161"/>
    </row>
    <row r="269" spans="1:13" ht="16.5">
      <c r="A269" s="3168">
        <v>267</v>
      </c>
      <c r="B269" s="3169" t="s">
        <v>3572</v>
      </c>
      <c r="C269" s="3170" t="s">
        <v>3851</v>
      </c>
      <c r="D269" s="3171" t="s">
        <v>4384</v>
      </c>
      <c r="E269" s="3170" t="s">
        <v>4385</v>
      </c>
      <c r="F269" s="3177" t="s">
        <v>3324</v>
      </c>
      <c r="G269" s="3169">
        <v>-109</v>
      </c>
      <c r="H269" s="3172">
        <v>42.64</v>
      </c>
      <c r="I269" s="3173">
        <v>1492400</v>
      </c>
      <c r="J269" s="3174" t="s">
        <v>3447</v>
      </c>
      <c r="K269" s="3161"/>
      <c r="M269" s="3161"/>
    </row>
    <row r="270" spans="1:13" ht="16.5">
      <c r="A270" s="3168">
        <v>268</v>
      </c>
      <c r="B270" s="3169" t="s">
        <v>3572</v>
      </c>
      <c r="C270" s="3170" t="s">
        <v>3851</v>
      </c>
      <c r="D270" s="3171" t="s">
        <v>4386</v>
      </c>
      <c r="E270" s="3170" t="s">
        <v>4387</v>
      </c>
      <c r="F270" s="3177" t="s">
        <v>3324</v>
      </c>
      <c r="G270" s="3169">
        <v>-110</v>
      </c>
      <c r="H270" s="3172">
        <v>42.64</v>
      </c>
      <c r="I270" s="3173">
        <v>1492400</v>
      </c>
      <c r="J270" s="3174" t="s">
        <v>3447</v>
      </c>
      <c r="K270" s="3161"/>
      <c r="M270" s="3161"/>
    </row>
    <row r="271" spans="1:13" ht="16.5">
      <c r="A271" s="3168">
        <v>269</v>
      </c>
      <c r="B271" s="3169" t="s">
        <v>3572</v>
      </c>
      <c r="C271" s="3170" t="s">
        <v>3851</v>
      </c>
      <c r="D271" s="3171" t="s">
        <v>4388</v>
      </c>
      <c r="E271" s="3170" t="s">
        <v>4389</v>
      </c>
      <c r="F271" s="3177" t="s">
        <v>3324</v>
      </c>
      <c r="G271" s="3169">
        <v>-111</v>
      </c>
      <c r="H271" s="3172">
        <v>47.03</v>
      </c>
      <c r="I271" s="3173">
        <v>1646050</v>
      </c>
      <c r="J271" s="3174" t="s">
        <v>3447</v>
      </c>
      <c r="K271" s="3161"/>
      <c r="M271" s="3161"/>
    </row>
    <row r="272" spans="1:13" ht="16.5">
      <c r="A272" s="3168">
        <v>270</v>
      </c>
      <c r="B272" s="3169" t="s">
        <v>3572</v>
      </c>
      <c r="C272" s="3170" t="s">
        <v>3851</v>
      </c>
      <c r="D272" s="3171" t="s">
        <v>4390</v>
      </c>
      <c r="E272" s="3170" t="s">
        <v>4391</v>
      </c>
      <c r="F272" s="3177" t="s">
        <v>3324</v>
      </c>
      <c r="G272" s="3169">
        <v>-112</v>
      </c>
      <c r="H272" s="3172">
        <v>62.16</v>
      </c>
      <c r="I272" s="3173">
        <v>2175600</v>
      </c>
      <c r="J272" s="3174" t="s">
        <v>3447</v>
      </c>
      <c r="K272" s="3161"/>
      <c r="M272" s="3161"/>
    </row>
    <row r="273" spans="1:13" ht="16.5">
      <c r="A273" s="3168">
        <v>271</v>
      </c>
      <c r="B273" s="3169" t="s">
        <v>3572</v>
      </c>
      <c r="C273" s="3170" t="s">
        <v>3851</v>
      </c>
      <c r="D273" s="3171" t="s">
        <v>4392</v>
      </c>
      <c r="E273" s="3170" t="s">
        <v>4393</v>
      </c>
      <c r="F273" s="3177" t="s">
        <v>3324</v>
      </c>
      <c r="G273" s="3169">
        <v>-113</v>
      </c>
      <c r="H273" s="3172">
        <v>61.2</v>
      </c>
      <c r="I273" s="3173">
        <v>2142000</v>
      </c>
      <c r="J273" s="3174" t="s">
        <v>3447</v>
      </c>
      <c r="K273" s="3161"/>
      <c r="M273" s="3161"/>
    </row>
    <row r="274" spans="1:13" ht="16.5">
      <c r="A274" s="3168">
        <v>272</v>
      </c>
      <c r="B274" s="3169" t="s">
        <v>3572</v>
      </c>
      <c r="C274" s="3170" t="s">
        <v>3851</v>
      </c>
      <c r="D274" s="3171" t="s">
        <v>4394</v>
      </c>
      <c r="E274" s="3170" t="s">
        <v>4395</v>
      </c>
      <c r="F274" s="3177" t="s">
        <v>3324</v>
      </c>
      <c r="G274" s="3169">
        <v>-114</v>
      </c>
      <c r="H274" s="3172">
        <v>61.2</v>
      </c>
      <c r="I274" s="3173">
        <v>2142000</v>
      </c>
      <c r="J274" s="3174" t="s">
        <v>3447</v>
      </c>
      <c r="K274" s="3161"/>
      <c r="M274" s="3161"/>
    </row>
    <row r="275" spans="1:13" ht="16.5">
      <c r="A275" s="3168">
        <v>273</v>
      </c>
      <c r="B275" s="3169" t="s">
        <v>3572</v>
      </c>
      <c r="C275" s="3170" t="s">
        <v>3851</v>
      </c>
      <c r="D275" s="3171" t="s">
        <v>4396</v>
      </c>
      <c r="E275" s="3170" t="s">
        <v>4397</v>
      </c>
      <c r="F275" s="3177" t="s">
        <v>3324</v>
      </c>
      <c r="G275" s="3169">
        <v>-115</v>
      </c>
      <c r="H275" s="3172">
        <v>62.16</v>
      </c>
      <c r="I275" s="3173">
        <v>2175600</v>
      </c>
      <c r="J275" s="3174" t="s">
        <v>3447</v>
      </c>
      <c r="K275" s="3161"/>
      <c r="M275" s="3161"/>
    </row>
    <row r="276" spans="1:13" ht="16.5">
      <c r="A276" s="3168">
        <v>274</v>
      </c>
      <c r="B276" s="3169" t="s">
        <v>3572</v>
      </c>
      <c r="C276" s="3170" t="s">
        <v>3851</v>
      </c>
      <c r="D276" s="3171" t="s">
        <v>4398</v>
      </c>
      <c r="E276" s="3170" t="s">
        <v>4399</v>
      </c>
      <c r="F276" s="3177" t="s">
        <v>3324</v>
      </c>
      <c r="G276" s="3169">
        <v>-116</v>
      </c>
      <c r="H276" s="3172">
        <v>47.03</v>
      </c>
      <c r="I276" s="3173">
        <v>1646050</v>
      </c>
      <c r="J276" s="3174" t="s">
        <v>3447</v>
      </c>
      <c r="K276" s="3161"/>
      <c r="M276" s="3161"/>
    </row>
    <row r="277" spans="1:13" ht="16.5">
      <c r="A277" s="3168">
        <v>275</v>
      </c>
      <c r="B277" s="3169" t="s">
        <v>3572</v>
      </c>
      <c r="C277" s="3170" t="s">
        <v>3851</v>
      </c>
      <c r="D277" s="3171" t="s">
        <v>4400</v>
      </c>
      <c r="E277" s="3170" t="s">
        <v>4401</v>
      </c>
      <c r="F277" s="3177" t="s">
        <v>3324</v>
      </c>
      <c r="G277" s="3169">
        <v>-117</v>
      </c>
      <c r="H277" s="3172">
        <v>54.26</v>
      </c>
      <c r="I277" s="3173">
        <v>1899100</v>
      </c>
      <c r="J277" s="3174" t="s">
        <v>3447</v>
      </c>
      <c r="K277" s="3161"/>
      <c r="M277" s="3161"/>
    </row>
    <row r="278" spans="1:13" ht="16.5">
      <c r="A278" s="3168">
        <v>276</v>
      </c>
      <c r="B278" s="3169" t="s">
        <v>3572</v>
      </c>
      <c r="C278" s="3170" t="s">
        <v>3851</v>
      </c>
      <c r="D278" s="3171" t="s">
        <v>4402</v>
      </c>
      <c r="E278" s="3170" t="s">
        <v>4403</v>
      </c>
      <c r="F278" s="3177" t="s">
        <v>3324</v>
      </c>
      <c r="G278" s="3169">
        <v>-118</v>
      </c>
      <c r="H278" s="3172">
        <v>15.1</v>
      </c>
      <c r="I278" s="3173">
        <v>528500</v>
      </c>
      <c r="J278" s="3174" t="s">
        <v>3447</v>
      </c>
      <c r="K278" s="3161"/>
      <c r="M278" s="3161"/>
    </row>
    <row r="279" spans="1:13" ht="16.5">
      <c r="A279" s="3168">
        <v>277</v>
      </c>
      <c r="B279" s="3169" t="s">
        <v>3572</v>
      </c>
      <c r="C279" s="3170" t="s">
        <v>3851</v>
      </c>
      <c r="D279" s="3171" t="s">
        <v>4404</v>
      </c>
      <c r="E279" s="3170" t="s">
        <v>4405</v>
      </c>
      <c r="F279" s="3177" t="s">
        <v>3324</v>
      </c>
      <c r="G279" s="3169">
        <v>-201</v>
      </c>
      <c r="H279" s="3172">
        <v>22.83</v>
      </c>
      <c r="I279" s="3173">
        <v>799050</v>
      </c>
      <c r="J279" s="3174" t="s">
        <v>3447</v>
      </c>
      <c r="K279" s="3161"/>
      <c r="M279" s="3161"/>
    </row>
    <row r="280" spans="1:13" ht="16.5">
      <c r="A280" s="3168">
        <v>278</v>
      </c>
      <c r="B280" s="3169" t="s">
        <v>3572</v>
      </c>
      <c r="C280" s="3170" t="s">
        <v>3851</v>
      </c>
      <c r="D280" s="3171" t="s">
        <v>4406</v>
      </c>
      <c r="E280" s="3170" t="s">
        <v>4407</v>
      </c>
      <c r="F280" s="3177" t="s">
        <v>3324</v>
      </c>
      <c r="G280" s="3169">
        <v>-202</v>
      </c>
      <c r="H280" s="3172">
        <v>22.83</v>
      </c>
      <c r="I280" s="3173">
        <v>799050</v>
      </c>
      <c r="J280" s="3174" t="s">
        <v>3447</v>
      </c>
      <c r="K280" s="3161"/>
      <c r="M280" s="3161"/>
    </row>
    <row r="281" spans="1:13" ht="16.5">
      <c r="A281" s="3168">
        <v>279</v>
      </c>
      <c r="B281" s="3169" t="s">
        <v>3572</v>
      </c>
      <c r="C281" s="3170" t="s">
        <v>3851</v>
      </c>
      <c r="D281" s="3171" t="s">
        <v>4408</v>
      </c>
      <c r="E281" s="3170" t="s">
        <v>4409</v>
      </c>
      <c r="F281" s="3177" t="s">
        <v>3324</v>
      </c>
      <c r="G281" s="3169">
        <v>-203</v>
      </c>
      <c r="H281" s="3172">
        <v>23.27</v>
      </c>
      <c r="I281" s="3173">
        <v>814450</v>
      </c>
      <c r="J281" s="3174" t="s">
        <v>3447</v>
      </c>
      <c r="K281" s="3161"/>
      <c r="M281" s="3161"/>
    </row>
    <row r="282" spans="1:13" ht="16.5">
      <c r="A282" s="3168">
        <v>280</v>
      </c>
      <c r="B282" s="3169" t="s">
        <v>3572</v>
      </c>
      <c r="C282" s="3170" t="s">
        <v>3851</v>
      </c>
      <c r="D282" s="3171" t="s">
        <v>4410</v>
      </c>
      <c r="E282" s="3170" t="s">
        <v>4411</v>
      </c>
      <c r="F282" s="3177" t="s">
        <v>3324</v>
      </c>
      <c r="G282" s="3169">
        <v>-204</v>
      </c>
      <c r="H282" s="3172">
        <v>23.49</v>
      </c>
      <c r="I282" s="3173">
        <v>822150</v>
      </c>
      <c r="J282" s="3174" t="s">
        <v>3447</v>
      </c>
      <c r="K282" s="3161"/>
      <c r="M282" s="3161"/>
    </row>
    <row r="283" spans="1:13" ht="16.5">
      <c r="A283" s="3168">
        <v>281</v>
      </c>
      <c r="B283" s="3169" t="s">
        <v>3591</v>
      </c>
      <c r="C283" s="3170" t="s">
        <v>3851</v>
      </c>
      <c r="D283" s="3171" t="s">
        <v>4412</v>
      </c>
      <c r="E283" s="3170" t="s">
        <v>4413</v>
      </c>
      <c r="F283" s="3177" t="s">
        <v>3324</v>
      </c>
      <c r="G283" s="3169">
        <v>-109</v>
      </c>
      <c r="H283" s="3172">
        <v>40.76</v>
      </c>
      <c r="I283" s="3173">
        <v>1426600</v>
      </c>
      <c r="J283" s="3174" t="s">
        <v>3447</v>
      </c>
      <c r="K283" s="3161"/>
      <c r="M283" s="3161"/>
    </row>
    <row r="284" spans="1:13" ht="16.5">
      <c r="A284" s="3168">
        <v>282</v>
      </c>
      <c r="B284" s="3169" t="s">
        <v>3591</v>
      </c>
      <c r="C284" s="3170" t="s">
        <v>3851</v>
      </c>
      <c r="D284" s="3171" t="s">
        <v>4414</v>
      </c>
      <c r="E284" s="3170" t="s">
        <v>4415</v>
      </c>
      <c r="F284" s="3177" t="s">
        <v>3324</v>
      </c>
      <c r="G284" s="3169">
        <v>-110</v>
      </c>
      <c r="H284" s="3172">
        <v>55.74</v>
      </c>
      <c r="I284" s="3173">
        <v>1950900</v>
      </c>
      <c r="J284" s="3174" t="s">
        <v>3447</v>
      </c>
      <c r="K284" s="3161"/>
      <c r="M284" s="3161"/>
    </row>
    <row r="285" spans="1:13" ht="16.5">
      <c r="A285" s="3168">
        <v>283</v>
      </c>
      <c r="B285" s="3169" t="s">
        <v>3591</v>
      </c>
      <c r="C285" s="3170" t="s">
        <v>3851</v>
      </c>
      <c r="D285" s="3171" t="s">
        <v>4416</v>
      </c>
      <c r="E285" s="3170" t="s">
        <v>4417</v>
      </c>
      <c r="F285" s="3177" t="s">
        <v>3324</v>
      </c>
      <c r="G285" s="3169">
        <v>-111</v>
      </c>
      <c r="H285" s="3172">
        <v>23.26</v>
      </c>
      <c r="I285" s="3173">
        <v>814100</v>
      </c>
      <c r="J285" s="3174" t="s">
        <v>3447</v>
      </c>
      <c r="K285" s="3161"/>
      <c r="M285" s="3161"/>
    </row>
    <row r="286" spans="1:13" ht="16.5">
      <c r="A286" s="3168">
        <v>284</v>
      </c>
      <c r="B286" s="3169" t="s">
        <v>3591</v>
      </c>
      <c r="C286" s="3170" t="s">
        <v>3851</v>
      </c>
      <c r="D286" s="3171" t="s">
        <v>4418</v>
      </c>
      <c r="E286" s="3170" t="s">
        <v>4419</v>
      </c>
      <c r="F286" s="3177" t="s">
        <v>3324</v>
      </c>
      <c r="G286" s="3169">
        <v>-115</v>
      </c>
      <c r="H286" s="3172">
        <v>40.46</v>
      </c>
      <c r="I286" s="3173">
        <v>1416100</v>
      </c>
      <c r="J286" s="3174" t="s">
        <v>3447</v>
      </c>
      <c r="K286" s="3161"/>
      <c r="M286" s="3161"/>
    </row>
    <row r="287" spans="1:13" ht="16.5">
      <c r="A287" s="3168">
        <v>285</v>
      </c>
      <c r="B287" s="3169" t="s">
        <v>3591</v>
      </c>
      <c r="C287" s="3170" t="s">
        <v>3851</v>
      </c>
      <c r="D287" s="3171" t="s">
        <v>4420</v>
      </c>
      <c r="E287" s="3170" t="s">
        <v>4421</v>
      </c>
      <c r="F287" s="3177" t="s">
        <v>3324</v>
      </c>
      <c r="G287" s="3169">
        <v>-116</v>
      </c>
      <c r="H287" s="3172">
        <v>55.74</v>
      </c>
      <c r="I287" s="3173">
        <v>1950900</v>
      </c>
      <c r="J287" s="3174" t="s">
        <v>3447</v>
      </c>
      <c r="K287" s="3161"/>
      <c r="M287" s="3161"/>
    </row>
    <row r="288" spans="1:13" ht="16.5">
      <c r="A288" s="3168">
        <v>286</v>
      </c>
      <c r="B288" s="3169" t="s">
        <v>3591</v>
      </c>
      <c r="C288" s="3170" t="s">
        <v>3851</v>
      </c>
      <c r="D288" s="3171" t="s">
        <v>4422</v>
      </c>
      <c r="E288" s="3170" t="s">
        <v>4423</v>
      </c>
      <c r="F288" s="3177" t="s">
        <v>3324</v>
      </c>
      <c r="G288" s="3169">
        <v>-117</v>
      </c>
      <c r="H288" s="3172">
        <v>23.26</v>
      </c>
      <c r="I288" s="3173">
        <v>814100</v>
      </c>
      <c r="J288" s="3174" t="s">
        <v>3447</v>
      </c>
      <c r="K288" s="3161"/>
      <c r="M288" s="3161"/>
    </row>
    <row r="289" spans="1:13" ht="16.5">
      <c r="A289" s="3168">
        <v>287</v>
      </c>
      <c r="B289" s="3169" t="s">
        <v>3591</v>
      </c>
      <c r="C289" s="3170" t="s">
        <v>3851</v>
      </c>
      <c r="D289" s="3171" t="s">
        <v>4424</v>
      </c>
      <c r="E289" s="3170" t="s">
        <v>4425</v>
      </c>
      <c r="F289" s="3177" t="s">
        <v>3324</v>
      </c>
      <c r="G289" s="3169">
        <v>-118</v>
      </c>
      <c r="H289" s="3172">
        <v>23.26</v>
      </c>
      <c r="I289" s="3173">
        <v>814100</v>
      </c>
      <c r="J289" s="3174" t="s">
        <v>3447</v>
      </c>
      <c r="K289" s="3161"/>
      <c r="M289" s="3161"/>
    </row>
    <row r="290" spans="1:13" ht="16.5">
      <c r="A290" s="3168">
        <v>288</v>
      </c>
      <c r="B290" s="3169" t="s">
        <v>3591</v>
      </c>
      <c r="C290" s="3170" t="s">
        <v>3851</v>
      </c>
      <c r="D290" s="3171" t="s">
        <v>4426</v>
      </c>
      <c r="E290" s="3170" t="s">
        <v>4427</v>
      </c>
      <c r="F290" s="3177" t="s">
        <v>3324</v>
      </c>
      <c r="G290" s="3169">
        <v>-119</v>
      </c>
      <c r="H290" s="3172">
        <v>52.86</v>
      </c>
      <c r="I290" s="3173">
        <v>1850100</v>
      </c>
      <c r="J290" s="3174" t="s">
        <v>3447</v>
      </c>
      <c r="K290" s="3161"/>
      <c r="M290" s="3161"/>
    </row>
    <row r="291" spans="1:13" ht="16.5">
      <c r="A291" s="3168">
        <v>289</v>
      </c>
      <c r="B291" s="3169" t="s">
        <v>3591</v>
      </c>
      <c r="C291" s="3170" t="s">
        <v>3851</v>
      </c>
      <c r="D291" s="3171" t="s">
        <v>4428</v>
      </c>
      <c r="E291" s="3170" t="s">
        <v>4429</v>
      </c>
      <c r="F291" s="3177" t="s">
        <v>3324</v>
      </c>
      <c r="G291" s="3169">
        <v>-120</v>
      </c>
      <c r="H291" s="3172">
        <v>45.76</v>
      </c>
      <c r="I291" s="3173">
        <v>1601600</v>
      </c>
      <c r="J291" s="3174" t="s">
        <v>3447</v>
      </c>
      <c r="K291" s="3161"/>
      <c r="M291" s="3161"/>
    </row>
    <row r="292" spans="1:13" ht="16.5">
      <c r="A292" s="3168">
        <v>290</v>
      </c>
      <c r="B292" s="3169" t="s">
        <v>3591</v>
      </c>
      <c r="C292" s="3170" t="s">
        <v>3851</v>
      </c>
      <c r="D292" s="3171" t="s">
        <v>4430</v>
      </c>
      <c r="E292" s="3170" t="s">
        <v>4431</v>
      </c>
      <c r="F292" s="3177" t="s">
        <v>3324</v>
      </c>
      <c r="G292" s="3169">
        <v>-121</v>
      </c>
      <c r="H292" s="3172">
        <v>16.02</v>
      </c>
      <c r="I292" s="3173">
        <v>560700</v>
      </c>
      <c r="J292" s="3174" t="s">
        <v>3447</v>
      </c>
      <c r="K292" s="3161"/>
      <c r="M292" s="3161"/>
    </row>
    <row r="293" spans="1:13" ht="16.5">
      <c r="A293" s="3168">
        <v>291</v>
      </c>
      <c r="B293" s="3169" t="s">
        <v>3591</v>
      </c>
      <c r="C293" s="3170" t="s">
        <v>3851</v>
      </c>
      <c r="D293" s="3171" t="s">
        <v>4432</v>
      </c>
      <c r="E293" s="3170" t="s">
        <v>4433</v>
      </c>
      <c r="F293" s="3177" t="s">
        <v>3324</v>
      </c>
      <c r="G293" s="3169">
        <v>-122</v>
      </c>
      <c r="H293" s="3172">
        <v>30.5</v>
      </c>
      <c r="I293" s="3173">
        <v>1067500</v>
      </c>
      <c r="J293" s="3174" t="s">
        <v>3447</v>
      </c>
      <c r="K293" s="3161"/>
      <c r="M293" s="3161"/>
    </row>
    <row r="294" spans="1:13" ht="16.5">
      <c r="A294" s="3168">
        <v>292</v>
      </c>
      <c r="B294" s="3169" t="s">
        <v>3591</v>
      </c>
      <c r="C294" s="3170" t="s">
        <v>3851</v>
      </c>
      <c r="D294" s="3171" t="s">
        <v>4434</v>
      </c>
      <c r="E294" s="3170" t="s">
        <v>4435</v>
      </c>
      <c r="F294" s="3177" t="s">
        <v>3324</v>
      </c>
      <c r="G294" s="3169">
        <v>-123</v>
      </c>
      <c r="H294" s="3172">
        <v>15.08</v>
      </c>
      <c r="I294" s="3173">
        <v>527800</v>
      </c>
      <c r="J294" s="3174" t="s">
        <v>3447</v>
      </c>
      <c r="K294" s="3161"/>
      <c r="M294" s="3161"/>
    </row>
    <row r="295" spans="1:13" ht="16.5">
      <c r="A295" s="3168">
        <v>293</v>
      </c>
      <c r="B295" s="3169" t="s">
        <v>3591</v>
      </c>
      <c r="C295" s="3170" t="s">
        <v>3851</v>
      </c>
      <c r="D295" s="3171" t="s">
        <v>4436</v>
      </c>
      <c r="E295" s="3170" t="s">
        <v>4437</v>
      </c>
      <c r="F295" s="3177" t="s">
        <v>3324</v>
      </c>
      <c r="G295" s="3169">
        <v>-125</v>
      </c>
      <c r="H295" s="3172">
        <v>18.850000000000001</v>
      </c>
      <c r="I295" s="3173">
        <v>659750</v>
      </c>
      <c r="J295" s="3174" t="s">
        <v>3447</v>
      </c>
      <c r="K295" s="3161"/>
      <c r="M295" s="3161"/>
    </row>
    <row r="296" spans="1:13" ht="16.5">
      <c r="A296" s="3168">
        <v>294</v>
      </c>
      <c r="B296" s="3169" t="s">
        <v>3591</v>
      </c>
      <c r="C296" s="3170" t="s">
        <v>3851</v>
      </c>
      <c r="D296" s="3171" t="s">
        <v>4438</v>
      </c>
      <c r="E296" s="3170" t="s">
        <v>4439</v>
      </c>
      <c r="F296" s="3177" t="s">
        <v>3324</v>
      </c>
      <c r="G296" s="3169">
        <v>-126</v>
      </c>
      <c r="H296" s="3172">
        <v>15.08</v>
      </c>
      <c r="I296" s="3173">
        <v>527800</v>
      </c>
      <c r="J296" s="3174" t="s">
        <v>3447</v>
      </c>
      <c r="K296" s="3161"/>
      <c r="M296" s="3161"/>
    </row>
    <row r="297" spans="1:13" ht="16.5">
      <c r="A297" s="3168">
        <v>295</v>
      </c>
      <c r="B297" s="3169" t="s">
        <v>3591</v>
      </c>
      <c r="C297" s="3170" t="s">
        <v>3851</v>
      </c>
      <c r="D297" s="3171" t="s">
        <v>4440</v>
      </c>
      <c r="E297" s="3170" t="s">
        <v>4441</v>
      </c>
      <c r="F297" s="3177" t="s">
        <v>3324</v>
      </c>
      <c r="G297" s="3169">
        <v>-127</v>
      </c>
      <c r="H297" s="3172">
        <v>27.19</v>
      </c>
      <c r="I297" s="3173">
        <v>951650</v>
      </c>
      <c r="J297" s="3174" t="s">
        <v>3447</v>
      </c>
      <c r="K297" s="3161"/>
      <c r="M297" s="3161"/>
    </row>
    <row r="298" spans="1:13" ht="16.5">
      <c r="A298" s="3168">
        <v>296</v>
      </c>
      <c r="B298" s="3169" t="s">
        <v>3591</v>
      </c>
      <c r="C298" s="3170" t="s">
        <v>3851</v>
      </c>
      <c r="D298" s="3171" t="s">
        <v>4442</v>
      </c>
      <c r="E298" s="3170" t="s">
        <v>4443</v>
      </c>
      <c r="F298" s="3177" t="s">
        <v>3324</v>
      </c>
      <c r="G298" s="3169">
        <v>-128</v>
      </c>
      <c r="H298" s="3172">
        <v>19.48</v>
      </c>
      <c r="I298" s="3173">
        <v>681800</v>
      </c>
      <c r="J298" s="3174" t="s">
        <v>3447</v>
      </c>
      <c r="K298" s="3161"/>
      <c r="M298" s="3161"/>
    </row>
    <row r="299" spans="1:13" ht="16.5">
      <c r="A299" s="3168">
        <v>297</v>
      </c>
      <c r="B299" s="3169" t="s">
        <v>3591</v>
      </c>
      <c r="C299" s="3170" t="s">
        <v>3851</v>
      </c>
      <c r="D299" s="3171" t="s">
        <v>4444</v>
      </c>
      <c r="E299" s="3170" t="s">
        <v>4445</v>
      </c>
      <c r="F299" s="3177" t="s">
        <v>3324</v>
      </c>
      <c r="G299" s="3169">
        <v>-130</v>
      </c>
      <c r="H299" s="3172">
        <v>15.08</v>
      </c>
      <c r="I299" s="3173">
        <v>527800</v>
      </c>
      <c r="J299" s="3174" t="s">
        <v>3447</v>
      </c>
      <c r="K299" s="3161"/>
      <c r="M299" s="3161"/>
    </row>
    <row r="300" spans="1:13" ht="16.5">
      <c r="A300" s="3168">
        <v>298</v>
      </c>
      <c r="B300" s="3169" t="s">
        <v>3591</v>
      </c>
      <c r="C300" s="3170" t="s">
        <v>3851</v>
      </c>
      <c r="D300" s="3171" t="s">
        <v>4446</v>
      </c>
      <c r="E300" s="3170" t="s">
        <v>4447</v>
      </c>
      <c r="F300" s="3177" t="s">
        <v>3324</v>
      </c>
      <c r="G300" s="3169">
        <v>-203</v>
      </c>
      <c r="H300" s="3172">
        <v>16.489999999999998</v>
      </c>
      <c r="I300" s="3173">
        <v>577150</v>
      </c>
      <c r="J300" s="3174" t="s">
        <v>3447</v>
      </c>
      <c r="K300" s="3161"/>
      <c r="M300" s="3161"/>
    </row>
    <row r="301" spans="1:13" ht="16.5">
      <c r="A301" s="3168">
        <v>299</v>
      </c>
      <c r="B301" s="3169" t="s">
        <v>3591</v>
      </c>
      <c r="C301" s="3170" t="s">
        <v>3851</v>
      </c>
      <c r="D301" s="3171" t="s">
        <v>4448</v>
      </c>
      <c r="E301" s="3170" t="s">
        <v>4449</v>
      </c>
      <c r="F301" s="3177" t="s">
        <v>3324</v>
      </c>
      <c r="G301" s="3169">
        <v>-210</v>
      </c>
      <c r="H301" s="3172">
        <v>19.71</v>
      </c>
      <c r="I301" s="3173">
        <v>689850</v>
      </c>
      <c r="J301" s="3174" t="s">
        <v>3447</v>
      </c>
      <c r="K301" s="3161"/>
      <c r="M301" s="3161"/>
    </row>
    <row r="302" spans="1:13" ht="16.5">
      <c r="A302" s="3168">
        <v>300</v>
      </c>
      <c r="B302" s="3169" t="s">
        <v>3591</v>
      </c>
      <c r="C302" s="3170" t="s">
        <v>3851</v>
      </c>
      <c r="D302" s="3171" t="s">
        <v>4450</v>
      </c>
      <c r="E302" s="3170" t="s">
        <v>4451</v>
      </c>
      <c r="F302" s="3177" t="s">
        <v>3324</v>
      </c>
      <c r="G302" s="3169">
        <v>-211</v>
      </c>
      <c r="H302" s="3172">
        <v>17.079999999999998</v>
      </c>
      <c r="I302" s="3173">
        <v>597800</v>
      </c>
      <c r="J302" s="3174" t="s">
        <v>3447</v>
      </c>
      <c r="K302" s="3161"/>
      <c r="M302" s="3161"/>
    </row>
    <row r="303" spans="1:13" ht="16.5">
      <c r="A303" s="3168">
        <v>301</v>
      </c>
      <c r="B303" s="3169" t="s">
        <v>3591</v>
      </c>
      <c r="C303" s="3170" t="s">
        <v>3851</v>
      </c>
      <c r="D303" s="3171" t="s">
        <v>4452</v>
      </c>
      <c r="E303" s="3170" t="s">
        <v>4453</v>
      </c>
      <c r="F303" s="3177" t="s">
        <v>3324</v>
      </c>
      <c r="G303" s="3169">
        <v>-212</v>
      </c>
      <c r="H303" s="3172">
        <v>19.04</v>
      </c>
      <c r="I303" s="3173">
        <v>666400</v>
      </c>
      <c r="J303" s="3174" t="s">
        <v>3447</v>
      </c>
      <c r="K303" s="3161"/>
      <c r="M303" s="3161"/>
    </row>
    <row r="304" spans="1:13" ht="16.5">
      <c r="A304" s="3168">
        <v>302</v>
      </c>
      <c r="B304" s="3169" t="s">
        <v>3591</v>
      </c>
      <c r="C304" s="3170" t="s">
        <v>3851</v>
      </c>
      <c r="D304" s="3171" t="s">
        <v>4454</v>
      </c>
      <c r="E304" s="3170" t="s">
        <v>4455</v>
      </c>
      <c r="F304" s="3177" t="s">
        <v>3324</v>
      </c>
      <c r="G304" s="3169">
        <v>-213</v>
      </c>
      <c r="H304" s="3172">
        <v>16.489999999999998</v>
      </c>
      <c r="I304" s="3173">
        <v>577150</v>
      </c>
      <c r="J304" s="3174" t="s">
        <v>3447</v>
      </c>
      <c r="K304" s="3161"/>
      <c r="M304" s="3161"/>
    </row>
    <row r="305" spans="1:13" ht="16.5">
      <c r="A305" s="3168">
        <v>303</v>
      </c>
      <c r="B305" s="3169" t="s">
        <v>3600</v>
      </c>
      <c r="C305" s="3170" t="s">
        <v>3851</v>
      </c>
      <c r="D305" s="3171" t="s">
        <v>4456</v>
      </c>
      <c r="E305" s="3170" t="s">
        <v>4457</v>
      </c>
      <c r="F305" s="3177" t="s">
        <v>3324</v>
      </c>
      <c r="G305" s="3169">
        <v>-102</v>
      </c>
      <c r="H305" s="3172">
        <v>42.57</v>
      </c>
      <c r="I305" s="3173">
        <v>1489950</v>
      </c>
      <c r="J305" s="3174" t="s">
        <v>3447</v>
      </c>
      <c r="K305" s="3161"/>
      <c r="M305" s="3161"/>
    </row>
    <row r="306" spans="1:13" ht="16.5">
      <c r="A306" s="3168">
        <v>304</v>
      </c>
      <c r="B306" s="3169" t="s">
        <v>3600</v>
      </c>
      <c r="C306" s="3170" t="s">
        <v>3851</v>
      </c>
      <c r="D306" s="3171" t="s">
        <v>4458</v>
      </c>
      <c r="E306" s="3170" t="s">
        <v>4459</v>
      </c>
      <c r="F306" s="3177" t="s">
        <v>3324</v>
      </c>
      <c r="G306" s="3169">
        <v>-103</v>
      </c>
      <c r="H306" s="3172">
        <v>47.19</v>
      </c>
      <c r="I306" s="3173">
        <v>1651650</v>
      </c>
      <c r="J306" s="3174" t="s">
        <v>3447</v>
      </c>
      <c r="K306" s="3161"/>
      <c r="M306" s="3161"/>
    </row>
    <row r="307" spans="1:13" ht="16.5">
      <c r="A307" s="3168">
        <v>305</v>
      </c>
      <c r="B307" s="3169" t="s">
        <v>3600</v>
      </c>
      <c r="C307" s="3170" t="s">
        <v>3851</v>
      </c>
      <c r="D307" s="3171" t="s">
        <v>4460</v>
      </c>
      <c r="E307" s="3170" t="s">
        <v>4461</v>
      </c>
      <c r="F307" s="3177" t="s">
        <v>3324</v>
      </c>
      <c r="G307" s="3169">
        <v>-104</v>
      </c>
      <c r="H307" s="3172">
        <v>62.37</v>
      </c>
      <c r="I307" s="3173">
        <v>2182950</v>
      </c>
      <c r="J307" s="3174" t="s">
        <v>3447</v>
      </c>
      <c r="K307" s="3161"/>
      <c r="M307" s="3161"/>
    </row>
    <row r="308" spans="1:13" ht="16.5">
      <c r="A308" s="3168">
        <v>306</v>
      </c>
      <c r="B308" s="3169" t="s">
        <v>3600</v>
      </c>
      <c r="C308" s="3170" t="s">
        <v>3851</v>
      </c>
      <c r="D308" s="3171" t="s">
        <v>4462</v>
      </c>
      <c r="E308" s="3170" t="s">
        <v>4463</v>
      </c>
      <c r="F308" s="3177" t="s">
        <v>3324</v>
      </c>
      <c r="G308" s="3169">
        <v>-105</v>
      </c>
      <c r="H308" s="3172">
        <v>61.41</v>
      </c>
      <c r="I308" s="3173">
        <v>2149350</v>
      </c>
      <c r="J308" s="3174" t="s">
        <v>3447</v>
      </c>
      <c r="K308" s="3161"/>
      <c r="M308" s="3161"/>
    </row>
    <row r="309" spans="1:13" ht="16.5">
      <c r="A309" s="3168">
        <v>307</v>
      </c>
      <c r="B309" s="3169" t="s">
        <v>3600</v>
      </c>
      <c r="C309" s="3170" t="s">
        <v>3851</v>
      </c>
      <c r="D309" s="3171" t="s">
        <v>4464</v>
      </c>
      <c r="E309" s="3170" t="s">
        <v>4465</v>
      </c>
      <c r="F309" s="3177" t="s">
        <v>3324</v>
      </c>
      <c r="G309" s="3169">
        <v>-106</v>
      </c>
      <c r="H309" s="3172">
        <v>61.41</v>
      </c>
      <c r="I309" s="3173">
        <v>2149350</v>
      </c>
      <c r="J309" s="3174" t="s">
        <v>3447</v>
      </c>
      <c r="K309" s="3161"/>
      <c r="M309" s="3161"/>
    </row>
    <row r="310" spans="1:13" ht="16.5">
      <c r="A310" s="3168">
        <v>308</v>
      </c>
      <c r="B310" s="3169" t="s">
        <v>3600</v>
      </c>
      <c r="C310" s="3170" t="s">
        <v>3851</v>
      </c>
      <c r="D310" s="3171" t="s">
        <v>4466</v>
      </c>
      <c r="E310" s="3170" t="s">
        <v>4467</v>
      </c>
      <c r="F310" s="3177" t="s">
        <v>3324</v>
      </c>
      <c r="G310" s="3169">
        <v>-107</v>
      </c>
      <c r="H310" s="3172">
        <v>62.37</v>
      </c>
      <c r="I310" s="3173">
        <v>2182950</v>
      </c>
      <c r="J310" s="3174" t="s">
        <v>3447</v>
      </c>
      <c r="K310" s="3161"/>
      <c r="M310" s="3161"/>
    </row>
    <row r="311" spans="1:13" ht="16.5">
      <c r="A311" s="3168">
        <v>309</v>
      </c>
      <c r="B311" s="3169" t="s">
        <v>3600</v>
      </c>
      <c r="C311" s="3170" t="s">
        <v>3851</v>
      </c>
      <c r="D311" s="3171" t="s">
        <v>4468</v>
      </c>
      <c r="E311" s="3170" t="s">
        <v>4469</v>
      </c>
      <c r="F311" s="3177" t="s">
        <v>3324</v>
      </c>
      <c r="G311" s="3169">
        <v>-108</v>
      </c>
      <c r="H311" s="3172">
        <v>47.19</v>
      </c>
      <c r="I311" s="3173">
        <v>1651650</v>
      </c>
      <c r="J311" s="3174" t="s">
        <v>3447</v>
      </c>
      <c r="K311" s="3161"/>
      <c r="M311" s="3161"/>
    </row>
    <row r="312" spans="1:13" ht="16.5">
      <c r="A312" s="3168">
        <v>310</v>
      </c>
      <c r="B312" s="3169" t="s">
        <v>3600</v>
      </c>
      <c r="C312" s="3170" t="s">
        <v>3851</v>
      </c>
      <c r="D312" s="3171" t="s">
        <v>4470</v>
      </c>
      <c r="E312" s="3170" t="s">
        <v>4471</v>
      </c>
      <c r="F312" s="3177" t="s">
        <v>3324</v>
      </c>
      <c r="G312" s="3169">
        <v>-109</v>
      </c>
      <c r="H312" s="3172">
        <v>42.78</v>
      </c>
      <c r="I312" s="3173">
        <v>1497300</v>
      </c>
      <c r="J312" s="3174" t="s">
        <v>3447</v>
      </c>
      <c r="K312" s="3161"/>
      <c r="M312" s="3161"/>
    </row>
    <row r="313" spans="1:13" ht="16.5">
      <c r="A313" s="3168">
        <v>311</v>
      </c>
      <c r="B313" s="3169" t="s">
        <v>3600</v>
      </c>
      <c r="C313" s="3170" t="s">
        <v>3851</v>
      </c>
      <c r="D313" s="3171" t="s">
        <v>4472</v>
      </c>
      <c r="E313" s="3170" t="s">
        <v>4473</v>
      </c>
      <c r="F313" s="3177" t="s">
        <v>3324</v>
      </c>
      <c r="G313" s="3169">
        <v>-110</v>
      </c>
      <c r="H313" s="3172">
        <v>42.78</v>
      </c>
      <c r="I313" s="3173">
        <v>1497300</v>
      </c>
      <c r="J313" s="3174" t="s">
        <v>3447</v>
      </c>
      <c r="K313" s="3161"/>
      <c r="M313" s="3161"/>
    </row>
    <row r="314" spans="1:13" ht="16.5">
      <c r="A314" s="3168">
        <v>312</v>
      </c>
      <c r="B314" s="3169" t="s">
        <v>3600</v>
      </c>
      <c r="C314" s="3170" t="s">
        <v>3851</v>
      </c>
      <c r="D314" s="3171" t="s">
        <v>4474</v>
      </c>
      <c r="E314" s="3170" t="s">
        <v>4475</v>
      </c>
      <c r="F314" s="3177" t="s">
        <v>3324</v>
      </c>
      <c r="G314" s="3169">
        <v>-111</v>
      </c>
      <c r="H314" s="3172">
        <v>47.19</v>
      </c>
      <c r="I314" s="3173">
        <v>1651650</v>
      </c>
      <c r="J314" s="3174" t="s">
        <v>3447</v>
      </c>
      <c r="K314" s="3161"/>
      <c r="M314" s="3161"/>
    </row>
    <row r="315" spans="1:13" ht="16.5">
      <c r="A315" s="3168">
        <v>313</v>
      </c>
      <c r="B315" s="3169" t="s">
        <v>3600</v>
      </c>
      <c r="C315" s="3170" t="s">
        <v>3851</v>
      </c>
      <c r="D315" s="3171" t="s">
        <v>4476</v>
      </c>
      <c r="E315" s="3170" t="s">
        <v>4477</v>
      </c>
      <c r="F315" s="3177" t="s">
        <v>3324</v>
      </c>
      <c r="G315" s="3169">
        <v>-112</v>
      </c>
      <c r="H315" s="3172">
        <v>62.37</v>
      </c>
      <c r="I315" s="3173">
        <v>2182950</v>
      </c>
      <c r="J315" s="3174" t="s">
        <v>3447</v>
      </c>
      <c r="K315" s="3161"/>
      <c r="M315" s="3161"/>
    </row>
    <row r="316" spans="1:13" ht="16.5">
      <c r="A316" s="3168">
        <v>314</v>
      </c>
      <c r="B316" s="3169" t="s">
        <v>3600</v>
      </c>
      <c r="C316" s="3170" t="s">
        <v>3851</v>
      </c>
      <c r="D316" s="3171" t="s">
        <v>4478</v>
      </c>
      <c r="E316" s="3170" t="s">
        <v>4479</v>
      </c>
      <c r="F316" s="3177" t="s">
        <v>3324</v>
      </c>
      <c r="G316" s="3169">
        <v>-113</v>
      </c>
      <c r="H316" s="3172">
        <v>61.41</v>
      </c>
      <c r="I316" s="3173">
        <v>2149350</v>
      </c>
      <c r="J316" s="3174" t="s">
        <v>3447</v>
      </c>
      <c r="K316" s="3161"/>
      <c r="M316" s="3161"/>
    </row>
    <row r="317" spans="1:13" ht="16.5">
      <c r="A317" s="3168">
        <v>315</v>
      </c>
      <c r="B317" s="3169" t="s">
        <v>3600</v>
      </c>
      <c r="C317" s="3170" t="s">
        <v>3851</v>
      </c>
      <c r="D317" s="3171" t="s">
        <v>4480</v>
      </c>
      <c r="E317" s="3170" t="s">
        <v>4481</v>
      </c>
      <c r="F317" s="3177" t="s">
        <v>3324</v>
      </c>
      <c r="G317" s="3169">
        <v>-120</v>
      </c>
      <c r="H317" s="3172">
        <v>14.91</v>
      </c>
      <c r="I317" s="3173">
        <v>521850</v>
      </c>
      <c r="J317" s="3174" t="s">
        <v>3447</v>
      </c>
      <c r="K317" s="3161"/>
      <c r="M317" s="3161"/>
    </row>
    <row r="318" spans="1:13" ht="16.5">
      <c r="A318" s="3168">
        <v>316</v>
      </c>
      <c r="B318" s="3169" t="s">
        <v>3600</v>
      </c>
      <c r="C318" s="3170" t="s">
        <v>3851</v>
      </c>
      <c r="D318" s="3171" t="s">
        <v>4482</v>
      </c>
      <c r="E318" s="3170" t="s">
        <v>4483</v>
      </c>
      <c r="F318" s="3177" t="s">
        <v>3324</v>
      </c>
      <c r="G318" s="3169">
        <v>-201</v>
      </c>
      <c r="H318" s="3172">
        <v>22.9</v>
      </c>
      <c r="I318" s="3173">
        <v>801500</v>
      </c>
      <c r="J318" s="3174" t="s">
        <v>3447</v>
      </c>
      <c r="K318" s="3161"/>
      <c r="M318" s="3161"/>
    </row>
    <row r="319" spans="1:13" ht="16.5">
      <c r="A319" s="3168">
        <v>317</v>
      </c>
      <c r="B319" s="3169" t="s">
        <v>3600</v>
      </c>
      <c r="C319" s="3170" t="s">
        <v>3851</v>
      </c>
      <c r="D319" s="3171" t="s">
        <v>4484</v>
      </c>
      <c r="E319" s="3170" t="s">
        <v>4485</v>
      </c>
      <c r="F319" s="3177" t="s">
        <v>3324</v>
      </c>
      <c r="G319" s="3169">
        <v>-202</v>
      </c>
      <c r="H319" s="3172">
        <v>22.9</v>
      </c>
      <c r="I319" s="3173">
        <v>801500</v>
      </c>
      <c r="J319" s="3174" t="s">
        <v>3447</v>
      </c>
      <c r="K319" s="3161"/>
      <c r="M319" s="3161"/>
    </row>
    <row r="320" spans="1:13" ht="16.5">
      <c r="A320" s="3168">
        <v>318</v>
      </c>
      <c r="B320" s="3169" t="s">
        <v>3600</v>
      </c>
      <c r="C320" s="3170" t="s">
        <v>3851</v>
      </c>
      <c r="D320" s="3171" t="s">
        <v>4486</v>
      </c>
      <c r="E320" s="3170" t="s">
        <v>4487</v>
      </c>
      <c r="F320" s="3177" t="s">
        <v>3324</v>
      </c>
      <c r="G320" s="3169">
        <v>-203</v>
      </c>
      <c r="H320" s="3172">
        <v>22.9</v>
      </c>
      <c r="I320" s="3173">
        <v>801500</v>
      </c>
      <c r="J320" s="3174" t="s">
        <v>3447</v>
      </c>
      <c r="K320" s="3161"/>
      <c r="M320" s="3161"/>
    </row>
    <row r="321" spans="1:13" ht="16.5">
      <c r="A321" s="3168">
        <v>319</v>
      </c>
      <c r="B321" s="3169" t="s">
        <v>3642</v>
      </c>
      <c r="C321" s="3170" t="s">
        <v>3851</v>
      </c>
      <c r="D321" s="3171" t="s">
        <v>4488</v>
      </c>
      <c r="E321" s="3170" t="s">
        <v>4489</v>
      </c>
      <c r="F321" s="3177" t="s">
        <v>3324</v>
      </c>
      <c r="G321" s="3169">
        <v>-106</v>
      </c>
      <c r="H321" s="3172">
        <v>34.520000000000003</v>
      </c>
      <c r="I321" s="3173">
        <v>1208200</v>
      </c>
      <c r="J321" s="3174" t="s">
        <v>3447</v>
      </c>
      <c r="K321" s="3161"/>
      <c r="M321" s="3161"/>
    </row>
    <row r="322" spans="1:13" ht="16.5">
      <c r="A322" s="3168">
        <v>320</v>
      </c>
      <c r="B322" s="3169" t="s">
        <v>3642</v>
      </c>
      <c r="C322" s="3170" t="s">
        <v>3851</v>
      </c>
      <c r="D322" s="3171" t="s">
        <v>4490</v>
      </c>
      <c r="E322" s="3170" t="s">
        <v>4491</v>
      </c>
      <c r="F322" s="3177" t="s">
        <v>3324</v>
      </c>
      <c r="G322" s="3169">
        <v>-107</v>
      </c>
      <c r="H322" s="3172">
        <v>63.28</v>
      </c>
      <c r="I322" s="3173">
        <v>2214800</v>
      </c>
      <c r="J322" s="3174" t="s">
        <v>3447</v>
      </c>
      <c r="K322" s="3161"/>
      <c r="M322" s="3161"/>
    </row>
    <row r="323" spans="1:13" ht="16.5">
      <c r="A323" s="3168">
        <v>321</v>
      </c>
      <c r="B323" s="3169" t="s">
        <v>3642</v>
      </c>
      <c r="C323" s="3170" t="s">
        <v>3851</v>
      </c>
      <c r="D323" s="3171" t="s">
        <v>4492</v>
      </c>
      <c r="E323" s="3170" t="s">
        <v>4493</v>
      </c>
      <c r="F323" s="3177" t="s">
        <v>3324</v>
      </c>
      <c r="G323" s="3169">
        <v>-108</v>
      </c>
      <c r="H323" s="3172">
        <v>47.64</v>
      </c>
      <c r="I323" s="3173">
        <v>1667400</v>
      </c>
      <c r="J323" s="3174" t="s">
        <v>3447</v>
      </c>
      <c r="K323" s="3161"/>
      <c r="M323" s="3161"/>
    </row>
    <row r="324" spans="1:13" ht="16.5">
      <c r="A324" s="3168">
        <v>322</v>
      </c>
      <c r="B324" s="3169" t="s">
        <v>3642</v>
      </c>
      <c r="C324" s="3170" t="s">
        <v>3851</v>
      </c>
      <c r="D324" s="3171" t="s">
        <v>4494</v>
      </c>
      <c r="E324" s="3170" t="s">
        <v>4495</v>
      </c>
      <c r="F324" s="3177" t="s">
        <v>3324</v>
      </c>
      <c r="G324" s="3169">
        <v>-109</v>
      </c>
      <c r="H324" s="3172">
        <v>47.64</v>
      </c>
      <c r="I324" s="3173">
        <v>1667400</v>
      </c>
      <c r="J324" s="3174" t="s">
        <v>3447</v>
      </c>
      <c r="K324" s="3161"/>
      <c r="M324" s="3161"/>
    </row>
    <row r="325" spans="1:13" ht="16.5">
      <c r="A325" s="3168">
        <v>323</v>
      </c>
      <c r="B325" s="3169" t="s">
        <v>3642</v>
      </c>
      <c r="C325" s="3170" t="s">
        <v>3851</v>
      </c>
      <c r="D325" s="3171" t="s">
        <v>4496</v>
      </c>
      <c r="E325" s="3170" t="s">
        <v>4497</v>
      </c>
      <c r="F325" s="3177" t="s">
        <v>3324</v>
      </c>
      <c r="G325" s="3169">
        <v>-110</v>
      </c>
      <c r="H325" s="3172">
        <v>63.28</v>
      </c>
      <c r="I325" s="3173">
        <v>2214800</v>
      </c>
      <c r="J325" s="3174" t="s">
        <v>3447</v>
      </c>
      <c r="K325" s="3161"/>
      <c r="M325" s="3161"/>
    </row>
    <row r="326" spans="1:13" ht="16.5">
      <c r="A326" s="3168">
        <v>324</v>
      </c>
      <c r="B326" s="3169" t="s">
        <v>3642</v>
      </c>
      <c r="C326" s="3170" t="s">
        <v>3851</v>
      </c>
      <c r="D326" s="3171" t="s">
        <v>4498</v>
      </c>
      <c r="E326" s="3170" t="s">
        <v>4499</v>
      </c>
      <c r="F326" s="3177" t="s">
        <v>3324</v>
      </c>
      <c r="G326" s="3169">
        <v>-111</v>
      </c>
      <c r="H326" s="3172">
        <v>34.520000000000003</v>
      </c>
      <c r="I326" s="3173">
        <v>1208200</v>
      </c>
      <c r="J326" s="3174" t="s">
        <v>3447</v>
      </c>
      <c r="K326" s="3161"/>
      <c r="M326" s="3161"/>
    </row>
    <row r="327" spans="1:13" ht="16.5">
      <c r="A327" s="3168">
        <v>325</v>
      </c>
      <c r="B327" s="3169" t="s">
        <v>3642</v>
      </c>
      <c r="C327" s="3170" t="s">
        <v>3851</v>
      </c>
      <c r="D327" s="3171" t="s">
        <v>4500</v>
      </c>
      <c r="E327" s="3170" t="s">
        <v>4501</v>
      </c>
      <c r="F327" s="3177" t="s">
        <v>3324</v>
      </c>
      <c r="G327" s="3169">
        <v>-112</v>
      </c>
      <c r="H327" s="3172">
        <v>34.520000000000003</v>
      </c>
      <c r="I327" s="3173">
        <v>1208200</v>
      </c>
      <c r="J327" s="3174" t="s">
        <v>3447</v>
      </c>
      <c r="K327" s="3161"/>
      <c r="M327" s="3161"/>
    </row>
    <row r="328" spans="1:13" ht="16.5">
      <c r="A328" s="3168">
        <v>326</v>
      </c>
      <c r="B328" s="3169" t="s">
        <v>3642</v>
      </c>
      <c r="C328" s="3170" t="s">
        <v>3851</v>
      </c>
      <c r="D328" s="3171" t="s">
        <v>4502</v>
      </c>
      <c r="E328" s="3170" t="s">
        <v>4503</v>
      </c>
      <c r="F328" s="3177" t="s">
        <v>3324</v>
      </c>
      <c r="G328" s="3169">
        <v>-113</v>
      </c>
      <c r="H328" s="3172">
        <v>63.57</v>
      </c>
      <c r="I328" s="3173">
        <v>2224950</v>
      </c>
      <c r="J328" s="3174" t="s">
        <v>3447</v>
      </c>
      <c r="K328" s="3161"/>
      <c r="M328" s="3161"/>
    </row>
    <row r="329" spans="1:13" ht="16.5">
      <c r="A329" s="3168">
        <v>327</v>
      </c>
      <c r="B329" s="3169" t="s">
        <v>3642</v>
      </c>
      <c r="C329" s="3170" t="s">
        <v>3851</v>
      </c>
      <c r="D329" s="3171" t="s">
        <v>4504</v>
      </c>
      <c r="E329" s="3170" t="s">
        <v>4505</v>
      </c>
      <c r="F329" s="3177" t="s">
        <v>3324</v>
      </c>
      <c r="G329" s="3169">
        <v>-114</v>
      </c>
      <c r="H329" s="3172">
        <v>57.85</v>
      </c>
      <c r="I329" s="3173">
        <v>2024750</v>
      </c>
      <c r="J329" s="3174" t="s">
        <v>3447</v>
      </c>
      <c r="K329" s="3161"/>
      <c r="M329" s="3161"/>
    </row>
    <row r="330" spans="1:13" ht="16.5">
      <c r="A330" s="3168">
        <v>328</v>
      </c>
      <c r="B330" s="3169" t="s">
        <v>3642</v>
      </c>
      <c r="C330" s="3170" t="s">
        <v>3851</v>
      </c>
      <c r="D330" s="3171" t="s">
        <v>4506</v>
      </c>
      <c r="E330" s="3170" t="s">
        <v>4507</v>
      </c>
      <c r="F330" s="3177" t="s">
        <v>3324</v>
      </c>
      <c r="G330" s="3169">
        <v>-115</v>
      </c>
      <c r="H330" s="3172">
        <v>30.97</v>
      </c>
      <c r="I330" s="3173">
        <v>1083950</v>
      </c>
      <c r="J330" s="3174" t="s">
        <v>3447</v>
      </c>
      <c r="K330" s="3161"/>
      <c r="M330" s="3161"/>
    </row>
    <row r="331" spans="1:13" ht="16.5">
      <c r="A331" s="3168">
        <v>329</v>
      </c>
      <c r="B331" s="3169" t="s">
        <v>3642</v>
      </c>
      <c r="C331" s="3170" t="s">
        <v>3851</v>
      </c>
      <c r="D331" s="3171" t="s">
        <v>4508</v>
      </c>
      <c r="E331" s="3170" t="s">
        <v>4509</v>
      </c>
      <c r="F331" s="3177" t="s">
        <v>3324</v>
      </c>
      <c r="G331" s="3169">
        <v>-116</v>
      </c>
      <c r="H331" s="3172">
        <v>25.56</v>
      </c>
      <c r="I331" s="3173">
        <v>894600</v>
      </c>
      <c r="J331" s="3174" t="s">
        <v>3447</v>
      </c>
      <c r="K331" s="3161"/>
      <c r="M331" s="3161"/>
    </row>
    <row r="332" spans="1:13" ht="16.5">
      <c r="A332" s="3168">
        <v>330</v>
      </c>
      <c r="B332" s="3169" t="s">
        <v>3642</v>
      </c>
      <c r="C332" s="3170" t="s">
        <v>3851</v>
      </c>
      <c r="D332" s="3171" t="s">
        <v>4510</v>
      </c>
      <c r="E332" s="3170" t="s">
        <v>4511</v>
      </c>
      <c r="F332" s="3177" t="s">
        <v>3324</v>
      </c>
      <c r="G332" s="3169">
        <v>-202</v>
      </c>
      <c r="H332" s="3172">
        <v>20.2</v>
      </c>
      <c r="I332" s="3173">
        <v>707000</v>
      </c>
      <c r="J332" s="3174" t="s">
        <v>3447</v>
      </c>
      <c r="K332" s="3161"/>
      <c r="M332" s="3161"/>
    </row>
    <row r="333" spans="1:13" ht="16.5">
      <c r="A333" s="3168">
        <v>331</v>
      </c>
      <c r="B333" s="3169" t="s">
        <v>3642</v>
      </c>
      <c r="C333" s="3170" t="s">
        <v>3851</v>
      </c>
      <c r="D333" s="3171" t="s">
        <v>4512</v>
      </c>
      <c r="E333" s="3170" t="s">
        <v>4513</v>
      </c>
      <c r="F333" s="3177" t="s">
        <v>3324</v>
      </c>
      <c r="G333" s="3169">
        <v>-203</v>
      </c>
      <c r="H333" s="3172">
        <v>17.68</v>
      </c>
      <c r="I333" s="3173">
        <v>618800</v>
      </c>
      <c r="J333" s="3174" t="s">
        <v>3447</v>
      </c>
      <c r="K333" s="3161"/>
      <c r="M333" s="3161"/>
    </row>
    <row r="334" spans="1:13" ht="16.5">
      <c r="A334" s="3168">
        <v>332</v>
      </c>
      <c r="B334" s="3169" t="s">
        <v>3642</v>
      </c>
      <c r="C334" s="3170" t="s">
        <v>3851</v>
      </c>
      <c r="D334" s="3171" t="s">
        <v>4514</v>
      </c>
      <c r="E334" s="3170" t="s">
        <v>4515</v>
      </c>
      <c r="F334" s="3177" t="s">
        <v>3324</v>
      </c>
      <c r="G334" s="3169">
        <v>-204</v>
      </c>
      <c r="H334" s="3172">
        <v>20.22</v>
      </c>
      <c r="I334" s="3173">
        <v>707700</v>
      </c>
      <c r="J334" s="3174" t="s">
        <v>3447</v>
      </c>
      <c r="K334" s="3161"/>
      <c r="M334" s="3161"/>
    </row>
    <row r="335" spans="1:13" ht="16.5">
      <c r="A335" s="3168">
        <v>333</v>
      </c>
      <c r="B335" s="3169" t="s">
        <v>3655</v>
      </c>
      <c r="C335" s="3170" t="s">
        <v>3851</v>
      </c>
      <c r="D335" s="3171" t="s">
        <v>4516</v>
      </c>
      <c r="E335" s="3170" t="s">
        <v>4517</v>
      </c>
      <c r="F335" s="3177" t="s">
        <v>3324</v>
      </c>
      <c r="G335" s="3169">
        <v>-106</v>
      </c>
      <c r="H335" s="3172">
        <v>34.020000000000003</v>
      </c>
      <c r="I335" s="3173">
        <v>1190700</v>
      </c>
      <c r="J335" s="3174" t="s">
        <v>3447</v>
      </c>
      <c r="K335" s="3161"/>
      <c r="M335" s="3161"/>
    </row>
    <row r="336" spans="1:13" ht="16.5">
      <c r="A336" s="3168">
        <v>334</v>
      </c>
      <c r="B336" s="3169" t="s">
        <v>3655</v>
      </c>
      <c r="C336" s="3170" t="s">
        <v>3851</v>
      </c>
      <c r="D336" s="3171" t="s">
        <v>4518</v>
      </c>
      <c r="E336" s="3170" t="s">
        <v>4519</v>
      </c>
      <c r="F336" s="3177" t="s">
        <v>3324</v>
      </c>
      <c r="G336" s="3169">
        <v>-107</v>
      </c>
      <c r="H336" s="3172">
        <v>62.35</v>
      </c>
      <c r="I336" s="3173">
        <v>2182250</v>
      </c>
      <c r="J336" s="3174" t="s">
        <v>3447</v>
      </c>
      <c r="K336" s="3161"/>
      <c r="M336" s="3161"/>
    </row>
    <row r="337" spans="1:13" ht="16.5">
      <c r="A337" s="3168">
        <v>335</v>
      </c>
      <c r="B337" s="3169" t="s">
        <v>3655</v>
      </c>
      <c r="C337" s="3170" t="s">
        <v>3851</v>
      </c>
      <c r="D337" s="3171" t="s">
        <v>4520</v>
      </c>
      <c r="E337" s="3170" t="s">
        <v>4521</v>
      </c>
      <c r="F337" s="3177" t="s">
        <v>3324</v>
      </c>
      <c r="G337" s="3169">
        <v>-108</v>
      </c>
      <c r="H337" s="3172">
        <v>47.28</v>
      </c>
      <c r="I337" s="3173">
        <v>1654800</v>
      </c>
      <c r="J337" s="3174" t="s">
        <v>3447</v>
      </c>
      <c r="K337" s="3161"/>
      <c r="M337" s="3161"/>
    </row>
    <row r="338" spans="1:13" ht="16.5">
      <c r="A338" s="3168">
        <v>336</v>
      </c>
      <c r="B338" s="3169" t="s">
        <v>3655</v>
      </c>
      <c r="C338" s="3170" t="s">
        <v>3851</v>
      </c>
      <c r="D338" s="3171" t="s">
        <v>4522</v>
      </c>
      <c r="E338" s="3170" t="s">
        <v>4523</v>
      </c>
      <c r="F338" s="3177" t="s">
        <v>3324</v>
      </c>
      <c r="G338" s="3169">
        <v>-112</v>
      </c>
      <c r="H338" s="3172">
        <v>34.020000000000003</v>
      </c>
      <c r="I338" s="3173">
        <v>1190700</v>
      </c>
      <c r="J338" s="3174" t="s">
        <v>3447</v>
      </c>
      <c r="K338" s="3161"/>
      <c r="M338" s="3161"/>
    </row>
    <row r="339" spans="1:13" ht="16.5">
      <c r="A339" s="3168">
        <v>337</v>
      </c>
      <c r="B339" s="3169" t="s">
        <v>3655</v>
      </c>
      <c r="C339" s="3170" t="s">
        <v>3851</v>
      </c>
      <c r="D339" s="3171" t="s">
        <v>4524</v>
      </c>
      <c r="E339" s="3170" t="s">
        <v>4525</v>
      </c>
      <c r="F339" s="3177" t="s">
        <v>3324</v>
      </c>
      <c r="G339" s="3169">
        <v>-113</v>
      </c>
      <c r="H339" s="3172">
        <v>62.35</v>
      </c>
      <c r="I339" s="3173">
        <v>2182250</v>
      </c>
      <c r="J339" s="3174" t="s">
        <v>3447</v>
      </c>
      <c r="K339" s="3161"/>
      <c r="M339" s="3161"/>
    </row>
    <row r="340" spans="1:13" ht="16.5">
      <c r="A340" s="3168">
        <v>338</v>
      </c>
      <c r="B340" s="3169" t="s">
        <v>3655</v>
      </c>
      <c r="C340" s="3170" t="s">
        <v>3851</v>
      </c>
      <c r="D340" s="3171" t="s">
        <v>4526</v>
      </c>
      <c r="E340" s="3170" t="s">
        <v>4527</v>
      </c>
      <c r="F340" s="3177" t="s">
        <v>3324</v>
      </c>
      <c r="G340" s="3169">
        <v>-114</v>
      </c>
      <c r="H340" s="3172">
        <v>46.95</v>
      </c>
      <c r="I340" s="3173">
        <v>1643250</v>
      </c>
      <c r="J340" s="3174" t="s">
        <v>3447</v>
      </c>
      <c r="K340" s="3161"/>
      <c r="M340" s="3161"/>
    </row>
    <row r="341" spans="1:13" ht="16.5">
      <c r="A341" s="3168">
        <v>339</v>
      </c>
      <c r="B341" s="3169" t="s">
        <v>3655</v>
      </c>
      <c r="C341" s="3170" t="s">
        <v>3851</v>
      </c>
      <c r="D341" s="3171" t="s">
        <v>4528</v>
      </c>
      <c r="E341" s="3170" t="s">
        <v>4529</v>
      </c>
      <c r="F341" s="3177" t="s">
        <v>3324</v>
      </c>
      <c r="G341" s="3169">
        <v>-202</v>
      </c>
      <c r="H341" s="3172">
        <v>19.920000000000002</v>
      </c>
      <c r="I341" s="3173">
        <v>697200</v>
      </c>
      <c r="J341" s="3174" t="s">
        <v>3447</v>
      </c>
      <c r="K341" s="3161"/>
      <c r="M341" s="3161"/>
    </row>
    <row r="342" spans="1:13" ht="16.5">
      <c r="A342" s="3168">
        <v>340</v>
      </c>
      <c r="B342" s="3169" t="s">
        <v>3655</v>
      </c>
      <c r="C342" s="3170" t="s">
        <v>3851</v>
      </c>
      <c r="D342" s="3171" t="s">
        <v>4530</v>
      </c>
      <c r="E342" s="3170" t="s">
        <v>4531</v>
      </c>
      <c r="F342" s="3177" t="s">
        <v>3324</v>
      </c>
      <c r="G342" s="3169">
        <v>-204</v>
      </c>
      <c r="H342" s="3172">
        <v>19.920000000000002</v>
      </c>
      <c r="I342" s="3173">
        <v>697200</v>
      </c>
      <c r="J342" s="3174" t="s">
        <v>3447</v>
      </c>
      <c r="K342" s="3161"/>
      <c r="M342" s="3161"/>
    </row>
    <row r="343" spans="1:13" ht="16.5">
      <c r="A343" s="3168">
        <v>341</v>
      </c>
      <c r="B343" s="3169" t="s">
        <v>3662</v>
      </c>
      <c r="C343" s="3170" t="s">
        <v>3851</v>
      </c>
      <c r="D343" s="3171" t="s">
        <v>4532</v>
      </c>
      <c r="E343" s="3170" t="s">
        <v>4533</v>
      </c>
      <c r="F343" s="3177" t="s">
        <v>3324</v>
      </c>
      <c r="G343" s="3169">
        <v>-101</v>
      </c>
      <c r="H343" s="3172">
        <v>15.2</v>
      </c>
      <c r="I343" s="3173">
        <v>532000</v>
      </c>
      <c r="J343" s="3174" t="s">
        <v>3447</v>
      </c>
      <c r="K343" s="3161"/>
      <c r="M343" s="3161"/>
    </row>
    <row r="344" spans="1:13" ht="16.5">
      <c r="A344" s="3168">
        <v>342</v>
      </c>
      <c r="B344" s="3169" t="s">
        <v>3662</v>
      </c>
      <c r="C344" s="3170" t="s">
        <v>3851</v>
      </c>
      <c r="D344" s="3171" t="s">
        <v>4534</v>
      </c>
      <c r="E344" s="3170" t="s">
        <v>4535</v>
      </c>
      <c r="F344" s="3177" t="s">
        <v>3324</v>
      </c>
      <c r="G344" s="3169">
        <v>-102</v>
      </c>
      <c r="H344" s="3172">
        <v>54.63</v>
      </c>
      <c r="I344" s="3173">
        <v>1912050</v>
      </c>
      <c r="J344" s="3174" t="s">
        <v>3447</v>
      </c>
      <c r="K344" s="3161"/>
      <c r="M344" s="3161"/>
    </row>
    <row r="345" spans="1:13" ht="16.5">
      <c r="A345" s="3168">
        <v>343</v>
      </c>
      <c r="B345" s="3169" t="s">
        <v>3662</v>
      </c>
      <c r="C345" s="3170" t="s">
        <v>3851</v>
      </c>
      <c r="D345" s="3171" t="s">
        <v>4536</v>
      </c>
      <c r="E345" s="3170" t="s">
        <v>4537</v>
      </c>
      <c r="F345" s="3177" t="s">
        <v>3324</v>
      </c>
      <c r="G345" s="3169">
        <v>-103</v>
      </c>
      <c r="H345" s="3172">
        <v>47.35</v>
      </c>
      <c r="I345" s="3173">
        <v>1657250</v>
      </c>
      <c r="J345" s="3174" t="s">
        <v>3447</v>
      </c>
      <c r="K345" s="3161"/>
      <c r="M345" s="3161"/>
    </row>
    <row r="346" spans="1:13" ht="16.5">
      <c r="A346" s="3168">
        <v>344</v>
      </c>
      <c r="B346" s="3169" t="s">
        <v>3662</v>
      </c>
      <c r="C346" s="3170" t="s">
        <v>3851</v>
      </c>
      <c r="D346" s="3171" t="s">
        <v>4538</v>
      </c>
      <c r="E346" s="3170" t="s">
        <v>4539</v>
      </c>
      <c r="F346" s="3177" t="s">
        <v>3324</v>
      </c>
      <c r="G346" s="3169">
        <v>-104</v>
      </c>
      <c r="H346" s="3172">
        <v>62.57</v>
      </c>
      <c r="I346" s="3173">
        <v>2189950</v>
      </c>
      <c r="J346" s="3174" t="s">
        <v>3447</v>
      </c>
      <c r="K346" s="3161"/>
      <c r="M346" s="3161"/>
    </row>
    <row r="347" spans="1:13" ht="16.5">
      <c r="A347" s="3168">
        <v>345</v>
      </c>
      <c r="B347" s="3169" t="s">
        <v>3662</v>
      </c>
      <c r="C347" s="3170" t="s">
        <v>3851</v>
      </c>
      <c r="D347" s="3171" t="s">
        <v>4540</v>
      </c>
      <c r="E347" s="3170" t="s">
        <v>4541</v>
      </c>
      <c r="F347" s="3177" t="s">
        <v>3324</v>
      </c>
      <c r="G347" s="3169">
        <v>-105</v>
      </c>
      <c r="H347" s="3172">
        <v>61.61</v>
      </c>
      <c r="I347" s="3173">
        <v>2156350</v>
      </c>
      <c r="J347" s="3174" t="s">
        <v>3447</v>
      </c>
      <c r="K347" s="3161"/>
      <c r="M347" s="3161"/>
    </row>
    <row r="348" spans="1:13" ht="16.5">
      <c r="A348" s="3168">
        <v>346</v>
      </c>
      <c r="B348" s="3169" t="s">
        <v>3662</v>
      </c>
      <c r="C348" s="3170" t="s">
        <v>3851</v>
      </c>
      <c r="D348" s="3171" t="s">
        <v>4542</v>
      </c>
      <c r="E348" s="3170" t="s">
        <v>4543</v>
      </c>
      <c r="F348" s="3177" t="s">
        <v>3324</v>
      </c>
      <c r="G348" s="3169">
        <v>-106</v>
      </c>
      <c r="H348" s="3172">
        <v>61.61</v>
      </c>
      <c r="I348" s="3173">
        <v>2156350</v>
      </c>
      <c r="J348" s="3174" t="s">
        <v>3447</v>
      </c>
      <c r="K348" s="3161"/>
      <c r="M348" s="3161"/>
    </row>
    <row r="349" spans="1:13" ht="16.5">
      <c r="A349" s="3168">
        <v>347</v>
      </c>
      <c r="B349" s="3169" t="s">
        <v>3662</v>
      </c>
      <c r="C349" s="3170" t="s">
        <v>3851</v>
      </c>
      <c r="D349" s="3171" t="s">
        <v>4544</v>
      </c>
      <c r="E349" s="3170" t="s">
        <v>4545</v>
      </c>
      <c r="F349" s="3177" t="s">
        <v>3324</v>
      </c>
      <c r="G349" s="3169">
        <v>-107</v>
      </c>
      <c r="H349" s="3172">
        <v>62.57</v>
      </c>
      <c r="I349" s="3173">
        <v>2189950</v>
      </c>
      <c r="J349" s="3174" t="s">
        <v>3447</v>
      </c>
      <c r="K349" s="3161"/>
      <c r="M349" s="3161"/>
    </row>
    <row r="350" spans="1:13" ht="16.5">
      <c r="A350" s="3168">
        <v>348</v>
      </c>
      <c r="B350" s="3169" t="s">
        <v>3662</v>
      </c>
      <c r="C350" s="3170" t="s">
        <v>3851</v>
      </c>
      <c r="D350" s="3171" t="s">
        <v>4546</v>
      </c>
      <c r="E350" s="3170" t="s">
        <v>4547</v>
      </c>
      <c r="F350" s="3177" t="s">
        <v>3324</v>
      </c>
      <c r="G350" s="3169">
        <v>-108</v>
      </c>
      <c r="H350" s="3172">
        <v>47.35</v>
      </c>
      <c r="I350" s="3173">
        <v>1657250</v>
      </c>
      <c r="J350" s="3174" t="s">
        <v>3447</v>
      </c>
      <c r="K350" s="3161"/>
      <c r="M350" s="3161"/>
    </row>
    <row r="351" spans="1:13" ht="16.5">
      <c r="A351" s="3168">
        <v>349</v>
      </c>
      <c r="B351" s="3169" t="s">
        <v>3662</v>
      </c>
      <c r="C351" s="3170" t="s">
        <v>3851</v>
      </c>
      <c r="D351" s="3171" t="s">
        <v>4548</v>
      </c>
      <c r="E351" s="3170" t="s">
        <v>4549</v>
      </c>
      <c r="F351" s="3177" t="s">
        <v>3324</v>
      </c>
      <c r="G351" s="3169">
        <v>-109</v>
      </c>
      <c r="H351" s="3172">
        <v>42.93</v>
      </c>
      <c r="I351" s="3173">
        <v>1502550</v>
      </c>
      <c r="J351" s="3174" t="s">
        <v>3447</v>
      </c>
      <c r="K351" s="3161"/>
      <c r="M351" s="3161"/>
    </row>
    <row r="352" spans="1:13" ht="16.5">
      <c r="A352" s="3168">
        <v>350</v>
      </c>
      <c r="B352" s="3169" t="s">
        <v>3662</v>
      </c>
      <c r="C352" s="3170" t="s">
        <v>3851</v>
      </c>
      <c r="D352" s="3171" t="s">
        <v>4550</v>
      </c>
      <c r="E352" s="3170" t="s">
        <v>4551</v>
      </c>
      <c r="F352" s="3177" t="s">
        <v>3324</v>
      </c>
      <c r="G352" s="3169">
        <v>-110</v>
      </c>
      <c r="H352" s="3172">
        <v>42.93</v>
      </c>
      <c r="I352" s="3173">
        <v>1502550</v>
      </c>
      <c r="J352" s="3174" t="s">
        <v>3447</v>
      </c>
      <c r="K352" s="3161"/>
      <c r="M352" s="3161"/>
    </row>
    <row r="353" spans="1:13" ht="16.5">
      <c r="A353" s="3168">
        <v>351</v>
      </c>
      <c r="B353" s="3169" t="s">
        <v>3662</v>
      </c>
      <c r="C353" s="3170" t="s">
        <v>3851</v>
      </c>
      <c r="D353" s="3171" t="s">
        <v>4552</v>
      </c>
      <c r="E353" s="3170" t="s">
        <v>4553</v>
      </c>
      <c r="F353" s="3177" t="s">
        <v>3324</v>
      </c>
      <c r="G353" s="3169">
        <v>-111</v>
      </c>
      <c r="H353" s="3172">
        <v>47.35</v>
      </c>
      <c r="I353" s="3173">
        <v>1657250</v>
      </c>
      <c r="J353" s="3174" t="s">
        <v>3447</v>
      </c>
      <c r="K353" s="3161"/>
      <c r="M353" s="3161"/>
    </row>
    <row r="354" spans="1:13" ht="16.5">
      <c r="A354" s="3168">
        <v>352</v>
      </c>
      <c r="B354" s="3169" t="s">
        <v>3662</v>
      </c>
      <c r="C354" s="3170" t="s">
        <v>3851</v>
      </c>
      <c r="D354" s="3171" t="s">
        <v>4554</v>
      </c>
      <c r="E354" s="3170" t="s">
        <v>4555</v>
      </c>
      <c r="F354" s="3177" t="s">
        <v>3324</v>
      </c>
      <c r="G354" s="3169">
        <v>-112</v>
      </c>
      <c r="H354" s="3172">
        <v>62.57</v>
      </c>
      <c r="I354" s="3173">
        <v>2189950</v>
      </c>
      <c r="J354" s="3174" t="s">
        <v>3447</v>
      </c>
      <c r="K354" s="3161"/>
      <c r="M354" s="3161"/>
    </row>
    <row r="355" spans="1:13" ht="16.5">
      <c r="A355" s="3168">
        <v>353</v>
      </c>
      <c r="B355" s="3169" t="s">
        <v>3662</v>
      </c>
      <c r="C355" s="3170" t="s">
        <v>3851</v>
      </c>
      <c r="D355" s="3171" t="s">
        <v>4556</v>
      </c>
      <c r="E355" s="3170" t="s">
        <v>4557</v>
      </c>
      <c r="F355" s="3177" t="s">
        <v>3324</v>
      </c>
      <c r="G355" s="3169">
        <v>-113</v>
      </c>
      <c r="H355" s="3172">
        <v>61.61</v>
      </c>
      <c r="I355" s="3173">
        <v>2156350</v>
      </c>
      <c r="J355" s="3174" t="s">
        <v>3447</v>
      </c>
      <c r="K355" s="3161"/>
      <c r="M355" s="3161"/>
    </row>
    <row r="356" spans="1:13" ht="16.5">
      <c r="A356" s="3168">
        <v>354</v>
      </c>
      <c r="B356" s="3169" t="s">
        <v>3662</v>
      </c>
      <c r="C356" s="3170" t="s">
        <v>3851</v>
      </c>
      <c r="D356" s="3171" t="s">
        <v>4558</v>
      </c>
      <c r="E356" s="3170" t="s">
        <v>4559</v>
      </c>
      <c r="F356" s="3177" t="s">
        <v>3324</v>
      </c>
      <c r="G356" s="3169">
        <v>-118</v>
      </c>
      <c r="H356" s="3172">
        <v>15.15</v>
      </c>
      <c r="I356" s="3173">
        <v>530250</v>
      </c>
      <c r="J356" s="3174" t="s">
        <v>3447</v>
      </c>
      <c r="K356" s="3161"/>
      <c r="M356" s="3161"/>
    </row>
    <row r="357" spans="1:13" ht="16.5">
      <c r="A357" s="3168">
        <v>355</v>
      </c>
      <c r="B357" s="3169" t="s">
        <v>3662</v>
      </c>
      <c r="C357" s="3170" t="s">
        <v>3851</v>
      </c>
      <c r="D357" s="3171" t="s">
        <v>4560</v>
      </c>
      <c r="E357" s="3170" t="s">
        <v>4561</v>
      </c>
      <c r="F357" s="3177" t="s">
        <v>3324</v>
      </c>
      <c r="G357" s="3169">
        <v>-119</v>
      </c>
      <c r="H357" s="3172">
        <v>14.96</v>
      </c>
      <c r="I357" s="3173">
        <v>523600</v>
      </c>
      <c r="J357" s="3174" t="s">
        <v>3447</v>
      </c>
      <c r="K357" s="3161"/>
      <c r="M357" s="3161"/>
    </row>
    <row r="358" spans="1:13" ht="16.5">
      <c r="A358" s="3168">
        <v>356</v>
      </c>
      <c r="B358" s="3169" t="s">
        <v>3662</v>
      </c>
      <c r="C358" s="3170" t="s">
        <v>3851</v>
      </c>
      <c r="D358" s="3171" t="s">
        <v>4562</v>
      </c>
      <c r="E358" s="3170" t="s">
        <v>4563</v>
      </c>
      <c r="F358" s="3177" t="s">
        <v>3324</v>
      </c>
      <c r="G358" s="3169">
        <v>-120</v>
      </c>
      <c r="H358" s="3172">
        <v>14.96</v>
      </c>
      <c r="I358" s="3173">
        <v>523600</v>
      </c>
      <c r="J358" s="3174" t="s">
        <v>3447</v>
      </c>
      <c r="K358" s="3161"/>
      <c r="M358" s="3161"/>
    </row>
    <row r="359" spans="1:13" ht="16.5">
      <c r="A359" s="3168">
        <v>357</v>
      </c>
      <c r="B359" s="3169" t="s">
        <v>3662</v>
      </c>
      <c r="C359" s="3170" t="s">
        <v>3851</v>
      </c>
      <c r="D359" s="3171" t="s">
        <v>4564</v>
      </c>
      <c r="E359" s="3170" t="s">
        <v>4565</v>
      </c>
      <c r="F359" s="3177" t="s">
        <v>3324</v>
      </c>
      <c r="G359" s="3169">
        <v>-201</v>
      </c>
      <c r="H359" s="3172">
        <v>22.98</v>
      </c>
      <c r="I359" s="3173">
        <v>804300</v>
      </c>
      <c r="J359" s="3174" t="s">
        <v>3447</v>
      </c>
      <c r="K359" s="3161"/>
      <c r="M359" s="3161"/>
    </row>
    <row r="360" spans="1:13" ht="16.5">
      <c r="A360" s="3168">
        <v>358</v>
      </c>
      <c r="B360" s="3169" t="s">
        <v>3662</v>
      </c>
      <c r="C360" s="3170" t="s">
        <v>3851</v>
      </c>
      <c r="D360" s="3171" t="s">
        <v>4566</v>
      </c>
      <c r="E360" s="3170" t="s">
        <v>4567</v>
      </c>
      <c r="F360" s="3177" t="s">
        <v>3324</v>
      </c>
      <c r="G360" s="3169">
        <v>-202</v>
      </c>
      <c r="H360" s="3172">
        <v>22.98</v>
      </c>
      <c r="I360" s="3173">
        <v>804300</v>
      </c>
      <c r="J360" s="3174" t="s">
        <v>3447</v>
      </c>
      <c r="K360" s="3161"/>
      <c r="M360" s="3161"/>
    </row>
    <row r="361" spans="1:13" ht="16.5">
      <c r="A361" s="3168">
        <v>359</v>
      </c>
      <c r="B361" s="3169" t="s">
        <v>3662</v>
      </c>
      <c r="C361" s="3170" t="s">
        <v>3851</v>
      </c>
      <c r="D361" s="3171" t="s">
        <v>4568</v>
      </c>
      <c r="E361" s="3170" t="s">
        <v>4569</v>
      </c>
      <c r="F361" s="3177" t="s">
        <v>3324</v>
      </c>
      <c r="G361" s="3169">
        <v>-203</v>
      </c>
      <c r="H361" s="3172">
        <v>22.98</v>
      </c>
      <c r="I361" s="3173">
        <v>804300</v>
      </c>
      <c r="J361" s="3174" t="s">
        <v>3447</v>
      </c>
      <c r="K361" s="3161"/>
      <c r="M361" s="3161"/>
    </row>
    <row r="362" spans="1:13" ht="16.5">
      <c r="A362" s="3168">
        <v>360</v>
      </c>
      <c r="B362" s="3169" t="s">
        <v>3685</v>
      </c>
      <c r="C362" s="3170" t="s">
        <v>3851</v>
      </c>
      <c r="D362" s="3171" t="s">
        <v>4570</v>
      </c>
      <c r="E362" s="3170" t="s">
        <v>4571</v>
      </c>
      <c r="F362" s="3177" t="s">
        <v>3324</v>
      </c>
      <c r="G362" s="3169">
        <v>-106</v>
      </c>
      <c r="H362" s="3172">
        <v>33.5</v>
      </c>
      <c r="I362" s="3173">
        <v>1172500</v>
      </c>
      <c r="J362" s="3174" t="s">
        <v>3447</v>
      </c>
      <c r="K362" s="3161"/>
      <c r="M362" s="3161"/>
    </row>
    <row r="363" spans="1:13" ht="16.5">
      <c r="A363" s="3168">
        <v>361</v>
      </c>
      <c r="B363" s="3169" t="s">
        <v>3685</v>
      </c>
      <c r="C363" s="3170" t="s">
        <v>3851</v>
      </c>
      <c r="D363" s="3171" t="s">
        <v>4572</v>
      </c>
      <c r="E363" s="3170" t="s">
        <v>4573</v>
      </c>
      <c r="F363" s="3177" t="s">
        <v>3324</v>
      </c>
      <c r="G363" s="3169">
        <v>-107</v>
      </c>
      <c r="H363" s="3172">
        <v>61.4</v>
      </c>
      <c r="I363" s="3173">
        <v>2149000</v>
      </c>
      <c r="J363" s="3174" t="s">
        <v>3447</v>
      </c>
      <c r="K363" s="3161"/>
      <c r="M363" s="3161"/>
    </row>
    <row r="364" spans="1:13" ht="16.5">
      <c r="A364" s="3168">
        <v>362</v>
      </c>
      <c r="B364" s="3169" t="s">
        <v>3685</v>
      </c>
      <c r="C364" s="3170" t="s">
        <v>3851</v>
      </c>
      <c r="D364" s="3171" t="s">
        <v>4574</v>
      </c>
      <c r="E364" s="3170" t="s">
        <v>4575</v>
      </c>
      <c r="F364" s="3177" t="s">
        <v>3324</v>
      </c>
      <c r="G364" s="3169">
        <v>-108</v>
      </c>
      <c r="H364" s="3172">
        <v>46.55</v>
      </c>
      <c r="I364" s="3173">
        <v>1629250</v>
      </c>
      <c r="J364" s="3174" t="s">
        <v>3447</v>
      </c>
      <c r="K364" s="3161"/>
      <c r="M364" s="3161"/>
    </row>
    <row r="365" spans="1:13" ht="16.5">
      <c r="A365" s="3168">
        <v>363</v>
      </c>
      <c r="B365" s="3169" t="s">
        <v>3685</v>
      </c>
      <c r="C365" s="3170" t="s">
        <v>3851</v>
      </c>
      <c r="D365" s="3171" t="s">
        <v>4576</v>
      </c>
      <c r="E365" s="3170" t="s">
        <v>4577</v>
      </c>
      <c r="F365" s="3177" t="s">
        <v>3324</v>
      </c>
      <c r="G365" s="3169">
        <v>-109</v>
      </c>
      <c r="H365" s="3172">
        <v>46.55</v>
      </c>
      <c r="I365" s="3173">
        <v>1629250</v>
      </c>
      <c r="J365" s="3174" t="s">
        <v>3447</v>
      </c>
      <c r="K365" s="3161"/>
      <c r="M365" s="3161"/>
    </row>
    <row r="366" spans="1:13" ht="16.5">
      <c r="A366" s="3168">
        <v>364</v>
      </c>
      <c r="B366" s="3169" t="s">
        <v>3685</v>
      </c>
      <c r="C366" s="3170" t="s">
        <v>3851</v>
      </c>
      <c r="D366" s="3171" t="s">
        <v>4578</v>
      </c>
      <c r="E366" s="3170" t="s">
        <v>4579</v>
      </c>
      <c r="F366" s="3177" t="s">
        <v>3324</v>
      </c>
      <c r="G366" s="3169">
        <v>-110</v>
      </c>
      <c r="H366" s="3172">
        <v>61.4</v>
      </c>
      <c r="I366" s="3173">
        <v>2149000</v>
      </c>
      <c r="J366" s="3174" t="s">
        <v>3447</v>
      </c>
      <c r="K366" s="3161"/>
      <c r="M366" s="3161"/>
    </row>
    <row r="367" spans="1:13" ht="16.5">
      <c r="A367" s="3168">
        <v>365</v>
      </c>
      <c r="B367" s="3169" t="s">
        <v>3685</v>
      </c>
      <c r="C367" s="3170" t="s">
        <v>3851</v>
      </c>
      <c r="D367" s="3171" t="s">
        <v>4580</v>
      </c>
      <c r="E367" s="3170" t="s">
        <v>4581</v>
      </c>
      <c r="F367" s="3177" t="s">
        <v>3324</v>
      </c>
      <c r="G367" s="3169">
        <v>-111</v>
      </c>
      <c r="H367" s="3172">
        <v>33.5</v>
      </c>
      <c r="I367" s="3173">
        <v>1172500</v>
      </c>
      <c r="J367" s="3174" t="s">
        <v>3447</v>
      </c>
      <c r="K367" s="3161"/>
      <c r="M367" s="3161"/>
    </row>
    <row r="368" spans="1:13" ht="16.5">
      <c r="A368" s="3168">
        <v>366</v>
      </c>
      <c r="B368" s="3169" t="s">
        <v>3685</v>
      </c>
      <c r="C368" s="3170" t="s">
        <v>3851</v>
      </c>
      <c r="D368" s="3171" t="s">
        <v>4582</v>
      </c>
      <c r="E368" s="3170" t="s">
        <v>4583</v>
      </c>
      <c r="F368" s="3177" t="s">
        <v>3324</v>
      </c>
      <c r="G368" s="3169">
        <v>-112</v>
      </c>
      <c r="H368" s="3172">
        <v>33.5</v>
      </c>
      <c r="I368" s="3173">
        <v>1172500</v>
      </c>
      <c r="J368" s="3174" t="s">
        <v>3447</v>
      </c>
      <c r="K368" s="3161"/>
      <c r="M368" s="3161"/>
    </row>
    <row r="369" spans="1:13" ht="16.5">
      <c r="A369" s="3168">
        <v>367</v>
      </c>
      <c r="B369" s="3169" t="s">
        <v>3685</v>
      </c>
      <c r="C369" s="3170" t="s">
        <v>3851</v>
      </c>
      <c r="D369" s="3171" t="s">
        <v>4584</v>
      </c>
      <c r="E369" s="3170" t="s">
        <v>4585</v>
      </c>
      <c r="F369" s="3177" t="s">
        <v>3324</v>
      </c>
      <c r="G369" s="3169">
        <v>-113</v>
      </c>
      <c r="H369" s="3172">
        <v>61.4</v>
      </c>
      <c r="I369" s="3173">
        <v>2149000</v>
      </c>
      <c r="J369" s="3174" t="s">
        <v>3447</v>
      </c>
      <c r="K369" s="3161"/>
      <c r="M369" s="3161"/>
    </row>
    <row r="370" spans="1:13" ht="16.5">
      <c r="A370" s="3168">
        <v>368</v>
      </c>
      <c r="B370" s="3169" t="s">
        <v>3685</v>
      </c>
      <c r="C370" s="3170" t="s">
        <v>3851</v>
      </c>
      <c r="D370" s="3171" t="s">
        <v>4586</v>
      </c>
      <c r="E370" s="3170" t="s">
        <v>4587</v>
      </c>
      <c r="F370" s="3177" t="s">
        <v>3324</v>
      </c>
      <c r="G370" s="3169">
        <v>-114</v>
      </c>
      <c r="H370" s="3172">
        <v>46.23</v>
      </c>
      <c r="I370" s="3173">
        <v>1618050</v>
      </c>
      <c r="J370" s="3174" t="s">
        <v>3447</v>
      </c>
      <c r="K370" s="3161"/>
      <c r="M370" s="3161"/>
    </row>
    <row r="371" spans="1:13" ht="16.5">
      <c r="A371" s="3168">
        <v>369</v>
      </c>
      <c r="B371" s="3169" t="s">
        <v>3685</v>
      </c>
      <c r="C371" s="3170" t="s">
        <v>3851</v>
      </c>
      <c r="D371" s="3171" t="s">
        <v>4588</v>
      </c>
      <c r="E371" s="3170" t="s">
        <v>4589</v>
      </c>
      <c r="F371" s="3177" t="s">
        <v>3324</v>
      </c>
      <c r="G371" s="3169">
        <v>-115</v>
      </c>
      <c r="H371" s="3172">
        <v>46.23</v>
      </c>
      <c r="I371" s="3173">
        <v>1618050</v>
      </c>
      <c r="J371" s="3174" t="s">
        <v>3447</v>
      </c>
      <c r="K371" s="3161"/>
      <c r="M371" s="3161"/>
    </row>
    <row r="372" spans="1:13" ht="16.5">
      <c r="A372" s="3168">
        <v>370</v>
      </c>
      <c r="B372" s="3169" t="s">
        <v>3685</v>
      </c>
      <c r="C372" s="3170" t="s">
        <v>3851</v>
      </c>
      <c r="D372" s="3171" t="s">
        <v>4590</v>
      </c>
      <c r="E372" s="3170" t="s">
        <v>4591</v>
      </c>
      <c r="F372" s="3177" t="s">
        <v>3324</v>
      </c>
      <c r="G372" s="3169">
        <v>-116</v>
      </c>
      <c r="H372" s="3172">
        <v>61.4</v>
      </c>
      <c r="I372" s="3173">
        <v>2149000</v>
      </c>
      <c r="J372" s="3174" t="s">
        <v>3447</v>
      </c>
      <c r="K372" s="3161"/>
      <c r="M372" s="3161"/>
    </row>
    <row r="373" spans="1:13" ht="16.5">
      <c r="A373" s="3168">
        <v>371</v>
      </c>
      <c r="B373" s="3169" t="s">
        <v>3685</v>
      </c>
      <c r="C373" s="3170" t="s">
        <v>3851</v>
      </c>
      <c r="D373" s="3171" t="s">
        <v>4592</v>
      </c>
      <c r="E373" s="3170" t="s">
        <v>4593</v>
      </c>
      <c r="F373" s="3177" t="s">
        <v>3324</v>
      </c>
      <c r="G373" s="3169">
        <v>-117</v>
      </c>
      <c r="H373" s="3172">
        <v>33.5</v>
      </c>
      <c r="I373" s="3173">
        <v>1172500</v>
      </c>
      <c r="J373" s="3174" t="s">
        <v>3447</v>
      </c>
      <c r="K373" s="3161"/>
      <c r="M373" s="3161"/>
    </row>
    <row r="374" spans="1:13" ht="16.5">
      <c r="A374" s="3168">
        <v>372</v>
      </c>
      <c r="B374" s="3169" t="s">
        <v>3685</v>
      </c>
      <c r="C374" s="3170" t="s">
        <v>3851</v>
      </c>
      <c r="D374" s="3171" t="s">
        <v>4594</v>
      </c>
      <c r="E374" s="3170" t="s">
        <v>4595</v>
      </c>
      <c r="F374" s="3177" t="s">
        <v>3324</v>
      </c>
      <c r="G374" s="3169">
        <v>-123</v>
      </c>
      <c r="H374" s="3172">
        <v>28.07</v>
      </c>
      <c r="I374" s="3173">
        <v>982450</v>
      </c>
      <c r="J374" s="3174" t="s">
        <v>3447</v>
      </c>
      <c r="K374" s="3161"/>
      <c r="M374" s="3161"/>
    </row>
    <row r="375" spans="1:13" ht="16.5">
      <c r="A375" s="3168">
        <v>373</v>
      </c>
      <c r="B375" s="3169" t="s">
        <v>3685</v>
      </c>
      <c r="C375" s="3170" t="s">
        <v>3851</v>
      </c>
      <c r="D375" s="3171" t="s">
        <v>4596</v>
      </c>
      <c r="E375" s="3170" t="s">
        <v>4597</v>
      </c>
      <c r="F375" s="3177" t="s">
        <v>3324</v>
      </c>
      <c r="G375" s="3169">
        <v>-124</v>
      </c>
      <c r="H375" s="3172">
        <v>32.71</v>
      </c>
      <c r="I375" s="3173">
        <v>1144850</v>
      </c>
      <c r="J375" s="3174" t="s">
        <v>3447</v>
      </c>
      <c r="K375" s="3161"/>
      <c r="M375" s="3161"/>
    </row>
    <row r="376" spans="1:13" ht="16.5">
      <c r="A376" s="3168">
        <v>374</v>
      </c>
      <c r="B376" s="3169" t="s">
        <v>3685</v>
      </c>
      <c r="C376" s="3170" t="s">
        <v>3851</v>
      </c>
      <c r="D376" s="3171" t="s">
        <v>4598</v>
      </c>
      <c r="E376" s="3170" t="s">
        <v>4599</v>
      </c>
      <c r="F376" s="3177" t="s">
        <v>3324</v>
      </c>
      <c r="G376" s="3169">
        <v>-125</v>
      </c>
      <c r="H376" s="3172">
        <v>21.95</v>
      </c>
      <c r="I376" s="3173">
        <v>768250</v>
      </c>
      <c r="J376" s="3174" t="s">
        <v>3463</v>
      </c>
      <c r="K376" s="3161"/>
      <c r="M376" s="3161"/>
    </row>
    <row r="377" spans="1:13" ht="16.5">
      <c r="A377" s="3168">
        <v>375</v>
      </c>
      <c r="B377" s="3169" t="s">
        <v>3685</v>
      </c>
      <c r="C377" s="3170" t="s">
        <v>3851</v>
      </c>
      <c r="D377" s="3171" t="s">
        <v>4600</v>
      </c>
      <c r="E377" s="3170" t="s">
        <v>4601</v>
      </c>
      <c r="F377" s="3177" t="s">
        <v>3324</v>
      </c>
      <c r="G377" s="3169">
        <v>-126</v>
      </c>
      <c r="H377" s="3172">
        <v>42.5</v>
      </c>
      <c r="I377" s="3173">
        <v>1487500</v>
      </c>
      <c r="J377" s="3174" t="s">
        <v>3447</v>
      </c>
      <c r="K377" s="3161"/>
      <c r="M377" s="3161"/>
    </row>
    <row r="378" spans="1:13" ht="16.5">
      <c r="A378" s="3168">
        <v>376</v>
      </c>
      <c r="B378" s="3169" t="s">
        <v>3685</v>
      </c>
      <c r="C378" s="3170" t="s">
        <v>3851</v>
      </c>
      <c r="D378" s="3171" t="s">
        <v>4602</v>
      </c>
      <c r="E378" s="3170" t="s">
        <v>4603</v>
      </c>
      <c r="F378" s="3177" t="s">
        <v>3324</v>
      </c>
      <c r="G378" s="3169">
        <v>-127</v>
      </c>
      <c r="H378" s="3172">
        <v>31.82</v>
      </c>
      <c r="I378" s="3173">
        <v>1113700</v>
      </c>
      <c r="J378" s="3174" t="s">
        <v>3447</v>
      </c>
      <c r="K378" s="3161"/>
      <c r="M378" s="3161"/>
    </row>
    <row r="379" spans="1:13" ht="16.5">
      <c r="A379" s="3168">
        <v>377</v>
      </c>
      <c r="B379" s="3169" t="s">
        <v>3685</v>
      </c>
      <c r="C379" s="3170" t="s">
        <v>3851</v>
      </c>
      <c r="D379" s="3171" t="s">
        <v>4604</v>
      </c>
      <c r="E379" s="3170" t="s">
        <v>4605</v>
      </c>
      <c r="F379" s="3177" t="s">
        <v>3324</v>
      </c>
      <c r="G379" s="3169">
        <v>-202</v>
      </c>
      <c r="H379" s="3172">
        <v>30.24</v>
      </c>
      <c r="I379" s="3173">
        <v>1058400</v>
      </c>
      <c r="J379" s="3174" t="s">
        <v>3447</v>
      </c>
      <c r="K379" s="3161"/>
      <c r="M379" s="3161"/>
    </row>
    <row r="380" spans="1:13" ht="16.5">
      <c r="A380" s="3168">
        <v>378</v>
      </c>
      <c r="B380" s="3169" t="s">
        <v>3685</v>
      </c>
      <c r="C380" s="3170" t="s">
        <v>3851</v>
      </c>
      <c r="D380" s="3171" t="s">
        <v>4606</v>
      </c>
      <c r="E380" s="3170" t="s">
        <v>4607</v>
      </c>
      <c r="F380" s="3177" t="s">
        <v>3324</v>
      </c>
      <c r="G380" s="3169">
        <v>-203</v>
      </c>
      <c r="H380" s="3172">
        <v>24.05</v>
      </c>
      <c r="I380" s="3173">
        <v>841750</v>
      </c>
      <c r="J380" s="3174" t="s">
        <v>3447</v>
      </c>
      <c r="K380" s="3161"/>
      <c r="M380" s="3161"/>
    </row>
    <row r="381" spans="1:13" ht="16.5">
      <c r="A381" s="3168">
        <v>379</v>
      </c>
      <c r="B381" s="3169" t="s">
        <v>3685</v>
      </c>
      <c r="C381" s="3170" t="s">
        <v>3851</v>
      </c>
      <c r="D381" s="3171" t="s">
        <v>4608</v>
      </c>
      <c r="E381" s="3170" t="s">
        <v>4609</v>
      </c>
      <c r="F381" s="3177" t="s">
        <v>3324</v>
      </c>
      <c r="G381" s="3169">
        <v>-204</v>
      </c>
      <c r="H381" s="3172">
        <v>24.05</v>
      </c>
      <c r="I381" s="3173">
        <v>841750</v>
      </c>
      <c r="J381" s="3174" t="s">
        <v>3447</v>
      </c>
      <c r="K381" s="3161"/>
      <c r="M381" s="3161"/>
    </row>
    <row r="382" spans="1:13" ht="16.5">
      <c r="A382" s="3168">
        <v>380</v>
      </c>
      <c r="B382" s="3169" t="s">
        <v>3685</v>
      </c>
      <c r="C382" s="3170" t="s">
        <v>3851</v>
      </c>
      <c r="D382" s="3171" t="s">
        <v>4610</v>
      </c>
      <c r="E382" s="3170" t="s">
        <v>4611</v>
      </c>
      <c r="F382" s="3177" t="s">
        <v>3324</v>
      </c>
      <c r="G382" s="3169">
        <v>-205</v>
      </c>
      <c r="H382" s="3172">
        <v>25.51</v>
      </c>
      <c r="I382" s="3173">
        <v>892850</v>
      </c>
      <c r="J382" s="3174" t="s">
        <v>3447</v>
      </c>
      <c r="K382" s="3161"/>
      <c r="M382" s="3161"/>
    </row>
    <row r="383" spans="1:13" ht="16.5">
      <c r="A383" s="3168">
        <v>381</v>
      </c>
      <c r="B383" s="3169" t="s">
        <v>3685</v>
      </c>
      <c r="C383" s="3170" t="s">
        <v>3851</v>
      </c>
      <c r="D383" s="3171" t="s">
        <v>4612</v>
      </c>
      <c r="E383" s="3170" t="s">
        <v>4613</v>
      </c>
      <c r="F383" s="3177" t="s">
        <v>3324</v>
      </c>
      <c r="G383" s="3169">
        <v>-206</v>
      </c>
      <c r="H383" s="3172">
        <v>25.51</v>
      </c>
      <c r="I383" s="3173">
        <v>892850</v>
      </c>
      <c r="J383" s="3174" t="s">
        <v>3447</v>
      </c>
      <c r="K383" s="3161"/>
      <c r="M383" s="3161"/>
    </row>
    <row r="384" spans="1:13" ht="16.5">
      <c r="A384" s="3168">
        <v>382</v>
      </c>
      <c r="B384" s="3169" t="s">
        <v>3685</v>
      </c>
      <c r="C384" s="3170" t="s">
        <v>3851</v>
      </c>
      <c r="D384" s="3171" t="s">
        <v>4614</v>
      </c>
      <c r="E384" s="3170" t="s">
        <v>4615</v>
      </c>
      <c r="F384" s="3177" t="s">
        <v>3324</v>
      </c>
      <c r="G384" s="3169">
        <v>-207</v>
      </c>
      <c r="H384" s="3172">
        <v>24.05</v>
      </c>
      <c r="I384" s="3173">
        <v>841750</v>
      </c>
      <c r="J384" s="3174" t="s">
        <v>3447</v>
      </c>
      <c r="K384" s="3161"/>
      <c r="M384" s="3161"/>
    </row>
    <row r="385" spans="1:13" ht="16.5">
      <c r="A385" s="3168">
        <v>383</v>
      </c>
      <c r="B385" s="3169" t="s">
        <v>3685</v>
      </c>
      <c r="C385" s="3170" t="s">
        <v>3851</v>
      </c>
      <c r="D385" s="3171" t="s">
        <v>4616</v>
      </c>
      <c r="E385" s="3170" t="s">
        <v>4617</v>
      </c>
      <c r="F385" s="3177" t="s">
        <v>3324</v>
      </c>
      <c r="G385" s="3169">
        <v>-209</v>
      </c>
      <c r="H385" s="3172">
        <v>31.7</v>
      </c>
      <c r="I385" s="3173">
        <v>1109500</v>
      </c>
      <c r="J385" s="3174" t="s">
        <v>3447</v>
      </c>
      <c r="K385" s="3161"/>
      <c r="M385" s="3161"/>
    </row>
    <row r="386" spans="1:13" ht="16.5">
      <c r="A386" s="3168">
        <v>384</v>
      </c>
      <c r="B386" s="3169" t="s">
        <v>3685</v>
      </c>
      <c r="C386" s="3170" t="s">
        <v>3851</v>
      </c>
      <c r="D386" s="3171" t="s">
        <v>4618</v>
      </c>
      <c r="E386" s="3170" t="s">
        <v>4619</v>
      </c>
      <c r="F386" s="3177" t="s">
        <v>3324</v>
      </c>
      <c r="G386" s="3169">
        <v>-211</v>
      </c>
      <c r="H386" s="3172">
        <v>22.65</v>
      </c>
      <c r="I386" s="3173">
        <v>792750</v>
      </c>
      <c r="J386" s="3174" t="s">
        <v>3447</v>
      </c>
      <c r="K386" s="3161"/>
      <c r="M386" s="3161"/>
    </row>
    <row r="387" spans="1:13" ht="16.5">
      <c r="A387" s="3168">
        <v>385</v>
      </c>
      <c r="B387" s="3169" t="s">
        <v>3685</v>
      </c>
      <c r="C387" s="3170" t="s">
        <v>3851</v>
      </c>
      <c r="D387" s="3171" t="s">
        <v>4620</v>
      </c>
      <c r="E387" s="3170" t="s">
        <v>4621</v>
      </c>
      <c r="F387" s="3177" t="s">
        <v>3324</v>
      </c>
      <c r="G387" s="3169">
        <v>-212</v>
      </c>
      <c r="H387" s="3172">
        <v>22.65</v>
      </c>
      <c r="I387" s="3173">
        <v>792750</v>
      </c>
      <c r="J387" s="3174" t="s">
        <v>3447</v>
      </c>
      <c r="K387" s="3161"/>
      <c r="M387" s="3161"/>
    </row>
    <row r="388" spans="1:13" ht="16.5">
      <c r="A388" s="3168">
        <v>386</v>
      </c>
      <c r="B388" s="3169" t="s">
        <v>3685</v>
      </c>
      <c r="C388" s="3170" t="s">
        <v>3851</v>
      </c>
      <c r="D388" s="3171" t="s">
        <v>4622</v>
      </c>
      <c r="E388" s="3170" t="s">
        <v>4623</v>
      </c>
      <c r="F388" s="3177" t="s">
        <v>3324</v>
      </c>
      <c r="G388" s="3169">
        <v>-213</v>
      </c>
      <c r="H388" s="3172">
        <v>22.65</v>
      </c>
      <c r="I388" s="3173">
        <v>792750</v>
      </c>
      <c r="J388" s="3174" t="s">
        <v>3447</v>
      </c>
      <c r="K388" s="3161"/>
      <c r="M388" s="3161"/>
    </row>
    <row r="389" spans="1:13" ht="16.5">
      <c r="A389" s="3168">
        <v>387</v>
      </c>
      <c r="B389" s="3169" t="s">
        <v>3685</v>
      </c>
      <c r="C389" s="3170" t="s">
        <v>3851</v>
      </c>
      <c r="D389" s="3171" t="s">
        <v>4624</v>
      </c>
      <c r="E389" s="3170" t="s">
        <v>4625</v>
      </c>
      <c r="F389" s="3177" t="s">
        <v>3324</v>
      </c>
      <c r="G389" s="3169">
        <v>-214</v>
      </c>
      <c r="H389" s="3172">
        <v>22.65</v>
      </c>
      <c r="I389" s="3173">
        <v>792750</v>
      </c>
      <c r="J389" s="3174" t="s">
        <v>3447</v>
      </c>
      <c r="K389" s="3161"/>
      <c r="M389" s="3161"/>
    </row>
    <row r="390" spans="1:13" ht="16.5">
      <c r="A390" s="3168">
        <v>388</v>
      </c>
      <c r="B390" s="3169" t="s">
        <v>3712</v>
      </c>
      <c r="C390" s="3170" t="s">
        <v>3851</v>
      </c>
      <c r="D390" s="3171" t="s">
        <v>4626</v>
      </c>
      <c r="E390" s="3170" t="s">
        <v>4627</v>
      </c>
      <c r="F390" s="3177" t="s">
        <v>3324</v>
      </c>
      <c r="G390" s="3169">
        <v>-106</v>
      </c>
      <c r="H390" s="3172">
        <v>33.86</v>
      </c>
      <c r="I390" s="3173">
        <v>1185100</v>
      </c>
      <c r="J390" s="3174" t="s">
        <v>3447</v>
      </c>
      <c r="K390" s="3161"/>
      <c r="M390" s="3161"/>
    </row>
    <row r="391" spans="1:13" ht="16.5">
      <c r="A391" s="3168">
        <v>389</v>
      </c>
      <c r="B391" s="3169" t="s">
        <v>3712</v>
      </c>
      <c r="C391" s="3170" t="s">
        <v>3851</v>
      </c>
      <c r="D391" s="3171" t="s">
        <v>4628</v>
      </c>
      <c r="E391" s="3170" t="s">
        <v>4629</v>
      </c>
      <c r="F391" s="3177" t="s">
        <v>3324</v>
      </c>
      <c r="G391" s="3169">
        <v>-107</v>
      </c>
      <c r="H391" s="3172">
        <v>62.06</v>
      </c>
      <c r="I391" s="3173">
        <v>2172100</v>
      </c>
      <c r="J391" s="3174" t="s">
        <v>3447</v>
      </c>
      <c r="K391" s="3161"/>
      <c r="M391" s="3161"/>
    </row>
    <row r="392" spans="1:13" ht="16.5">
      <c r="A392" s="3168">
        <v>390</v>
      </c>
      <c r="B392" s="3169" t="s">
        <v>3712</v>
      </c>
      <c r="C392" s="3170" t="s">
        <v>3851</v>
      </c>
      <c r="D392" s="3171" t="s">
        <v>4630</v>
      </c>
      <c r="E392" s="3170" t="s">
        <v>4631</v>
      </c>
      <c r="F392" s="3177" t="s">
        <v>3324</v>
      </c>
      <c r="G392" s="3169">
        <v>-108</v>
      </c>
      <c r="H392" s="3172">
        <v>47.05</v>
      </c>
      <c r="I392" s="3173">
        <v>1646750</v>
      </c>
      <c r="J392" s="3174" t="s">
        <v>3447</v>
      </c>
      <c r="K392" s="3161"/>
      <c r="M392" s="3161"/>
    </row>
    <row r="393" spans="1:13" ht="16.5">
      <c r="A393" s="3168">
        <v>391</v>
      </c>
      <c r="B393" s="3169" t="s">
        <v>3712</v>
      </c>
      <c r="C393" s="3170" t="s">
        <v>3851</v>
      </c>
      <c r="D393" s="3171" t="s">
        <v>4632</v>
      </c>
      <c r="E393" s="3170" t="s">
        <v>4633</v>
      </c>
      <c r="F393" s="3177" t="s">
        <v>3324</v>
      </c>
      <c r="G393" s="3169">
        <v>-109</v>
      </c>
      <c r="H393" s="3172">
        <v>47.05</v>
      </c>
      <c r="I393" s="3173">
        <v>1646750</v>
      </c>
      <c r="J393" s="3174" t="s">
        <v>3447</v>
      </c>
      <c r="K393" s="3161"/>
      <c r="M393" s="3161"/>
    </row>
    <row r="394" spans="1:13" ht="16.5">
      <c r="A394" s="3168">
        <v>392</v>
      </c>
      <c r="B394" s="3169" t="s">
        <v>3712</v>
      </c>
      <c r="C394" s="3170" t="s">
        <v>3851</v>
      </c>
      <c r="D394" s="3171" t="s">
        <v>4634</v>
      </c>
      <c r="E394" s="3170" t="s">
        <v>4635</v>
      </c>
      <c r="F394" s="3177" t="s">
        <v>3324</v>
      </c>
      <c r="G394" s="3169">
        <v>-110</v>
      </c>
      <c r="H394" s="3172">
        <v>62.06</v>
      </c>
      <c r="I394" s="3173">
        <v>2172100</v>
      </c>
      <c r="J394" s="3174" t="s">
        <v>3447</v>
      </c>
      <c r="K394" s="3161"/>
      <c r="M394" s="3161"/>
    </row>
    <row r="395" spans="1:13" ht="16.5">
      <c r="A395" s="3168">
        <v>393</v>
      </c>
      <c r="B395" s="3169" t="s">
        <v>3712</v>
      </c>
      <c r="C395" s="3170" t="s">
        <v>3851</v>
      </c>
      <c r="D395" s="3171" t="s">
        <v>4636</v>
      </c>
      <c r="E395" s="3170" t="s">
        <v>4637</v>
      </c>
      <c r="F395" s="3177" t="s">
        <v>3324</v>
      </c>
      <c r="G395" s="3169">
        <v>-111</v>
      </c>
      <c r="H395" s="3172">
        <v>33.86</v>
      </c>
      <c r="I395" s="3173">
        <v>1185100</v>
      </c>
      <c r="J395" s="3174" t="s">
        <v>3447</v>
      </c>
      <c r="K395" s="3161"/>
      <c r="M395" s="3161"/>
    </row>
    <row r="396" spans="1:13" ht="16.5">
      <c r="A396" s="3168">
        <v>394</v>
      </c>
      <c r="B396" s="3169" t="s">
        <v>3712</v>
      </c>
      <c r="C396" s="3170" t="s">
        <v>3851</v>
      </c>
      <c r="D396" s="3171" t="s">
        <v>4638</v>
      </c>
      <c r="E396" s="3170" t="s">
        <v>4639</v>
      </c>
      <c r="F396" s="3177" t="s">
        <v>3324</v>
      </c>
      <c r="G396" s="3169">
        <v>-112</v>
      </c>
      <c r="H396" s="3172">
        <v>33.86</v>
      </c>
      <c r="I396" s="3173">
        <v>1185100</v>
      </c>
      <c r="J396" s="3174" t="s">
        <v>3447</v>
      </c>
      <c r="K396" s="3161"/>
      <c r="M396" s="3161"/>
    </row>
    <row r="397" spans="1:13" ht="16.5">
      <c r="A397" s="3168">
        <v>395</v>
      </c>
      <c r="B397" s="3169" t="s">
        <v>3712</v>
      </c>
      <c r="C397" s="3170" t="s">
        <v>3851</v>
      </c>
      <c r="D397" s="3171" t="s">
        <v>4640</v>
      </c>
      <c r="E397" s="3170" t="s">
        <v>4641</v>
      </c>
      <c r="F397" s="3177" t="s">
        <v>3324</v>
      </c>
      <c r="G397" s="3169">
        <v>-113</v>
      </c>
      <c r="H397" s="3172">
        <v>62.06</v>
      </c>
      <c r="I397" s="3173">
        <v>2172100</v>
      </c>
      <c r="J397" s="3174" t="s">
        <v>3447</v>
      </c>
      <c r="K397" s="3161"/>
      <c r="M397" s="3161"/>
    </row>
    <row r="398" spans="1:13" ht="16.5">
      <c r="A398" s="3168">
        <v>396</v>
      </c>
      <c r="B398" s="3169" t="s">
        <v>3712</v>
      </c>
      <c r="C398" s="3170" t="s">
        <v>3851</v>
      </c>
      <c r="D398" s="3171" t="s">
        <v>4642</v>
      </c>
      <c r="E398" s="3170" t="s">
        <v>4643</v>
      </c>
      <c r="F398" s="3177" t="s">
        <v>3324</v>
      </c>
      <c r="G398" s="3169">
        <v>-114</v>
      </c>
      <c r="H398" s="3172">
        <v>46.72</v>
      </c>
      <c r="I398" s="3173">
        <v>1635200</v>
      </c>
      <c r="J398" s="3174" t="s">
        <v>3447</v>
      </c>
      <c r="K398" s="3161"/>
      <c r="M398" s="3161"/>
    </row>
    <row r="399" spans="1:13" ht="16.5">
      <c r="A399" s="3168">
        <v>397</v>
      </c>
      <c r="B399" s="3169" t="s">
        <v>3712</v>
      </c>
      <c r="C399" s="3170" t="s">
        <v>3851</v>
      </c>
      <c r="D399" s="3171" t="s">
        <v>4644</v>
      </c>
      <c r="E399" s="3170" t="s">
        <v>4645</v>
      </c>
      <c r="F399" s="3177" t="s">
        <v>3324</v>
      </c>
      <c r="G399" s="3169">
        <v>-115</v>
      </c>
      <c r="H399" s="3172">
        <v>46.72</v>
      </c>
      <c r="I399" s="3173">
        <v>1635200</v>
      </c>
      <c r="J399" s="3174" t="s">
        <v>3447</v>
      </c>
      <c r="K399" s="3161"/>
      <c r="M399" s="3161"/>
    </row>
    <row r="400" spans="1:13" ht="16.5">
      <c r="A400" s="3168">
        <v>398</v>
      </c>
      <c r="B400" s="3169" t="s">
        <v>3712</v>
      </c>
      <c r="C400" s="3170" t="s">
        <v>3851</v>
      </c>
      <c r="D400" s="3171" t="s">
        <v>4646</v>
      </c>
      <c r="E400" s="3170" t="s">
        <v>4647</v>
      </c>
      <c r="F400" s="3177" t="s">
        <v>3324</v>
      </c>
      <c r="G400" s="3169">
        <v>-116</v>
      </c>
      <c r="H400" s="3172">
        <v>62.06</v>
      </c>
      <c r="I400" s="3173">
        <v>2172100</v>
      </c>
      <c r="J400" s="3174" t="s">
        <v>3447</v>
      </c>
      <c r="K400" s="3161"/>
      <c r="M400" s="3161"/>
    </row>
    <row r="401" spans="1:13" ht="16.5">
      <c r="A401" s="3168">
        <v>399</v>
      </c>
      <c r="B401" s="3169" t="s">
        <v>3712</v>
      </c>
      <c r="C401" s="3170" t="s">
        <v>3851</v>
      </c>
      <c r="D401" s="3171" t="s">
        <v>4648</v>
      </c>
      <c r="E401" s="3170" t="s">
        <v>4649</v>
      </c>
      <c r="F401" s="3177" t="s">
        <v>3324</v>
      </c>
      <c r="G401" s="3169">
        <v>-117</v>
      </c>
      <c r="H401" s="3172">
        <v>33.86</v>
      </c>
      <c r="I401" s="3173">
        <v>1185100</v>
      </c>
      <c r="J401" s="3174" t="s">
        <v>3447</v>
      </c>
      <c r="K401" s="3161"/>
      <c r="M401" s="3161"/>
    </row>
    <row r="402" spans="1:13" ht="16.5">
      <c r="A402" s="3168">
        <v>400</v>
      </c>
      <c r="B402" s="3169" t="s">
        <v>3712</v>
      </c>
      <c r="C402" s="3170" t="s">
        <v>3851</v>
      </c>
      <c r="D402" s="3171" t="s">
        <v>4650</v>
      </c>
      <c r="E402" s="3170" t="s">
        <v>4651</v>
      </c>
      <c r="F402" s="3177" t="s">
        <v>3324</v>
      </c>
      <c r="G402" s="3169">
        <v>-118</v>
      </c>
      <c r="H402" s="3172">
        <v>33.86</v>
      </c>
      <c r="I402" s="3173">
        <v>1185100</v>
      </c>
      <c r="J402" s="3174" t="s">
        <v>3447</v>
      </c>
      <c r="K402" s="3161"/>
      <c r="M402" s="3161"/>
    </row>
    <row r="403" spans="1:13" ht="16.5">
      <c r="A403" s="3168">
        <v>401</v>
      </c>
      <c r="B403" s="3169" t="s">
        <v>3712</v>
      </c>
      <c r="C403" s="3170" t="s">
        <v>3851</v>
      </c>
      <c r="D403" s="3171" t="s">
        <v>4652</v>
      </c>
      <c r="E403" s="3170" t="s">
        <v>4653</v>
      </c>
      <c r="F403" s="3177" t="s">
        <v>3324</v>
      </c>
      <c r="G403" s="3169">
        <v>-119</v>
      </c>
      <c r="H403" s="3172">
        <v>62.34</v>
      </c>
      <c r="I403" s="3173">
        <v>2181900</v>
      </c>
      <c r="J403" s="3174" t="s">
        <v>3447</v>
      </c>
      <c r="K403" s="3161"/>
      <c r="M403" s="3161"/>
    </row>
    <row r="404" spans="1:13" ht="16.5">
      <c r="A404" s="3168">
        <v>402</v>
      </c>
      <c r="B404" s="3169" t="s">
        <v>3712</v>
      </c>
      <c r="C404" s="3170" t="s">
        <v>3851</v>
      </c>
      <c r="D404" s="3171" t="s">
        <v>4654</v>
      </c>
      <c r="E404" s="3170" t="s">
        <v>4655</v>
      </c>
      <c r="F404" s="3177" t="s">
        <v>3324</v>
      </c>
      <c r="G404" s="3169">
        <v>-120</v>
      </c>
      <c r="H404" s="3172">
        <v>56.73</v>
      </c>
      <c r="I404" s="3173">
        <v>1985550</v>
      </c>
      <c r="J404" s="3174" t="s">
        <v>3447</v>
      </c>
      <c r="K404" s="3161"/>
      <c r="M404" s="3161"/>
    </row>
    <row r="405" spans="1:13" ht="16.5">
      <c r="A405" s="3168">
        <v>403</v>
      </c>
      <c r="B405" s="3169" t="s">
        <v>3712</v>
      </c>
      <c r="C405" s="3170" t="s">
        <v>3851</v>
      </c>
      <c r="D405" s="3171" t="s">
        <v>4656</v>
      </c>
      <c r="E405" s="3170" t="s">
        <v>4657</v>
      </c>
      <c r="F405" s="3177" t="s">
        <v>3324</v>
      </c>
      <c r="G405" s="3169">
        <v>-121</v>
      </c>
      <c r="H405" s="3172">
        <v>30.59</v>
      </c>
      <c r="I405" s="3173">
        <v>1070650</v>
      </c>
      <c r="J405" s="3174" t="s">
        <v>3447</v>
      </c>
      <c r="K405" s="3161"/>
      <c r="M405" s="3161"/>
    </row>
    <row r="406" spans="1:13" ht="16.5">
      <c r="A406" s="3168">
        <v>404</v>
      </c>
      <c r="B406" s="3169" t="s">
        <v>3712</v>
      </c>
      <c r="C406" s="3170" t="s">
        <v>3851</v>
      </c>
      <c r="D406" s="3171" t="s">
        <v>4658</v>
      </c>
      <c r="E406" s="3170" t="s">
        <v>4659</v>
      </c>
      <c r="F406" s="3177" t="s">
        <v>3324</v>
      </c>
      <c r="G406" s="3169">
        <v>-122</v>
      </c>
      <c r="H406" s="3172">
        <v>25.07</v>
      </c>
      <c r="I406" s="3173">
        <v>877450</v>
      </c>
      <c r="J406" s="3174" t="s">
        <v>3447</v>
      </c>
      <c r="K406" s="3161"/>
      <c r="M406" s="3161"/>
    </row>
    <row r="407" spans="1:13" ht="16.5">
      <c r="A407" s="3168">
        <v>405</v>
      </c>
      <c r="B407" s="3169" t="s">
        <v>3712</v>
      </c>
      <c r="C407" s="3170" t="s">
        <v>3851</v>
      </c>
      <c r="D407" s="3171" t="s">
        <v>4660</v>
      </c>
      <c r="E407" s="3170" t="s">
        <v>4661</v>
      </c>
      <c r="F407" s="3177" t="s">
        <v>3324</v>
      </c>
      <c r="G407" s="3169">
        <v>-123</v>
      </c>
      <c r="H407" s="3172">
        <v>28.37</v>
      </c>
      <c r="I407" s="3173">
        <v>992950</v>
      </c>
      <c r="J407" s="3174" t="s">
        <v>3447</v>
      </c>
      <c r="K407" s="3161"/>
      <c r="M407" s="3161"/>
    </row>
    <row r="408" spans="1:13" ht="16.5">
      <c r="A408" s="3168">
        <v>406</v>
      </c>
      <c r="B408" s="3169" t="s">
        <v>3712</v>
      </c>
      <c r="C408" s="3170" t="s">
        <v>3851</v>
      </c>
      <c r="D408" s="3171" t="s">
        <v>4662</v>
      </c>
      <c r="E408" s="3170" t="s">
        <v>4663</v>
      </c>
      <c r="F408" s="3177" t="s">
        <v>3324</v>
      </c>
      <c r="G408" s="3169">
        <v>-124</v>
      </c>
      <c r="H408" s="3172">
        <v>28.37</v>
      </c>
      <c r="I408" s="3173">
        <v>992950</v>
      </c>
      <c r="J408" s="3174" t="s">
        <v>3447</v>
      </c>
      <c r="K408" s="3161"/>
      <c r="M408" s="3161"/>
    </row>
    <row r="409" spans="1:13" ht="16.5">
      <c r="A409" s="3168">
        <v>407</v>
      </c>
      <c r="B409" s="3169" t="s">
        <v>3712</v>
      </c>
      <c r="C409" s="3170" t="s">
        <v>3851</v>
      </c>
      <c r="D409" s="3171" t="s">
        <v>4664</v>
      </c>
      <c r="E409" s="3170" t="s">
        <v>4665</v>
      </c>
      <c r="F409" s="3177" t="s">
        <v>3324</v>
      </c>
      <c r="G409" s="3169">
        <v>-125</v>
      </c>
      <c r="H409" s="3172">
        <v>22.18</v>
      </c>
      <c r="I409" s="3173">
        <v>776300</v>
      </c>
      <c r="J409" s="3174" t="s">
        <v>3447</v>
      </c>
      <c r="K409" s="3161"/>
      <c r="M409" s="3161"/>
    </row>
    <row r="410" spans="1:13" ht="16.5">
      <c r="A410" s="3168">
        <v>408</v>
      </c>
      <c r="B410" s="3169" t="s">
        <v>3712</v>
      </c>
      <c r="C410" s="3170" t="s">
        <v>3851</v>
      </c>
      <c r="D410" s="3171" t="s">
        <v>4666</v>
      </c>
      <c r="E410" s="3170" t="s">
        <v>4667</v>
      </c>
      <c r="F410" s="3177" t="s">
        <v>3324</v>
      </c>
      <c r="G410" s="3169">
        <v>-126</v>
      </c>
      <c r="H410" s="3172">
        <v>42.89</v>
      </c>
      <c r="I410" s="3173">
        <v>1501150</v>
      </c>
      <c r="J410" s="3174" t="s">
        <v>3447</v>
      </c>
      <c r="K410" s="3161"/>
      <c r="M410" s="3161"/>
    </row>
    <row r="411" spans="1:13" ht="16.5">
      <c r="A411" s="3168">
        <v>409</v>
      </c>
      <c r="B411" s="3169" t="s">
        <v>3712</v>
      </c>
      <c r="C411" s="3170" t="s">
        <v>3851</v>
      </c>
      <c r="D411" s="3171" t="s">
        <v>4668</v>
      </c>
      <c r="E411" s="3170" t="s">
        <v>4669</v>
      </c>
      <c r="F411" s="3177" t="s">
        <v>3324</v>
      </c>
      <c r="G411" s="3169">
        <v>-127</v>
      </c>
      <c r="H411" s="3172">
        <v>42.81</v>
      </c>
      <c r="I411" s="3173">
        <v>1498350</v>
      </c>
      <c r="J411" s="3174" t="s">
        <v>3447</v>
      </c>
      <c r="K411" s="3161"/>
      <c r="M411" s="3161"/>
    </row>
    <row r="412" spans="1:13" ht="16.5">
      <c r="A412" s="3168">
        <v>410</v>
      </c>
      <c r="B412" s="3169" t="s">
        <v>3712</v>
      </c>
      <c r="C412" s="3170" t="s">
        <v>3851</v>
      </c>
      <c r="D412" s="3171" t="s">
        <v>4670</v>
      </c>
      <c r="E412" s="3170" t="s">
        <v>4671</v>
      </c>
      <c r="F412" s="3177" t="s">
        <v>3324</v>
      </c>
      <c r="G412" s="3169">
        <v>-202</v>
      </c>
      <c r="H412" s="3172">
        <v>19.829999999999998</v>
      </c>
      <c r="I412" s="3173">
        <v>694050</v>
      </c>
      <c r="J412" s="3174" t="s">
        <v>3447</v>
      </c>
      <c r="K412" s="3161"/>
      <c r="M412" s="3161"/>
    </row>
    <row r="413" spans="1:13" ht="16.5">
      <c r="A413" s="3168">
        <v>411</v>
      </c>
      <c r="B413" s="3169" t="s">
        <v>3712</v>
      </c>
      <c r="C413" s="3170" t="s">
        <v>3851</v>
      </c>
      <c r="D413" s="3171" t="s">
        <v>4672</v>
      </c>
      <c r="E413" s="3170" t="s">
        <v>4673</v>
      </c>
      <c r="F413" s="3177" t="s">
        <v>3324</v>
      </c>
      <c r="G413" s="3169">
        <v>-203</v>
      </c>
      <c r="H413" s="3172">
        <v>19.829999999999998</v>
      </c>
      <c r="I413" s="3173">
        <v>694050</v>
      </c>
      <c r="J413" s="3174" t="s">
        <v>3447</v>
      </c>
      <c r="K413" s="3161"/>
      <c r="M413" s="3161"/>
    </row>
    <row r="414" spans="1:13" ht="16.5">
      <c r="A414" s="3168">
        <v>412</v>
      </c>
      <c r="B414" s="3169" t="s">
        <v>3712</v>
      </c>
      <c r="C414" s="3170" t="s">
        <v>3851</v>
      </c>
      <c r="D414" s="3171" t="s">
        <v>4674</v>
      </c>
      <c r="E414" s="3170" t="s">
        <v>4675</v>
      </c>
      <c r="F414" s="3177" t="s">
        <v>3324</v>
      </c>
      <c r="G414" s="3169">
        <v>-204</v>
      </c>
      <c r="H414" s="3172">
        <v>19.829999999999998</v>
      </c>
      <c r="I414" s="3173">
        <v>694050</v>
      </c>
      <c r="J414" s="3174" t="s">
        <v>3447</v>
      </c>
      <c r="K414" s="3161"/>
      <c r="M414" s="3161"/>
    </row>
    <row r="415" spans="1:13" ht="16.5">
      <c r="A415" s="3168">
        <v>413</v>
      </c>
      <c r="B415" s="3169" t="s">
        <v>3712</v>
      </c>
      <c r="C415" s="3170" t="s">
        <v>3851</v>
      </c>
      <c r="D415" s="3171" t="s">
        <v>4676</v>
      </c>
      <c r="E415" s="3170" t="s">
        <v>4677</v>
      </c>
      <c r="F415" s="3177" t="s">
        <v>3324</v>
      </c>
      <c r="G415" s="3169">
        <v>-205</v>
      </c>
      <c r="H415" s="3172">
        <v>19.829999999999998</v>
      </c>
      <c r="I415" s="3173">
        <v>694050</v>
      </c>
      <c r="J415" s="3174" t="s">
        <v>3447</v>
      </c>
      <c r="K415" s="3161"/>
      <c r="M415" s="3161"/>
    </row>
    <row r="416" spans="1:13" ht="16.5">
      <c r="A416" s="3168">
        <v>414</v>
      </c>
      <c r="B416" s="3169" t="s">
        <v>3712</v>
      </c>
      <c r="C416" s="3170" t="s">
        <v>3851</v>
      </c>
      <c r="D416" s="3171" t="s">
        <v>4678</v>
      </c>
      <c r="E416" s="3170" t="s">
        <v>4679</v>
      </c>
      <c r="F416" s="3177" t="s">
        <v>3324</v>
      </c>
      <c r="G416" s="3169">
        <v>-206</v>
      </c>
      <c r="H416" s="3172">
        <v>19.829999999999998</v>
      </c>
      <c r="I416" s="3173">
        <v>694050</v>
      </c>
      <c r="J416" s="3174" t="s">
        <v>3447</v>
      </c>
      <c r="K416" s="3161"/>
      <c r="M416" s="3161"/>
    </row>
    <row r="417" spans="1:13" ht="16.5">
      <c r="A417" s="3168">
        <v>415</v>
      </c>
      <c r="B417" s="3169" t="s">
        <v>3712</v>
      </c>
      <c r="C417" s="3170" t="s">
        <v>3851</v>
      </c>
      <c r="D417" s="3171" t="s">
        <v>4680</v>
      </c>
      <c r="E417" s="3170" t="s">
        <v>4681</v>
      </c>
      <c r="F417" s="3177" t="s">
        <v>3324</v>
      </c>
      <c r="G417" s="3169">
        <v>-207</v>
      </c>
      <c r="H417" s="3172">
        <v>23.63</v>
      </c>
      <c r="I417" s="3173">
        <v>827050</v>
      </c>
      <c r="J417" s="3174" t="s">
        <v>3447</v>
      </c>
      <c r="K417" s="3161"/>
      <c r="M417" s="3161"/>
    </row>
    <row r="418" spans="1:13" ht="16.5">
      <c r="A418" s="3168">
        <v>416</v>
      </c>
      <c r="B418" s="3169" t="s">
        <v>3712</v>
      </c>
      <c r="C418" s="3170" t="s">
        <v>3851</v>
      </c>
      <c r="D418" s="3171" t="s">
        <v>4682</v>
      </c>
      <c r="E418" s="3170" t="s">
        <v>4683</v>
      </c>
      <c r="F418" s="3177" t="s">
        <v>3324</v>
      </c>
      <c r="G418" s="3169">
        <v>-208</v>
      </c>
      <c r="H418" s="3172">
        <v>14.96</v>
      </c>
      <c r="I418" s="3173">
        <v>523600</v>
      </c>
      <c r="J418" s="3174" t="s">
        <v>3463</v>
      </c>
      <c r="K418" s="3161"/>
      <c r="M418" s="3161"/>
    </row>
    <row r="419" spans="1:13" ht="16.5">
      <c r="A419" s="3168">
        <v>417</v>
      </c>
      <c r="B419" s="3169" t="s">
        <v>3741</v>
      </c>
      <c r="C419" s="3170" t="s">
        <v>3851</v>
      </c>
      <c r="D419" s="3171" t="s">
        <v>4684</v>
      </c>
      <c r="E419" s="3170" t="s">
        <v>4685</v>
      </c>
      <c r="F419" s="3177" t="s">
        <v>3324</v>
      </c>
      <c r="G419" s="3169">
        <v>-101</v>
      </c>
      <c r="H419" s="3172">
        <v>24.3</v>
      </c>
      <c r="I419" s="3173">
        <v>850500</v>
      </c>
      <c r="J419" s="3174" t="s">
        <v>3447</v>
      </c>
      <c r="K419" s="3161"/>
      <c r="M419" s="3161"/>
    </row>
    <row r="420" spans="1:13" ht="16.5">
      <c r="A420" s="3168">
        <v>418</v>
      </c>
      <c r="B420" s="3169" t="s">
        <v>3741</v>
      </c>
      <c r="C420" s="3170" t="s">
        <v>3851</v>
      </c>
      <c r="D420" s="3171" t="s">
        <v>4686</v>
      </c>
      <c r="E420" s="3170" t="s">
        <v>4687</v>
      </c>
      <c r="F420" s="3177" t="s">
        <v>3324</v>
      </c>
      <c r="G420" s="3169">
        <v>-102</v>
      </c>
      <c r="H420" s="3172">
        <v>30.33</v>
      </c>
      <c r="I420" s="3173">
        <v>1061550</v>
      </c>
      <c r="J420" s="3174" t="s">
        <v>3447</v>
      </c>
      <c r="K420" s="3161"/>
      <c r="M420" s="3161"/>
    </row>
    <row r="421" spans="1:13" ht="16.5">
      <c r="A421" s="3168">
        <v>419</v>
      </c>
      <c r="B421" s="3169" t="s">
        <v>3741</v>
      </c>
      <c r="C421" s="3170" t="s">
        <v>3851</v>
      </c>
      <c r="D421" s="3171" t="s">
        <v>4688</v>
      </c>
      <c r="E421" s="3170" t="s">
        <v>4689</v>
      </c>
      <c r="F421" s="3177" t="s">
        <v>3324</v>
      </c>
      <c r="G421" s="3169">
        <v>-103</v>
      </c>
      <c r="H421" s="3172">
        <v>56.23</v>
      </c>
      <c r="I421" s="3173">
        <v>1968050</v>
      </c>
      <c r="J421" s="3174" t="s">
        <v>3447</v>
      </c>
      <c r="K421" s="3161"/>
      <c r="M421" s="3161"/>
    </row>
    <row r="422" spans="1:13" ht="16.5">
      <c r="A422" s="3168">
        <v>420</v>
      </c>
      <c r="B422" s="3169" t="s">
        <v>3741</v>
      </c>
      <c r="C422" s="3170" t="s">
        <v>3851</v>
      </c>
      <c r="D422" s="3171" t="s">
        <v>4690</v>
      </c>
      <c r="E422" s="3170" t="s">
        <v>4691</v>
      </c>
      <c r="F422" s="3177" t="s">
        <v>3324</v>
      </c>
      <c r="G422" s="3169">
        <v>-104</v>
      </c>
      <c r="H422" s="3172">
        <v>61.8</v>
      </c>
      <c r="I422" s="3173">
        <v>2163000</v>
      </c>
      <c r="J422" s="3174" t="s">
        <v>3447</v>
      </c>
      <c r="K422" s="3161"/>
      <c r="M422" s="3161"/>
    </row>
    <row r="423" spans="1:13" ht="16.5">
      <c r="A423" s="3168">
        <v>421</v>
      </c>
      <c r="B423" s="3169" t="s">
        <v>3741</v>
      </c>
      <c r="C423" s="3170" t="s">
        <v>3851</v>
      </c>
      <c r="D423" s="3171" t="s">
        <v>4692</v>
      </c>
      <c r="E423" s="3170" t="s">
        <v>4693</v>
      </c>
      <c r="F423" s="3177" t="s">
        <v>3324</v>
      </c>
      <c r="G423" s="3169">
        <v>-105</v>
      </c>
      <c r="H423" s="3172">
        <v>33.21</v>
      </c>
      <c r="I423" s="3173">
        <v>1162350</v>
      </c>
      <c r="J423" s="3174" t="s">
        <v>3447</v>
      </c>
      <c r="K423" s="3161"/>
      <c r="M423" s="3161"/>
    </row>
    <row r="424" spans="1:13" ht="16.5">
      <c r="A424" s="3168">
        <v>422</v>
      </c>
      <c r="B424" s="3169" t="s">
        <v>3741</v>
      </c>
      <c r="C424" s="3170" t="s">
        <v>3851</v>
      </c>
      <c r="D424" s="3171" t="s">
        <v>4694</v>
      </c>
      <c r="E424" s="3170" t="s">
        <v>4695</v>
      </c>
      <c r="F424" s="3177" t="s">
        <v>3324</v>
      </c>
      <c r="G424" s="3169">
        <v>-106</v>
      </c>
      <c r="H424" s="3172">
        <v>33.21</v>
      </c>
      <c r="I424" s="3173">
        <v>1162350</v>
      </c>
      <c r="J424" s="3174" t="s">
        <v>3447</v>
      </c>
      <c r="K424" s="3161"/>
      <c r="M424" s="3161"/>
    </row>
    <row r="425" spans="1:13" ht="16.5">
      <c r="A425" s="3168">
        <v>423</v>
      </c>
      <c r="B425" s="3169" t="s">
        <v>3741</v>
      </c>
      <c r="C425" s="3170" t="s">
        <v>3851</v>
      </c>
      <c r="D425" s="3171" t="s">
        <v>4696</v>
      </c>
      <c r="E425" s="3170" t="s">
        <v>4697</v>
      </c>
      <c r="F425" s="3177" t="s">
        <v>3324</v>
      </c>
      <c r="G425" s="3169">
        <v>-107</v>
      </c>
      <c r="H425" s="3172">
        <v>61.52</v>
      </c>
      <c r="I425" s="3173">
        <v>2153200</v>
      </c>
      <c r="J425" s="3174" t="s">
        <v>3447</v>
      </c>
      <c r="K425" s="3161"/>
      <c r="M425" s="3161"/>
    </row>
    <row r="426" spans="1:13" ht="16.5">
      <c r="A426" s="3168">
        <v>424</v>
      </c>
      <c r="B426" s="3169" t="s">
        <v>3741</v>
      </c>
      <c r="C426" s="3170" t="s">
        <v>3851</v>
      </c>
      <c r="D426" s="3171" t="s">
        <v>4698</v>
      </c>
      <c r="E426" s="3170" t="s">
        <v>4699</v>
      </c>
      <c r="F426" s="3177" t="s">
        <v>3324</v>
      </c>
      <c r="G426" s="3169">
        <v>-108</v>
      </c>
      <c r="H426" s="3172">
        <v>46.65</v>
      </c>
      <c r="I426" s="3173">
        <v>1632750</v>
      </c>
      <c r="J426" s="3174" t="s">
        <v>3447</v>
      </c>
      <c r="K426" s="3161"/>
      <c r="M426" s="3161"/>
    </row>
    <row r="427" spans="1:13" ht="16.5">
      <c r="A427" s="3168">
        <v>425</v>
      </c>
      <c r="B427" s="3169" t="s">
        <v>3741</v>
      </c>
      <c r="C427" s="3170" t="s">
        <v>3851</v>
      </c>
      <c r="D427" s="3171" t="s">
        <v>4700</v>
      </c>
      <c r="E427" s="3170" t="s">
        <v>4701</v>
      </c>
      <c r="F427" s="3177" t="s">
        <v>3324</v>
      </c>
      <c r="G427" s="3169">
        <v>-109</v>
      </c>
      <c r="H427" s="3172">
        <v>46.65</v>
      </c>
      <c r="I427" s="3173">
        <v>1632750</v>
      </c>
      <c r="J427" s="3174" t="s">
        <v>3447</v>
      </c>
      <c r="K427" s="3161"/>
      <c r="M427" s="3161"/>
    </row>
    <row r="428" spans="1:13" ht="16.5">
      <c r="A428" s="3168">
        <v>426</v>
      </c>
      <c r="B428" s="3169" t="s">
        <v>3741</v>
      </c>
      <c r="C428" s="3170" t="s">
        <v>3851</v>
      </c>
      <c r="D428" s="3171" t="s">
        <v>4702</v>
      </c>
      <c r="E428" s="3170" t="s">
        <v>4703</v>
      </c>
      <c r="F428" s="3177" t="s">
        <v>3324</v>
      </c>
      <c r="G428" s="3169">
        <v>-110</v>
      </c>
      <c r="H428" s="3172">
        <v>61.52</v>
      </c>
      <c r="I428" s="3173">
        <v>2153200</v>
      </c>
      <c r="J428" s="3174" t="s">
        <v>3447</v>
      </c>
      <c r="K428" s="3161"/>
      <c r="M428" s="3161"/>
    </row>
    <row r="429" spans="1:13" ht="16.5">
      <c r="A429" s="3168">
        <v>427</v>
      </c>
      <c r="B429" s="3169" t="s">
        <v>3741</v>
      </c>
      <c r="C429" s="3170" t="s">
        <v>3851</v>
      </c>
      <c r="D429" s="3171" t="s">
        <v>4704</v>
      </c>
      <c r="E429" s="3170" t="s">
        <v>4705</v>
      </c>
      <c r="F429" s="3177" t="s">
        <v>3324</v>
      </c>
      <c r="G429" s="3169">
        <v>-111</v>
      </c>
      <c r="H429" s="3172">
        <v>33.21</v>
      </c>
      <c r="I429" s="3173">
        <v>1162350</v>
      </c>
      <c r="J429" s="3174" t="s">
        <v>3447</v>
      </c>
      <c r="K429" s="3161"/>
      <c r="M429" s="3161"/>
    </row>
    <row r="430" spans="1:13" ht="16.5">
      <c r="A430" s="3168">
        <v>428</v>
      </c>
      <c r="B430" s="3169" t="s">
        <v>3741</v>
      </c>
      <c r="C430" s="3170" t="s">
        <v>3851</v>
      </c>
      <c r="D430" s="3171" t="s">
        <v>4706</v>
      </c>
      <c r="E430" s="3170" t="s">
        <v>4707</v>
      </c>
      <c r="F430" s="3177" t="s">
        <v>3324</v>
      </c>
      <c r="G430" s="3169">
        <v>-112</v>
      </c>
      <c r="H430" s="3172">
        <v>33.21</v>
      </c>
      <c r="I430" s="3173">
        <v>1162350</v>
      </c>
      <c r="J430" s="3174" t="s">
        <v>3447</v>
      </c>
      <c r="K430" s="3161"/>
      <c r="M430" s="3161"/>
    </row>
    <row r="431" spans="1:13" ht="16.5">
      <c r="A431" s="3168">
        <v>429</v>
      </c>
      <c r="B431" s="3169" t="s">
        <v>3741</v>
      </c>
      <c r="C431" s="3170" t="s">
        <v>3851</v>
      </c>
      <c r="D431" s="3171" t="s">
        <v>4708</v>
      </c>
      <c r="E431" s="3170" t="s">
        <v>4709</v>
      </c>
      <c r="F431" s="3177" t="s">
        <v>3324</v>
      </c>
      <c r="G431" s="3169">
        <v>-113</v>
      </c>
      <c r="H431" s="3172">
        <v>61.52</v>
      </c>
      <c r="I431" s="3173">
        <v>2153200</v>
      </c>
      <c r="J431" s="3174" t="s">
        <v>3447</v>
      </c>
      <c r="K431" s="3161"/>
      <c r="M431" s="3161"/>
    </row>
    <row r="432" spans="1:13" ht="16.5">
      <c r="A432" s="3168">
        <v>430</v>
      </c>
      <c r="B432" s="3169" t="s">
        <v>3741</v>
      </c>
      <c r="C432" s="3170" t="s">
        <v>3851</v>
      </c>
      <c r="D432" s="3171" t="s">
        <v>4710</v>
      </c>
      <c r="E432" s="3170" t="s">
        <v>4711</v>
      </c>
      <c r="F432" s="3177" t="s">
        <v>3324</v>
      </c>
      <c r="G432" s="3169">
        <v>-114</v>
      </c>
      <c r="H432" s="3172">
        <v>46.32</v>
      </c>
      <c r="I432" s="3173">
        <v>1621200</v>
      </c>
      <c r="J432" s="3174" t="s">
        <v>3447</v>
      </c>
      <c r="K432" s="3161"/>
      <c r="M432" s="3161"/>
    </row>
    <row r="433" spans="1:13" ht="16.5">
      <c r="A433" s="3168">
        <v>431</v>
      </c>
      <c r="B433" s="3169" t="s">
        <v>3741</v>
      </c>
      <c r="C433" s="3170" t="s">
        <v>3851</v>
      </c>
      <c r="D433" s="3171" t="s">
        <v>4712</v>
      </c>
      <c r="E433" s="3170" t="s">
        <v>4713</v>
      </c>
      <c r="F433" s="3177" t="s">
        <v>3324</v>
      </c>
      <c r="G433" s="3169">
        <v>-124</v>
      </c>
      <c r="H433" s="3172">
        <v>32.770000000000003</v>
      </c>
      <c r="I433" s="3173">
        <v>1146950</v>
      </c>
      <c r="J433" s="3174" t="s">
        <v>3447</v>
      </c>
      <c r="K433" s="3161"/>
      <c r="M433" s="3161"/>
    </row>
    <row r="434" spans="1:13" ht="16.5">
      <c r="A434" s="3168">
        <v>432</v>
      </c>
      <c r="B434" s="3169" t="s">
        <v>3741</v>
      </c>
      <c r="C434" s="3170" t="s">
        <v>3851</v>
      </c>
      <c r="D434" s="3171" t="s">
        <v>4714</v>
      </c>
      <c r="E434" s="3170" t="s">
        <v>4715</v>
      </c>
      <c r="F434" s="3177" t="s">
        <v>3324</v>
      </c>
      <c r="G434" s="3169">
        <v>-125</v>
      </c>
      <c r="H434" s="3172">
        <v>21.44</v>
      </c>
      <c r="I434" s="3173">
        <v>750400</v>
      </c>
      <c r="J434" s="3174" t="s">
        <v>3447</v>
      </c>
      <c r="K434" s="3161"/>
      <c r="M434" s="3161"/>
    </row>
    <row r="435" spans="1:13" ht="16.5">
      <c r="A435" s="3168">
        <v>433</v>
      </c>
      <c r="B435" s="3169" t="s">
        <v>3741</v>
      </c>
      <c r="C435" s="3170" t="s">
        <v>3851</v>
      </c>
      <c r="D435" s="3171" t="s">
        <v>4716</v>
      </c>
      <c r="E435" s="3170" t="s">
        <v>4717</v>
      </c>
      <c r="F435" s="3177" t="s">
        <v>3324</v>
      </c>
      <c r="G435" s="3169">
        <v>-126</v>
      </c>
      <c r="H435" s="3172">
        <v>42.48</v>
      </c>
      <c r="I435" s="3173">
        <v>1486800</v>
      </c>
      <c r="J435" s="3174" t="s">
        <v>3447</v>
      </c>
      <c r="K435" s="3161"/>
      <c r="M435" s="3161"/>
    </row>
    <row r="436" spans="1:13" ht="16.5">
      <c r="A436" s="3168">
        <v>434</v>
      </c>
      <c r="B436" s="3169" t="s">
        <v>3741</v>
      </c>
      <c r="C436" s="3170" t="s">
        <v>3851</v>
      </c>
      <c r="D436" s="3171" t="s">
        <v>4718</v>
      </c>
      <c r="E436" s="3170" t="s">
        <v>4719</v>
      </c>
      <c r="F436" s="3177" t="s">
        <v>3324</v>
      </c>
      <c r="G436" s="3169">
        <v>-201</v>
      </c>
      <c r="H436" s="3172">
        <v>22.34</v>
      </c>
      <c r="I436" s="3173">
        <v>781900</v>
      </c>
      <c r="J436" s="3174" t="s">
        <v>3447</v>
      </c>
      <c r="K436" s="3161"/>
      <c r="M436" s="3161"/>
    </row>
    <row r="437" spans="1:13" ht="16.5">
      <c r="A437" s="3168">
        <v>435</v>
      </c>
      <c r="B437" s="3169" t="s">
        <v>3741</v>
      </c>
      <c r="C437" s="3170" t="s">
        <v>3851</v>
      </c>
      <c r="D437" s="3171" t="s">
        <v>4720</v>
      </c>
      <c r="E437" s="3170" t="s">
        <v>4721</v>
      </c>
      <c r="F437" s="3177" t="s">
        <v>3324</v>
      </c>
      <c r="G437" s="3169">
        <v>-202</v>
      </c>
      <c r="H437" s="3172">
        <v>22.59</v>
      </c>
      <c r="I437" s="3173">
        <v>790650</v>
      </c>
      <c r="J437" s="3174" t="s">
        <v>3447</v>
      </c>
      <c r="K437" s="3161"/>
      <c r="M437" s="3161"/>
    </row>
    <row r="438" spans="1:13" ht="16.5">
      <c r="A438" s="3168">
        <v>436</v>
      </c>
      <c r="B438" s="3169" t="s">
        <v>3741</v>
      </c>
      <c r="C438" s="3170" t="s">
        <v>3851</v>
      </c>
      <c r="D438" s="3171" t="s">
        <v>4722</v>
      </c>
      <c r="E438" s="3170" t="s">
        <v>4723</v>
      </c>
      <c r="F438" s="3177" t="s">
        <v>3324</v>
      </c>
      <c r="G438" s="3169">
        <v>-203</v>
      </c>
      <c r="H438" s="3172">
        <v>22.59</v>
      </c>
      <c r="I438" s="3173">
        <v>790650</v>
      </c>
      <c r="J438" s="3174" t="s">
        <v>3447</v>
      </c>
      <c r="K438" s="3161"/>
      <c r="M438" s="3161"/>
    </row>
    <row r="439" spans="1:13" ht="16.5">
      <c r="A439" s="3168">
        <v>437</v>
      </c>
      <c r="B439" s="3169" t="s">
        <v>3741</v>
      </c>
      <c r="C439" s="3170" t="s">
        <v>3851</v>
      </c>
      <c r="D439" s="3171" t="s">
        <v>4724</v>
      </c>
      <c r="E439" s="3170" t="s">
        <v>4725</v>
      </c>
      <c r="F439" s="3177" t="s">
        <v>3324</v>
      </c>
      <c r="G439" s="3169">
        <v>-204</v>
      </c>
      <c r="H439" s="3172">
        <v>25.56</v>
      </c>
      <c r="I439" s="3173">
        <v>894600</v>
      </c>
      <c r="J439" s="3174" t="s">
        <v>3463</v>
      </c>
      <c r="K439" s="3161"/>
      <c r="M439" s="3161"/>
    </row>
    <row r="440" spans="1:13" ht="16.5">
      <c r="A440" s="3168">
        <v>438</v>
      </c>
      <c r="B440" s="3169" t="s">
        <v>3741</v>
      </c>
      <c r="C440" s="3170" t="s">
        <v>3851</v>
      </c>
      <c r="D440" s="3171" t="s">
        <v>4726</v>
      </c>
      <c r="E440" s="3170" t="s">
        <v>4727</v>
      </c>
      <c r="F440" s="3177" t="s">
        <v>3324</v>
      </c>
      <c r="G440" s="3169">
        <v>-207</v>
      </c>
      <c r="H440" s="3172">
        <v>24.1</v>
      </c>
      <c r="I440" s="3173">
        <v>843500</v>
      </c>
      <c r="J440" s="3174" t="s">
        <v>3447</v>
      </c>
      <c r="K440" s="3161"/>
      <c r="M440" s="3161"/>
    </row>
    <row r="441" spans="1:13" ht="16.5">
      <c r="A441" s="3168">
        <v>439</v>
      </c>
      <c r="B441" s="3169" t="s">
        <v>3741</v>
      </c>
      <c r="C441" s="3170" t="s">
        <v>3851</v>
      </c>
      <c r="D441" s="3171" t="s">
        <v>4728</v>
      </c>
      <c r="E441" s="3170" t="s">
        <v>4729</v>
      </c>
      <c r="F441" s="3177" t="s">
        <v>3324</v>
      </c>
      <c r="G441" s="3169">
        <v>-208</v>
      </c>
      <c r="H441" s="3172">
        <v>30.67</v>
      </c>
      <c r="I441" s="3173">
        <v>1073450</v>
      </c>
      <c r="J441" s="3174" t="s">
        <v>3447</v>
      </c>
      <c r="K441" s="3161"/>
      <c r="M441" s="3161"/>
    </row>
    <row r="442" spans="1:13" ht="16.5">
      <c r="A442" s="3168">
        <v>440</v>
      </c>
      <c r="B442" s="3169" t="s">
        <v>3741</v>
      </c>
      <c r="C442" s="3170" t="s">
        <v>3851</v>
      </c>
      <c r="D442" s="3171" t="s">
        <v>4730</v>
      </c>
      <c r="E442" s="3170" t="s">
        <v>4731</v>
      </c>
      <c r="F442" s="3177" t="s">
        <v>3324</v>
      </c>
      <c r="G442" s="3169">
        <v>-209</v>
      </c>
      <c r="H442" s="3172">
        <v>27.09</v>
      </c>
      <c r="I442" s="3173">
        <v>948150</v>
      </c>
      <c r="J442" s="3174" t="s">
        <v>3447</v>
      </c>
      <c r="K442" s="3161"/>
      <c r="M442" s="3161"/>
    </row>
    <row r="443" spans="1:13" ht="16.5">
      <c r="A443" s="3168">
        <v>441</v>
      </c>
      <c r="B443" s="3169" t="s">
        <v>3741</v>
      </c>
      <c r="C443" s="3170" t="s">
        <v>3851</v>
      </c>
      <c r="D443" s="3171" t="s">
        <v>4732</v>
      </c>
      <c r="E443" s="3170" t="s">
        <v>4733</v>
      </c>
      <c r="F443" s="3177" t="s">
        <v>3324</v>
      </c>
      <c r="G443" s="3169">
        <v>-210</v>
      </c>
      <c r="H443" s="3172">
        <v>21.28</v>
      </c>
      <c r="I443" s="3173">
        <v>744800</v>
      </c>
      <c r="J443" s="3174" t="s">
        <v>3463</v>
      </c>
      <c r="K443" s="3161"/>
      <c r="M443" s="3161"/>
    </row>
    <row r="444" spans="1:13" ht="16.5">
      <c r="A444" s="3168">
        <v>442</v>
      </c>
      <c r="B444" s="3169" t="s">
        <v>3741</v>
      </c>
      <c r="C444" s="3170" t="s">
        <v>3851</v>
      </c>
      <c r="D444" s="3171" t="s">
        <v>4734</v>
      </c>
      <c r="E444" s="3170" t="s">
        <v>4735</v>
      </c>
      <c r="F444" s="3177" t="s">
        <v>3324</v>
      </c>
      <c r="G444" s="3169">
        <v>-213</v>
      </c>
      <c r="H444" s="3172">
        <v>16.12</v>
      </c>
      <c r="I444" s="3173">
        <v>564200</v>
      </c>
      <c r="J444" s="3174" t="s">
        <v>3447</v>
      </c>
      <c r="K444" s="3161"/>
      <c r="M444" s="3161"/>
    </row>
    <row r="445" spans="1:13" ht="16.5">
      <c r="A445" s="3168">
        <v>443</v>
      </c>
      <c r="B445" s="3169" t="s">
        <v>3741</v>
      </c>
      <c r="C445" s="3170" t="s">
        <v>3851</v>
      </c>
      <c r="D445" s="3171" t="s">
        <v>4736</v>
      </c>
      <c r="E445" s="3170" t="s">
        <v>4737</v>
      </c>
      <c r="F445" s="3177" t="s">
        <v>3324</v>
      </c>
      <c r="G445" s="3169">
        <v>-216</v>
      </c>
      <c r="H445" s="3172">
        <v>22.59</v>
      </c>
      <c r="I445" s="3173">
        <v>790650</v>
      </c>
      <c r="J445" s="3174" t="s">
        <v>3447</v>
      </c>
      <c r="K445" s="3161"/>
      <c r="M445" s="3161"/>
    </row>
    <row r="446" spans="1:13" ht="16.5">
      <c r="A446" s="3168">
        <v>444</v>
      </c>
      <c r="B446" s="3169" t="s">
        <v>3756</v>
      </c>
      <c r="C446" s="3170" t="s">
        <v>3851</v>
      </c>
      <c r="D446" s="3171" t="s">
        <v>4738</v>
      </c>
      <c r="E446" s="3170" t="s">
        <v>4739</v>
      </c>
      <c r="F446" s="3177" t="s">
        <v>3324</v>
      </c>
      <c r="G446" s="3169">
        <v>-101</v>
      </c>
      <c r="H446" s="3172">
        <v>24.49</v>
      </c>
      <c r="I446" s="3173">
        <v>857150</v>
      </c>
      <c r="J446" s="3174" t="s">
        <v>3447</v>
      </c>
      <c r="K446" s="3161"/>
      <c r="M446" s="3161"/>
    </row>
    <row r="447" spans="1:13" ht="16.5">
      <c r="A447" s="3168">
        <v>445</v>
      </c>
      <c r="B447" s="3169" t="s">
        <v>3756</v>
      </c>
      <c r="C447" s="3170" t="s">
        <v>3851</v>
      </c>
      <c r="D447" s="3171" t="s">
        <v>4740</v>
      </c>
      <c r="E447" s="3170" t="s">
        <v>4741</v>
      </c>
      <c r="F447" s="3177" t="s">
        <v>3324</v>
      </c>
      <c r="G447" s="3169">
        <v>-102</v>
      </c>
      <c r="H447" s="3172">
        <v>30.56</v>
      </c>
      <c r="I447" s="3173">
        <v>1069600</v>
      </c>
      <c r="J447" s="3174" t="s">
        <v>3447</v>
      </c>
      <c r="K447" s="3161"/>
      <c r="M447" s="3161"/>
    </row>
    <row r="448" spans="1:13" ht="16.5">
      <c r="A448" s="3168">
        <v>446</v>
      </c>
      <c r="B448" s="3169" t="s">
        <v>3756</v>
      </c>
      <c r="C448" s="3170" t="s">
        <v>3851</v>
      </c>
      <c r="D448" s="3171" t="s">
        <v>4742</v>
      </c>
      <c r="E448" s="3170" t="s">
        <v>4743</v>
      </c>
      <c r="F448" s="3177" t="s">
        <v>3324</v>
      </c>
      <c r="G448" s="3169">
        <v>-103</v>
      </c>
      <c r="H448" s="3172">
        <v>56.66</v>
      </c>
      <c r="I448" s="3173">
        <v>1983100</v>
      </c>
      <c r="J448" s="3174" t="s">
        <v>3447</v>
      </c>
      <c r="K448" s="3161"/>
      <c r="M448" s="3161"/>
    </row>
    <row r="449" spans="1:13" ht="16.5">
      <c r="A449" s="3168">
        <v>447</v>
      </c>
      <c r="B449" s="3169" t="s">
        <v>3756</v>
      </c>
      <c r="C449" s="3170" t="s">
        <v>3851</v>
      </c>
      <c r="D449" s="3171" t="s">
        <v>4744</v>
      </c>
      <c r="E449" s="3170" t="s">
        <v>4745</v>
      </c>
      <c r="F449" s="3177" t="s">
        <v>3324</v>
      </c>
      <c r="G449" s="3169">
        <v>-104</v>
      </c>
      <c r="H449" s="3172">
        <v>62.27</v>
      </c>
      <c r="I449" s="3173">
        <v>2179450</v>
      </c>
      <c r="J449" s="3174" t="s">
        <v>3447</v>
      </c>
      <c r="K449" s="3161"/>
      <c r="M449" s="3161"/>
    </row>
    <row r="450" spans="1:13" ht="16.5">
      <c r="A450" s="3168">
        <v>448</v>
      </c>
      <c r="B450" s="3169" t="s">
        <v>3756</v>
      </c>
      <c r="C450" s="3170" t="s">
        <v>3851</v>
      </c>
      <c r="D450" s="3171" t="s">
        <v>4746</v>
      </c>
      <c r="E450" s="3170" t="s">
        <v>4747</v>
      </c>
      <c r="F450" s="3177" t="s">
        <v>3324</v>
      </c>
      <c r="G450" s="3169">
        <v>-105</v>
      </c>
      <c r="H450" s="3172">
        <v>33.46</v>
      </c>
      <c r="I450" s="3173">
        <v>1171100</v>
      </c>
      <c r="J450" s="3174" t="s">
        <v>3447</v>
      </c>
      <c r="K450" s="3161"/>
      <c r="M450" s="3161"/>
    </row>
    <row r="451" spans="1:13" ht="16.5">
      <c r="A451" s="3168">
        <v>449</v>
      </c>
      <c r="B451" s="3169" t="s">
        <v>3756</v>
      </c>
      <c r="C451" s="3170" t="s">
        <v>3851</v>
      </c>
      <c r="D451" s="3171" t="s">
        <v>4748</v>
      </c>
      <c r="E451" s="3170" t="s">
        <v>4749</v>
      </c>
      <c r="F451" s="3177" t="s">
        <v>3324</v>
      </c>
      <c r="G451" s="3169">
        <v>-109</v>
      </c>
      <c r="H451" s="3172">
        <v>47</v>
      </c>
      <c r="I451" s="3173">
        <v>1645000</v>
      </c>
      <c r="J451" s="3174" t="s">
        <v>3463</v>
      </c>
      <c r="K451" s="3161"/>
      <c r="M451" s="3161"/>
    </row>
    <row r="452" spans="1:13" ht="16.5">
      <c r="A452" s="3168">
        <v>450</v>
      </c>
      <c r="B452" s="3169" t="s">
        <v>3756</v>
      </c>
      <c r="C452" s="3170" t="s">
        <v>3851</v>
      </c>
      <c r="D452" s="3171" t="s">
        <v>4750</v>
      </c>
      <c r="E452" s="3170" t="s">
        <v>4751</v>
      </c>
      <c r="F452" s="3177" t="s">
        <v>3324</v>
      </c>
      <c r="G452" s="3169">
        <v>-110</v>
      </c>
      <c r="H452" s="3172">
        <v>61.99</v>
      </c>
      <c r="I452" s="3173">
        <v>2169650</v>
      </c>
      <c r="J452" s="3174" t="s">
        <v>3463</v>
      </c>
      <c r="K452" s="3161"/>
      <c r="M452" s="3161"/>
    </row>
    <row r="453" spans="1:13" ht="16.5">
      <c r="A453" s="3168">
        <v>451</v>
      </c>
      <c r="B453" s="3169" t="s">
        <v>3756</v>
      </c>
      <c r="C453" s="3170" t="s">
        <v>3851</v>
      </c>
      <c r="D453" s="3171" t="s">
        <v>4752</v>
      </c>
      <c r="E453" s="3170" t="s">
        <v>4753</v>
      </c>
      <c r="F453" s="3177" t="s">
        <v>3324</v>
      </c>
      <c r="G453" s="3169">
        <v>-111</v>
      </c>
      <c r="H453" s="3172">
        <v>33.46</v>
      </c>
      <c r="I453" s="3173">
        <v>1171100</v>
      </c>
      <c r="J453" s="3174" t="s">
        <v>3463</v>
      </c>
      <c r="K453" s="3161"/>
      <c r="M453" s="3161"/>
    </row>
    <row r="454" spans="1:13" ht="16.5">
      <c r="A454" s="3168">
        <v>452</v>
      </c>
      <c r="B454" s="3169" t="s">
        <v>3756</v>
      </c>
      <c r="C454" s="3170" t="s">
        <v>3851</v>
      </c>
      <c r="D454" s="3171" t="s">
        <v>4754</v>
      </c>
      <c r="E454" s="3170" t="s">
        <v>4755</v>
      </c>
      <c r="F454" s="3177" t="s">
        <v>3324</v>
      </c>
      <c r="G454" s="3169">
        <v>-115</v>
      </c>
      <c r="H454" s="3172">
        <v>46.67</v>
      </c>
      <c r="I454" s="3173">
        <v>1633450</v>
      </c>
      <c r="J454" s="3174" t="s">
        <v>3447</v>
      </c>
      <c r="K454" s="3161"/>
      <c r="M454" s="3161"/>
    </row>
    <row r="455" spans="1:13" ht="16.5">
      <c r="A455" s="3168">
        <v>453</v>
      </c>
      <c r="B455" s="3169" t="s">
        <v>3756</v>
      </c>
      <c r="C455" s="3170" t="s">
        <v>3851</v>
      </c>
      <c r="D455" s="3171" t="s">
        <v>4756</v>
      </c>
      <c r="E455" s="3170" t="s">
        <v>4757</v>
      </c>
      <c r="F455" s="3177" t="s">
        <v>3324</v>
      </c>
      <c r="G455" s="3169">
        <v>-116</v>
      </c>
      <c r="H455" s="3172">
        <v>61.99</v>
      </c>
      <c r="I455" s="3173">
        <v>2169650</v>
      </c>
      <c r="J455" s="3174" t="s">
        <v>3447</v>
      </c>
    </row>
    <row r="456" spans="1:13" ht="16.5">
      <c r="A456" s="3168">
        <v>454</v>
      </c>
      <c r="B456" s="3169" t="s">
        <v>3756</v>
      </c>
      <c r="C456" s="3170" t="s">
        <v>3851</v>
      </c>
      <c r="D456" s="3171" t="s">
        <v>4758</v>
      </c>
      <c r="E456" s="3170" t="s">
        <v>4759</v>
      </c>
      <c r="F456" s="3177" t="s">
        <v>3324</v>
      </c>
      <c r="G456" s="3169">
        <v>-117</v>
      </c>
      <c r="H456" s="3172">
        <v>33.46</v>
      </c>
      <c r="I456" s="3173">
        <v>1171100</v>
      </c>
      <c r="J456" s="3174" t="s">
        <v>3447</v>
      </c>
    </row>
    <row r="457" spans="1:13" ht="16.5">
      <c r="A457" s="3168">
        <v>455</v>
      </c>
      <c r="B457" s="3169" t="s">
        <v>3756</v>
      </c>
      <c r="C457" s="3170" t="s">
        <v>3851</v>
      </c>
      <c r="D457" s="3171" t="s">
        <v>4760</v>
      </c>
      <c r="E457" s="3170" t="s">
        <v>4761</v>
      </c>
      <c r="F457" s="3177" t="s">
        <v>3324</v>
      </c>
      <c r="G457" s="3169">
        <v>-118</v>
      </c>
      <c r="H457" s="3172">
        <v>33.46</v>
      </c>
      <c r="I457" s="3173">
        <v>1171100</v>
      </c>
      <c r="J457" s="3174" t="s">
        <v>3447</v>
      </c>
    </row>
    <row r="458" spans="1:13" ht="16.5">
      <c r="A458" s="3168">
        <v>456</v>
      </c>
      <c r="B458" s="3169" t="s">
        <v>3756</v>
      </c>
      <c r="C458" s="3170" t="s">
        <v>3851</v>
      </c>
      <c r="D458" s="3171" t="s">
        <v>4762</v>
      </c>
      <c r="E458" s="3170" t="s">
        <v>4763</v>
      </c>
      <c r="F458" s="3177" t="s">
        <v>3324</v>
      </c>
      <c r="G458" s="3169">
        <v>-119</v>
      </c>
      <c r="H458" s="3172">
        <v>62.27</v>
      </c>
      <c r="I458" s="3173">
        <v>2179450</v>
      </c>
      <c r="J458" s="3174" t="s">
        <v>3447</v>
      </c>
    </row>
    <row r="459" spans="1:13" ht="16.5">
      <c r="A459" s="3168">
        <v>457</v>
      </c>
      <c r="B459" s="3169" t="s">
        <v>3756</v>
      </c>
      <c r="C459" s="3170" t="s">
        <v>3851</v>
      </c>
      <c r="D459" s="3171" t="s">
        <v>4764</v>
      </c>
      <c r="E459" s="3170" t="s">
        <v>4765</v>
      </c>
      <c r="F459" s="3177" t="s">
        <v>3324</v>
      </c>
      <c r="G459" s="3169">
        <v>-120</v>
      </c>
      <c r="H459" s="3172">
        <v>56.66</v>
      </c>
      <c r="I459" s="3173">
        <v>1983100</v>
      </c>
      <c r="J459" s="3174" t="s">
        <v>3447</v>
      </c>
    </row>
    <row r="460" spans="1:13" ht="16.5">
      <c r="A460" s="3168">
        <v>458</v>
      </c>
      <c r="B460" s="3169" t="s">
        <v>3756</v>
      </c>
      <c r="C460" s="3170" t="s">
        <v>3851</v>
      </c>
      <c r="D460" s="3171" t="s">
        <v>4766</v>
      </c>
      <c r="E460" s="3170" t="s">
        <v>4767</v>
      </c>
      <c r="F460" s="3177" t="s">
        <v>3324</v>
      </c>
      <c r="G460" s="3169">
        <v>-121</v>
      </c>
      <c r="H460" s="3172">
        <v>30.56</v>
      </c>
      <c r="I460" s="3173">
        <v>1069600</v>
      </c>
      <c r="J460" s="3174" t="s">
        <v>3447</v>
      </c>
    </row>
    <row r="461" spans="1:13" ht="16.5">
      <c r="A461" s="3168">
        <v>459</v>
      </c>
      <c r="B461" s="3169" t="s">
        <v>3756</v>
      </c>
      <c r="C461" s="3170" t="s">
        <v>3851</v>
      </c>
      <c r="D461" s="3171" t="s">
        <v>4768</v>
      </c>
      <c r="E461" s="3170" t="s">
        <v>4769</v>
      </c>
      <c r="F461" s="3177" t="s">
        <v>3324</v>
      </c>
      <c r="G461" s="3169">
        <v>-122</v>
      </c>
      <c r="H461" s="3172">
        <v>24.49</v>
      </c>
      <c r="I461" s="3173">
        <v>857150</v>
      </c>
      <c r="J461" s="3174" t="s">
        <v>3447</v>
      </c>
    </row>
    <row r="462" spans="1:13" ht="16.5">
      <c r="A462" s="3168">
        <v>460</v>
      </c>
      <c r="B462" s="3169" t="s">
        <v>3756</v>
      </c>
      <c r="C462" s="3170" t="s">
        <v>3851</v>
      </c>
      <c r="D462" s="3171" t="s">
        <v>4770</v>
      </c>
      <c r="E462" s="3170" t="s">
        <v>4771</v>
      </c>
      <c r="F462" s="3177" t="s">
        <v>3324</v>
      </c>
      <c r="G462" s="3169">
        <v>-126</v>
      </c>
      <c r="H462" s="3172">
        <v>42.81</v>
      </c>
      <c r="I462" s="3173">
        <v>1498350</v>
      </c>
      <c r="J462" s="3174" t="s">
        <v>3447</v>
      </c>
    </row>
    <row r="463" spans="1:13" ht="16.5">
      <c r="A463" s="3168">
        <v>461</v>
      </c>
      <c r="B463" s="3169" t="s">
        <v>3756</v>
      </c>
      <c r="C463" s="3170" t="s">
        <v>3851</v>
      </c>
      <c r="D463" s="3171" t="s">
        <v>4772</v>
      </c>
      <c r="E463" s="3170" t="s">
        <v>4773</v>
      </c>
      <c r="F463" s="3177" t="s">
        <v>3324</v>
      </c>
      <c r="G463" s="3169">
        <v>-201</v>
      </c>
      <c r="H463" s="3172">
        <v>22.51</v>
      </c>
      <c r="I463" s="3173">
        <v>787850</v>
      </c>
      <c r="J463" s="3174" t="s">
        <v>3447</v>
      </c>
    </row>
    <row r="464" spans="1:13" ht="16.5">
      <c r="A464" s="3168">
        <v>462</v>
      </c>
      <c r="B464" s="3169" t="s">
        <v>3756</v>
      </c>
      <c r="C464" s="3170" t="s">
        <v>3851</v>
      </c>
      <c r="D464" s="3171" t="s">
        <v>4774</v>
      </c>
      <c r="E464" s="3170" t="s">
        <v>4775</v>
      </c>
      <c r="F464" s="3177" t="s">
        <v>3324</v>
      </c>
      <c r="G464" s="3169">
        <v>-202</v>
      </c>
      <c r="H464" s="3172">
        <v>25.39</v>
      </c>
      <c r="I464" s="3173">
        <v>888650</v>
      </c>
      <c r="J464" s="3174" t="s">
        <v>3447</v>
      </c>
    </row>
    <row r="465" spans="1:10" ht="16.5">
      <c r="A465" s="3168">
        <v>463</v>
      </c>
      <c r="B465" s="3169" t="s">
        <v>3756</v>
      </c>
      <c r="C465" s="3170" t="s">
        <v>3851</v>
      </c>
      <c r="D465" s="3171" t="s">
        <v>4776</v>
      </c>
      <c r="E465" s="3170" t="s">
        <v>4777</v>
      </c>
      <c r="F465" s="3177" t="s">
        <v>3324</v>
      </c>
      <c r="G465" s="3169">
        <v>-203</v>
      </c>
      <c r="H465" s="3172">
        <v>26.12</v>
      </c>
      <c r="I465" s="3173">
        <v>914200</v>
      </c>
      <c r="J465" s="3174" t="s">
        <v>3447</v>
      </c>
    </row>
    <row r="466" spans="1:10" ht="16.5">
      <c r="A466" s="3168">
        <v>464</v>
      </c>
      <c r="B466" s="3169" t="s">
        <v>3756</v>
      </c>
      <c r="C466" s="3170" t="s">
        <v>3851</v>
      </c>
      <c r="D466" s="3171" t="s">
        <v>4778</v>
      </c>
      <c r="E466" s="3170" t="s">
        <v>4779</v>
      </c>
      <c r="F466" s="3177" t="s">
        <v>3324</v>
      </c>
      <c r="G466" s="3169">
        <v>-204</v>
      </c>
      <c r="H466" s="3172">
        <v>24.28</v>
      </c>
      <c r="I466" s="3173">
        <v>849800</v>
      </c>
      <c r="J466" s="3174" t="s">
        <v>3447</v>
      </c>
    </row>
    <row r="467" spans="1:10" ht="16.5">
      <c r="A467" s="3168">
        <v>465</v>
      </c>
      <c r="B467" s="3169" t="s">
        <v>3756</v>
      </c>
      <c r="C467" s="3170" t="s">
        <v>3851</v>
      </c>
      <c r="D467" s="3171" t="s">
        <v>4780</v>
      </c>
      <c r="E467" s="3170" t="s">
        <v>4781</v>
      </c>
      <c r="F467" s="3177" t="s">
        <v>3324</v>
      </c>
      <c r="G467" s="3169">
        <v>-208</v>
      </c>
      <c r="H467" s="3172">
        <v>21.5</v>
      </c>
      <c r="I467" s="3173">
        <v>752500</v>
      </c>
      <c r="J467" s="3174" t="s">
        <v>3447</v>
      </c>
    </row>
    <row r="468" spans="1:10" ht="16.5">
      <c r="A468" s="3168">
        <v>466</v>
      </c>
      <c r="B468" s="3169" t="s">
        <v>3756</v>
      </c>
      <c r="C468" s="3170" t="s">
        <v>3851</v>
      </c>
      <c r="D468" s="3171" t="s">
        <v>4782</v>
      </c>
      <c r="E468" s="3170" t="s">
        <v>4783</v>
      </c>
      <c r="F468" s="3177" t="s">
        <v>3324</v>
      </c>
      <c r="G468" s="3169">
        <v>-209</v>
      </c>
      <c r="H468" s="3172">
        <v>22.76</v>
      </c>
      <c r="I468" s="3173">
        <v>796600</v>
      </c>
      <c r="J468" s="3174" t="s">
        <v>3447</v>
      </c>
    </row>
    <row r="469" spans="1:10" ht="16.5">
      <c r="A469" s="3168">
        <v>467</v>
      </c>
      <c r="B469" s="3169" t="s">
        <v>3756</v>
      </c>
      <c r="C469" s="3170" t="s">
        <v>3851</v>
      </c>
      <c r="D469" s="3171" t="s">
        <v>4784</v>
      </c>
      <c r="E469" s="3170" t="s">
        <v>4785</v>
      </c>
      <c r="F469" s="3177" t="s">
        <v>3324</v>
      </c>
      <c r="G469" s="3169">
        <v>-211</v>
      </c>
      <c r="H469" s="3172">
        <v>22.76</v>
      </c>
      <c r="I469" s="3173">
        <v>796600</v>
      </c>
      <c r="J469" s="3174" t="s">
        <v>3463</v>
      </c>
    </row>
    <row r="470" spans="1:10">
      <c r="H470" s="3176">
        <f>SUM(H3:H469)</f>
        <v>16546.309999999998</v>
      </c>
    </row>
    <row r="471" spans="1:10">
      <c r="H471" s="3176" t="e">
        <f>'新范围-仓储'!#REF!</f>
        <v>#REF!</v>
      </c>
    </row>
    <row r="472" spans="1:10">
      <c r="H472" s="3176" t="e">
        <f>H470-H471</f>
        <v>#REF!</v>
      </c>
    </row>
  </sheetData>
  <autoFilter ref="A2:P454" xr:uid="{00000000-0009-0000-0000-00000F000000}"/>
  <mergeCells count="1">
    <mergeCell ref="A1:H1"/>
  </mergeCells>
  <phoneticPr fontId="134" type="noConversion"/>
  <conditionalFormatting sqref="D3:D262">
    <cfRule type="duplicateValues" dxfId="1464" priority="415"/>
    <cfRule type="expression" dxfId="1463" priority="416">
      <formula>AND(SUMPRODUCT(IFERROR(1*(($D$3:$D$452&amp;"x")=(D3&amp;"x")),0))&gt;1,NOT(ISBLANK(D3)))</formula>
    </cfRule>
  </conditionalFormatting>
  <conditionalFormatting sqref="D263">
    <cfRule type="duplicateValues" dxfId="1462" priority="207"/>
    <cfRule type="expression" dxfId="1461" priority="414">
      <formula>AND(SUMPRODUCT(IFERROR(1*(($D$453&amp;"x")=(D263&amp;"x")),0))&gt;1,NOT(ISBLANK(D263)))</formula>
    </cfRule>
  </conditionalFormatting>
  <conditionalFormatting sqref="D264">
    <cfRule type="expression" dxfId="1460" priority="413">
      <formula>AND(SUMPRODUCT(IFERROR(1*(($D$454&amp;"x")=(D264&amp;"x")),0))&gt;1,NOT(ISBLANK(D264)))</formula>
    </cfRule>
    <cfRule type="duplicateValues" dxfId="1459" priority="206"/>
  </conditionalFormatting>
  <conditionalFormatting sqref="D265">
    <cfRule type="expression" dxfId="1458" priority="412">
      <formula>AND(SUMPRODUCT(IFERROR(1*(($D$455&amp;"x")=(D265&amp;"x")),0))&gt;1,NOT(ISBLANK(D265)))</formula>
    </cfRule>
    <cfRule type="duplicateValues" dxfId="1457" priority="205"/>
  </conditionalFormatting>
  <conditionalFormatting sqref="D266">
    <cfRule type="expression" dxfId="1456" priority="411">
      <formula>AND(SUMPRODUCT(IFERROR(1*(($D$456&amp;"x")=(D266&amp;"x")),0))&gt;1,NOT(ISBLANK(D266)))</formula>
    </cfRule>
    <cfRule type="duplicateValues" dxfId="1455" priority="204"/>
  </conditionalFormatting>
  <conditionalFormatting sqref="D267">
    <cfRule type="duplicateValues" dxfId="1454" priority="203"/>
    <cfRule type="expression" dxfId="1453" priority="410">
      <formula>AND(SUMPRODUCT(IFERROR(1*(($D$457&amp;"x")=(D267&amp;"x")),0))&gt;1,NOT(ISBLANK(D267)))</formula>
    </cfRule>
  </conditionalFormatting>
  <conditionalFormatting sqref="D268">
    <cfRule type="expression" dxfId="1452" priority="409">
      <formula>AND(SUMPRODUCT(IFERROR(1*(($D$458&amp;"x")=(D268&amp;"x")),0))&gt;1,NOT(ISBLANK(D268)))</formula>
    </cfRule>
    <cfRule type="duplicateValues" dxfId="1451" priority="202"/>
  </conditionalFormatting>
  <conditionalFormatting sqref="D269">
    <cfRule type="expression" dxfId="1450" priority="408">
      <formula>AND(SUMPRODUCT(IFERROR(1*(($D$459&amp;"x")=(D269&amp;"x")),0))&gt;1,NOT(ISBLANK(D269)))</formula>
    </cfRule>
    <cfRule type="duplicateValues" dxfId="1449" priority="201"/>
  </conditionalFormatting>
  <conditionalFormatting sqref="D270">
    <cfRule type="expression" dxfId="1448" priority="407">
      <formula>AND(SUMPRODUCT(IFERROR(1*(($D$460&amp;"x")=(D270&amp;"x")),0))&gt;1,NOT(ISBLANK(D270)))</formula>
    </cfRule>
    <cfRule type="duplicateValues" dxfId="1447" priority="200"/>
  </conditionalFormatting>
  <conditionalFormatting sqref="D271">
    <cfRule type="expression" dxfId="1446" priority="406">
      <formula>AND(SUMPRODUCT(IFERROR(1*(($D$461&amp;"x")=(D271&amp;"x")),0))&gt;1,NOT(ISBLANK(D271)))</formula>
    </cfRule>
    <cfRule type="duplicateValues" dxfId="1445" priority="199"/>
  </conditionalFormatting>
  <conditionalFormatting sqref="D272">
    <cfRule type="expression" dxfId="1444" priority="405">
      <formula>AND(SUMPRODUCT(IFERROR(1*(($D$462&amp;"x")=(D272&amp;"x")),0))&gt;1,NOT(ISBLANK(D272)))</formula>
    </cfRule>
    <cfRule type="duplicateValues" dxfId="1443" priority="198"/>
  </conditionalFormatting>
  <conditionalFormatting sqref="D273">
    <cfRule type="expression" dxfId="1442" priority="404">
      <formula>AND(SUMPRODUCT(IFERROR(1*(($D$463&amp;"x")=(D273&amp;"x")),0))&gt;1,NOT(ISBLANK(D273)))</formula>
    </cfRule>
    <cfRule type="duplicateValues" dxfId="1441" priority="197"/>
  </conditionalFormatting>
  <conditionalFormatting sqref="D274">
    <cfRule type="expression" dxfId="1440" priority="403">
      <formula>AND(SUMPRODUCT(IFERROR(1*(($D$464&amp;"x")=(D274&amp;"x")),0))&gt;1,NOT(ISBLANK(D274)))</formula>
    </cfRule>
    <cfRule type="duplicateValues" dxfId="1439" priority="196"/>
  </conditionalFormatting>
  <conditionalFormatting sqref="D275">
    <cfRule type="expression" dxfId="1438" priority="402">
      <formula>AND(SUMPRODUCT(IFERROR(1*(($D$465&amp;"x")=(D275&amp;"x")),0))&gt;1,NOT(ISBLANK(D275)))</formula>
    </cfRule>
    <cfRule type="duplicateValues" dxfId="1437" priority="195"/>
  </conditionalFormatting>
  <conditionalFormatting sqref="D276">
    <cfRule type="duplicateValues" dxfId="1436" priority="194"/>
    <cfRule type="expression" dxfId="1435" priority="401">
      <formula>AND(SUMPRODUCT(IFERROR(1*(($D$466&amp;"x")=(D276&amp;"x")),0))&gt;1,NOT(ISBLANK(D276)))</formula>
    </cfRule>
  </conditionalFormatting>
  <conditionalFormatting sqref="D277">
    <cfRule type="duplicateValues" dxfId="1434" priority="193"/>
    <cfRule type="expression" dxfId="1433" priority="400">
      <formula>AND(SUMPRODUCT(IFERROR(1*(($D$467&amp;"x")=(D277&amp;"x")),0))&gt;1,NOT(ISBLANK(D277)))</formula>
    </cfRule>
  </conditionalFormatting>
  <conditionalFormatting sqref="D278">
    <cfRule type="duplicateValues" dxfId="1432" priority="192"/>
    <cfRule type="expression" dxfId="1431" priority="399">
      <formula>AND(SUMPRODUCT(IFERROR(1*(($D$468&amp;"x")=(D278&amp;"x")),0))&gt;1,NOT(ISBLANK(D278)))</formula>
    </cfRule>
  </conditionalFormatting>
  <conditionalFormatting sqref="D279">
    <cfRule type="expression" dxfId="1430" priority="398">
      <formula>AND(SUMPRODUCT(IFERROR(1*(($D$469&amp;"x")=(D279&amp;"x")),0))&gt;1,NOT(ISBLANK(D279)))</formula>
    </cfRule>
    <cfRule type="duplicateValues" dxfId="1429" priority="191"/>
  </conditionalFormatting>
  <conditionalFormatting sqref="D280">
    <cfRule type="duplicateValues" dxfId="1428" priority="190"/>
    <cfRule type="expression" dxfId="1427" priority="397">
      <formula>AND(SUMPRODUCT(IFERROR(1*(($D$470&amp;"x")=(D280&amp;"x")),0))&gt;1,NOT(ISBLANK(D280)))</formula>
    </cfRule>
  </conditionalFormatting>
  <conditionalFormatting sqref="D281">
    <cfRule type="expression" dxfId="1426" priority="396">
      <formula>AND(SUMPRODUCT(IFERROR(1*(($D$471&amp;"x")=(D281&amp;"x")),0))&gt;1,NOT(ISBLANK(D281)))</formula>
    </cfRule>
    <cfRule type="duplicateValues" dxfId="1425" priority="189"/>
  </conditionalFormatting>
  <conditionalFormatting sqref="D282">
    <cfRule type="expression" dxfId="1424" priority="395">
      <formula>AND(SUMPRODUCT(IFERROR(1*(($D$472&amp;"x")=(D282&amp;"x")),0))&gt;1,NOT(ISBLANK(D282)))</formula>
    </cfRule>
    <cfRule type="duplicateValues" dxfId="1423" priority="188"/>
  </conditionalFormatting>
  <conditionalFormatting sqref="D283">
    <cfRule type="expression" dxfId="1422" priority="394">
      <formula>AND(SUMPRODUCT(IFERROR(1*(($D$473&amp;"x")=(D283&amp;"x")),0))&gt;1,NOT(ISBLANK(D283)))</formula>
    </cfRule>
    <cfRule type="duplicateValues" dxfId="1421" priority="187"/>
  </conditionalFormatting>
  <conditionalFormatting sqref="D284">
    <cfRule type="expression" dxfId="1420" priority="393">
      <formula>AND(SUMPRODUCT(IFERROR(1*(($D$474&amp;"x")=(D284&amp;"x")),0))&gt;1,NOT(ISBLANK(D284)))</formula>
    </cfRule>
    <cfRule type="duplicateValues" dxfId="1419" priority="186"/>
  </conditionalFormatting>
  <conditionalFormatting sqref="D285">
    <cfRule type="expression" dxfId="1418" priority="392">
      <formula>AND(SUMPRODUCT(IFERROR(1*(($D$475&amp;"x")=(D285&amp;"x")),0))&gt;1,NOT(ISBLANK(D285)))</formula>
    </cfRule>
    <cfRule type="duplicateValues" dxfId="1417" priority="185"/>
  </conditionalFormatting>
  <conditionalFormatting sqref="D286">
    <cfRule type="expression" dxfId="1416" priority="391">
      <formula>AND(SUMPRODUCT(IFERROR(1*(($D$476&amp;"x")=(D286&amp;"x")),0))&gt;1,NOT(ISBLANK(D286)))</formula>
    </cfRule>
    <cfRule type="duplicateValues" dxfId="1415" priority="184"/>
  </conditionalFormatting>
  <conditionalFormatting sqref="D287">
    <cfRule type="expression" dxfId="1414" priority="390">
      <formula>AND(SUMPRODUCT(IFERROR(1*(($D$477&amp;"x")=(D287&amp;"x")),0))&gt;1,NOT(ISBLANK(D287)))</formula>
    </cfRule>
    <cfRule type="duplicateValues" dxfId="1413" priority="183"/>
  </conditionalFormatting>
  <conditionalFormatting sqref="D288">
    <cfRule type="expression" dxfId="1412" priority="389">
      <formula>AND(SUMPRODUCT(IFERROR(1*(($D$478&amp;"x")=(D288&amp;"x")),0))&gt;1,NOT(ISBLANK(D288)))</formula>
    </cfRule>
    <cfRule type="duplicateValues" dxfId="1411" priority="182"/>
  </conditionalFormatting>
  <conditionalFormatting sqref="D289">
    <cfRule type="expression" dxfId="1410" priority="388">
      <formula>AND(SUMPRODUCT(IFERROR(1*(($D$479&amp;"x")=(D289&amp;"x")),0))&gt;1,NOT(ISBLANK(D289)))</formula>
    </cfRule>
    <cfRule type="duplicateValues" dxfId="1409" priority="181"/>
  </conditionalFormatting>
  <conditionalFormatting sqref="D290">
    <cfRule type="duplicateValues" dxfId="1408" priority="180"/>
    <cfRule type="expression" dxfId="1407" priority="387">
      <formula>AND(SUMPRODUCT(IFERROR(1*(($D$480&amp;"x")=(D290&amp;"x")),0))&gt;1,NOT(ISBLANK(D290)))</formula>
    </cfRule>
  </conditionalFormatting>
  <conditionalFormatting sqref="D291">
    <cfRule type="expression" dxfId="1406" priority="386">
      <formula>AND(SUMPRODUCT(IFERROR(1*(($D$481&amp;"x")=(D291&amp;"x")),0))&gt;1,NOT(ISBLANK(D291)))</formula>
    </cfRule>
    <cfRule type="duplicateValues" dxfId="1405" priority="179"/>
  </conditionalFormatting>
  <conditionalFormatting sqref="D292">
    <cfRule type="expression" dxfId="1404" priority="385">
      <formula>AND(SUMPRODUCT(IFERROR(1*(($D$482&amp;"x")=(D292&amp;"x")),0))&gt;1,NOT(ISBLANK(D292)))</formula>
    </cfRule>
    <cfRule type="duplicateValues" dxfId="1403" priority="178"/>
  </conditionalFormatting>
  <conditionalFormatting sqref="D293">
    <cfRule type="expression" dxfId="1402" priority="384">
      <formula>AND(SUMPRODUCT(IFERROR(1*(($D$483&amp;"x")=(D293&amp;"x")),0))&gt;1,NOT(ISBLANK(D293)))</formula>
    </cfRule>
    <cfRule type="duplicateValues" dxfId="1401" priority="177"/>
  </conditionalFormatting>
  <conditionalFormatting sqref="D294">
    <cfRule type="expression" dxfId="1400" priority="383">
      <formula>AND(SUMPRODUCT(IFERROR(1*(($D$484&amp;"x")=(D294&amp;"x")),0))&gt;1,NOT(ISBLANK(D294)))</formula>
    </cfRule>
    <cfRule type="duplicateValues" dxfId="1399" priority="176"/>
  </conditionalFormatting>
  <conditionalFormatting sqref="D295">
    <cfRule type="duplicateValues" dxfId="1398" priority="175"/>
    <cfRule type="expression" dxfId="1397" priority="382">
      <formula>AND(SUMPRODUCT(IFERROR(1*(($D$485&amp;"x")=(D295&amp;"x")),0))&gt;1,NOT(ISBLANK(D295)))</formula>
    </cfRule>
  </conditionalFormatting>
  <conditionalFormatting sqref="D296">
    <cfRule type="expression" dxfId="1396" priority="381">
      <formula>AND(SUMPRODUCT(IFERROR(1*(($D$486&amp;"x")=(D296&amp;"x")),0))&gt;1,NOT(ISBLANK(D296)))</formula>
    </cfRule>
    <cfRule type="duplicateValues" dxfId="1395" priority="174"/>
  </conditionalFormatting>
  <conditionalFormatting sqref="D297">
    <cfRule type="expression" dxfId="1394" priority="380">
      <formula>AND(SUMPRODUCT(IFERROR(1*(($D$487&amp;"x")=(D297&amp;"x")),0))&gt;1,NOT(ISBLANK(D297)))</formula>
    </cfRule>
    <cfRule type="duplicateValues" dxfId="1393" priority="173"/>
  </conditionalFormatting>
  <conditionalFormatting sqref="D298">
    <cfRule type="expression" dxfId="1392" priority="379">
      <formula>AND(SUMPRODUCT(IFERROR(1*(($D$488&amp;"x")=(D298&amp;"x")),0))&gt;1,NOT(ISBLANK(D298)))</formula>
    </cfRule>
    <cfRule type="duplicateValues" dxfId="1391" priority="172"/>
  </conditionalFormatting>
  <conditionalFormatting sqref="D299">
    <cfRule type="expression" dxfId="1390" priority="378">
      <formula>AND(SUMPRODUCT(IFERROR(1*(($D$489&amp;"x")=(D299&amp;"x")),0))&gt;1,NOT(ISBLANK(D299)))</formula>
    </cfRule>
    <cfRule type="duplicateValues" dxfId="1389" priority="171"/>
  </conditionalFormatting>
  <conditionalFormatting sqref="D300">
    <cfRule type="expression" dxfId="1388" priority="377">
      <formula>AND(SUMPRODUCT(IFERROR(1*(($D$490&amp;"x")=(D300&amp;"x")),0))&gt;1,NOT(ISBLANK(D300)))</formula>
    </cfRule>
    <cfRule type="duplicateValues" dxfId="1387" priority="170"/>
  </conditionalFormatting>
  <conditionalFormatting sqref="D301">
    <cfRule type="expression" dxfId="1386" priority="376">
      <formula>AND(SUMPRODUCT(IFERROR(1*(($D$491&amp;"x")=(D301&amp;"x")),0))&gt;1,NOT(ISBLANK(D301)))</formula>
    </cfRule>
    <cfRule type="duplicateValues" dxfId="1385" priority="169"/>
  </conditionalFormatting>
  <conditionalFormatting sqref="D302">
    <cfRule type="expression" dxfId="1384" priority="375">
      <formula>AND(SUMPRODUCT(IFERROR(1*(($D$492&amp;"x")=(D302&amp;"x")),0))&gt;1,NOT(ISBLANK(D302)))</formula>
    </cfRule>
    <cfRule type="duplicateValues" dxfId="1383" priority="168"/>
  </conditionalFormatting>
  <conditionalFormatting sqref="D303">
    <cfRule type="expression" dxfId="1382" priority="374">
      <formula>AND(SUMPRODUCT(IFERROR(1*(($D$493&amp;"x")=(D303&amp;"x")),0))&gt;1,NOT(ISBLANK(D303)))</formula>
    </cfRule>
    <cfRule type="duplicateValues" dxfId="1381" priority="167"/>
  </conditionalFormatting>
  <conditionalFormatting sqref="D304">
    <cfRule type="expression" dxfId="1380" priority="373">
      <formula>AND(SUMPRODUCT(IFERROR(1*(($D$494&amp;"x")=(D304&amp;"x")),0))&gt;1,NOT(ISBLANK(D304)))</formula>
    </cfRule>
    <cfRule type="duplicateValues" dxfId="1379" priority="166"/>
  </conditionalFormatting>
  <conditionalFormatting sqref="D305">
    <cfRule type="expression" dxfId="1378" priority="372">
      <formula>AND(SUMPRODUCT(IFERROR(1*(($D$495&amp;"x")=(D305&amp;"x")),0))&gt;1,NOT(ISBLANK(D305)))</formula>
    </cfRule>
    <cfRule type="duplicateValues" dxfId="1377" priority="165"/>
  </conditionalFormatting>
  <conditionalFormatting sqref="D306">
    <cfRule type="expression" dxfId="1376" priority="371">
      <formula>AND(SUMPRODUCT(IFERROR(1*(($D$496&amp;"x")=(D306&amp;"x")),0))&gt;1,NOT(ISBLANK(D306)))</formula>
    </cfRule>
    <cfRule type="duplicateValues" dxfId="1375" priority="164"/>
  </conditionalFormatting>
  <conditionalFormatting sqref="D307">
    <cfRule type="expression" dxfId="1374" priority="370">
      <formula>AND(SUMPRODUCT(IFERROR(1*(($D$497&amp;"x")=(D307&amp;"x")),0))&gt;1,NOT(ISBLANK(D307)))</formula>
    </cfRule>
    <cfRule type="duplicateValues" dxfId="1373" priority="163"/>
  </conditionalFormatting>
  <conditionalFormatting sqref="D308">
    <cfRule type="expression" dxfId="1372" priority="369">
      <formula>AND(SUMPRODUCT(IFERROR(1*(($D$498&amp;"x")=(D308&amp;"x")),0))&gt;1,NOT(ISBLANK(D308)))</formula>
    </cfRule>
    <cfRule type="duplicateValues" dxfId="1371" priority="162"/>
  </conditionalFormatting>
  <conditionalFormatting sqref="D309">
    <cfRule type="expression" dxfId="1370" priority="368">
      <formula>AND(SUMPRODUCT(IFERROR(1*(($D$499&amp;"x")=(D309&amp;"x")),0))&gt;1,NOT(ISBLANK(D309)))</formula>
    </cfRule>
    <cfRule type="duplicateValues" dxfId="1369" priority="161"/>
  </conditionalFormatting>
  <conditionalFormatting sqref="D310">
    <cfRule type="expression" dxfId="1368" priority="367">
      <formula>AND(SUMPRODUCT(IFERROR(1*(($D$500&amp;"x")=(D310&amp;"x")),0))&gt;1,NOT(ISBLANK(D310)))</formula>
    </cfRule>
    <cfRule type="duplicateValues" dxfId="1367" priority="160"/>
  </conditionalFormatting>
  <conditionalFormatting sqref="D311">
    <cfRule type="expression" dxfId="1366" priority="366">
      <formula>AND(SUMPRODUCT(IFERROR(1*(($D$501&amp;"x")=(D311&amp;"x")),0))&gt;1,NOT(ISBLANK(D311)))</formula>
    </cfRule>
    <cfRule type="duplicateValues" dxfId="1365" priority="159"/>
  </conditionalFormatting>
  <conditionalFormatting sqref="D312">
    <cfRule type="expression" dxfId="1364" priority="365">
      <formula>AND(SUMPRODUCT(IFERROR(1*(($D$502&amp;"x")=(D312&amp;"x")),0))&gt;1,NOT(ISBLANK(D312)))</formula>
    </cfRule>
    <cfRule type="duplicateValues" dxfId="1363" priority="158"/>
  </conditionalFormatting>
  <conditionalFormatting sqref="D313">
    <cfRule type="expression" dxfId="1362" priority="364">
      <formula>AND(SUMPRODUCT(IFERROR(1*(($D$503&amp;"x")=(D313&amp;"x")),0))&gt;1,NOT(ISBLANK(D313)))</formula>
    </cfRule>
    <cfRule type="duplicateValues" dxfId="1361" priority="157"/>
  </conditionalFormatting>
  <conditionalFormatting sqref="D314">
    <cfRule type="expression" dxfId="1360" priority="363">
      <formula>AND(SUMPRODUCT(IFERROR(1*(($D$504&amp;"x")=(D314&amp;"x")),0))&gt;1,NOT(ISBLANK(D314)))</formula>
    </cfRule>
    <cfRule type="duplicateValues" dxfId="1359" priority="156"/>
  </conditionalFormatting>
  <conditionalFormatting sqref="D315">
    <cfRule type="expression" dxfId="1358" priority="362">
      <formula>AND(SUMPRODUCT(IFERROR(1*(($D$505&amp;"x")=(D315&amp;"x")),0))&gt;1,NOT(ISBLANK(D315)))</formula>
    </cfRule>
    <cfRule type="duplicateValues" dxfId="1357" priority="155"/>
  </conditionalFormatting>
  <conditionalFormatting sqref="D316">
    <cfRule type="expression" dxfId="1356" priority="361">
      <formula>AND(SUMPRODUCT(IFERROR(1*(($D$506&amp;"x")=(D316&amp;"x")),0))&gt;1,NOT(ISBLANK(D316)))</formula>
    </cfRule>
    <cfRule type="duplicateValues" dxfId="1355" priority="154"/>
  </conditionalFormatting>
  <conditionalFormatting sqref="D317">
    <cfRule type="expression" dxfId="1354" priority="360">
      <formula>AND(SUMPRODUCT(IFERROR(1*(($D$507&amp;"x")=(D317&amp;"x")),0))&gt;1,NOT(ISBLANK(D317)))</formula>
    </cfRule>
    <cfRule type="duplicateValues" dxfId="1353" priority="153"/>
  </conditionalFormatting>
  <conditionalFormatting sqref="D318">
    <cfRule type="duplicateValues" dxfId="1352" priority="152"/>
    <cfRule type="expression" dxfId="1351" priority="359">
      <formula>AND(SUMPRODUCT(IFERROR(1*(($D$508&amp;"x")=(D318&amp;"x")),0))&gt;1,NOT(ISBLANK(D318)))</formula>
    </cfRule>
  </conditionalFormatting>
  <conditionalFormatting sqref="D319">
    <cfRule type="expression" dxfId="1350" priority="358">
      <formula>AND(SUMPRODUCT(IFERROR(1*(($D$509&amp;"x")=(D319&amp;"x")),0))&gt;1,NOT(ISBLANK(D319)))</formula>
    </cfRule>
    <cfRule type="duplicateValues" dxfId="1349" priority="151"/>
  </conditionalFormatting>
  <conditionalFormatting sqref="D320">
    <cfRule type="expression" dxfId="1348" priority="357">
      <formula>AND(SUMPRODUCT(IFERROR(1*(($D$510&amp;"x")=(D320&amp;"x")),0))&gt;1,NOT(ISBLANK(D320)))</formula>
    </cfRule>
    <cfRule type="duplicateValues" dxfId="1347" priority="150"/>
  </conditionalFormatting>
  <conditionalFormatting sqref="D321">
    <cfRule type="expression" dxfId="1346" priority="356">
      <formula>AND(SUMPRODUCT(IFERROR(1*(($D$511&amp;"x")=(D321&amp;"x")),0))&gt;1,NOT(ISBLANK(D321)))</formula>
    </cfRule>
    <cfRule type="duplicateValues" dxfId="1345" priority="149"/>
  </conditionalFormatting>
  <conditionalFormatting sqref="D322">
    <cfRule type="duplicateValues" dxfId="1344" priority="148"/>
    <cfRule type="expression" dxfId="1343" priority="355">
      <formula>AND(SUMPRODUCT(IFERROR(1*(($D$512&amp;"x")=(D322&amp;"x")),0))&gt;1,NOT(ISBLANK(D322)))</formula>
    </cfRule>
  </conditionalFormatting>
  <conditionalFormatting sqref="D323">
    <cfRule type="duplicateValues" dxfId="1342" priority="147"/>
    <cfRule type="expression" dxfId="1341" priority="354">
      <formula>AND(SUMPRODUCT(IFERROR(1*(($D$513&amp;"x")=(D323&amp;"x")),0))&gt;1,NOT(ISBLANK(D323)))</formula>
    </cfRule>
  </conditionalFormatting>
  <conditionalFormatting sqref="D324">
    <cfRule type="expression" dxfId="1340" priority="353">
      <formula>AND(SUMPRODUCT(IFERROR(1*(($D$514&amp;"x")=(D324&amp;"x")),0))&gt;1,NOT(ISBLANK(D324)))</formula>
    </cfRule>
    <cfRule type="duplicateValues" dxfId="1339" priority="146"/>
  </conditionalFormatting>
  <conditionalFormatting sqref="D325">
    <cfRule type="expression" dxfId="1338" priority="352">
      <formula>AND(SUMPRODUCT(IFERROR(1*(($D$515&amp;"x")=(D325&amp;"x")),0))&gt;1,NOT(ISBLANK(D325)))</formula>
    </cfRule>
    <cfRule type="duplicateValues" dxfId="1337" priority="145"/>
  </conditionalFormatting>
  <conditionalFormatting sqref="D326">
    <cfRule type="expression" dxfId="1336" priority="351">
      <formula>AND(SUMPRODUCT(IFERROR(1*(($D$516&amp;"x")=(D326&amp;"x")),0))&gt;1,NOT(ISBLANK(D326)))</formula>
    </cfRule>
    <cfRule type="duplicateValues" dxfId="1335" priority="144"/>
  </conditionalFormatting>
  <conditionalFormatting sqref="D327">
    <cfRule type="expression" dxfId="1334" priority="350">
      <formula>AND(SUMPRODUCT(IFERROR(1*(($D$517&amp;"x")=(D327&amp;"x")),0))&gt;1,NOT(ISBLANK(D327)))</formula>
    </cfRule>
    <cfRule type="duplicateValues" dxfId="1333" priority="143"/>
  </conditionalFormatting>
  <conditionalFormatting sqref="D328">
    <cfRule type="expression" dxfId="1332" priority="349">
      <formula>AND(SUMPRODUCT(IFERROR(1*(($D$518&amp;"x")=(D328&amp;"x")),0))&gt;1,NOT(ISBLANK(D328)))</formula>
    </cfRule>
    <cfRule type="duplicateValues" dxfId="1331" priority="142"/>
  </conditionalFormatting>
  <conditionalFormatting sqref="D329">
    <cfRule type="expression" dxfId="1330" priority="348">
      <formula>AND(SUMPRODUCT(IFERROR(1*(($D$519&amp;"x")=(D329&amp;"x")),0))&gt;1,NOT(ISBLANK(D329)))</formula>
    </cfRule>
    <cfRule type="duplicateValues" dxfId="1329" priority="141"/>
  </conditionalFormatting>
  <conditionalFormatting sqref="D330">
    <cfRule type="expression" dxfId="1328" priority="347">
      <formula>AND(SUMPRODUCT(IFERROR(1*(($D$520&amp;"x")=(D330&amp;"x")),0))&gt;1,NOT(ISBLANK(D330)))</formula>
    </cfRule>
    <cfRule type="duplicateValues" dxfId="1327" priority="140"/>
  </conditionalFormatting>
  <conditionalFormatting sqref="D331">
    <cfRule type="expression" dxfId="1326" priority="346">
      <formula>AND(SUMPRODUCT(IFERROR(1*(($D$521&amp;"x")=(D331&amp;"x")),0))&gt;1,NOT(ISBLANK(D331)))</formula>
    </cfRule>
    <cfRule type="duplicateValues" dxfId="1325" priority="139"/>
  </conditionalFormatting>
  <conditionalFormatting sqref="D332">
    <cfRule type="expression" dxfId="1324" priority="345">
      <formula>AND(SUMPRODUCT(IFERROR(1*(($D$522&amp;"x")=(D332&amp;"x")),0))&gt;1,NOT(ISBLANK(D332)))</formula>
    </cfRule>
    <cfRule type="duplicateValues" dxfId="1323" priority="138"/>
  </conditionalFormatting>
  <conditionalFormatting sqref="D333">
    <cfRule type="expression" dxfId="1322" priority="344">
      <formula>AND(SUMPRODUCT(IFERROR(1*(($D$523&amp;"x")=(D333&amp;"x")),0))&gt;1,NOT(ISBLANK(D333)))</formula>
    </cfRule>
    <cfRule type="duplicateValues" dxfId="1321" priority="137"/>
  </conditionalFormatting>
  <conditionalFormatting sqref="D334">
    <cfRule type="expression" dxfId="1320" priority="343">
      <formula>AND(SUMPRODUCT(IFERROR(1*(($D$524&amp;"x")=(D334&amp;"x")),0))&gt;1,NOT(ISBLANK(D334)))</formula>
    </cfRule>
    <cfRule type="duplicateValues" dxfId="1319" priority="136"/>
  </conditionalFormatting>
  <conditionalFormatting sqref="D335">
    <cfRule type="expression" dxfId="1318" priority="342">
      <formula>AND(SUMPRODUCT(IFERROR(1*(($D$525&amp;"x")=(D335&amp;"x")),0))&gt;1,NOT(ISBLANK(D335)))</formula>
    </cfRule>
    <cfRule type="duplicateValues" dxfId="1317" priority="135"/>
  </conditionalFormatting>
  <conditionalFormatting sqref="D336">
    <cfRule type="expression" dxfId="1316" priority="341">
      <formula>AND(SUMPRODUCT(IFERROR(1*(($D$526&amp;"x")=(D336&amp;"x")),0))&gt;1,NOT(ISBLANK(D336)))</formula>
    </cfRule>
    <cfRule type="duplicateValues" dxfId="1315" priority="134"/>
  </conditionalFormatting>
  <conditionalFormatting sqref="D337">
    <cfRule type="expression" dxfId="1314" priority="340">
      <formula>AND(SUMPRODUCT(IFERROR(1*(($D$527&amp;"x")=(D337&amp;"x")),0))&gt;1,NOT(ISBLANK(D337)))</formula>
    </cfRule>
    <cfRule type="duplicateValues" dxfId="1313" priority="133"/>
  </conditionalFormatting>
  <conditionalFormatting sqref="D338">
    <cfRule type="expression" dxfId="1312" priority="339">
      <formula>AND(SUMPRODUCT(IFERROR(1*(($D$528&amp;"x")=(D338&amp;"x")),0))&gt;1,NOT(ISBLANK(D338)))</formula>
    </cfRule>
    <cfRule type="duplicateValues" dxfId="1311" priority="132"/>
  </conditionalFormatting>
  <conditionalFormatting sqref="D339">
    <cfRule type="duplicateValues" dxfId="1310" priority="131"/>
    <cfRule type="expression" dxfId="1309" priority="338">
      <formula>AND(SUMPRODUCT(IFERROR(1*(($D$529&amp;"x")=(D339&amp;"x")),0))&gt;1,NOT(ISBLANK(D339)))</formula>
    </cfRule>
  </conditionalFormatting>
  <conditionalFormatting sqref="D340">
    <cfRule type="duplicateValues" dxfId="1308" priority="130"/>
    <cfRule type="expression" dxfId="1307" priority="337">
      <formula>AND(SUMPRODUCT(IFERROR(1*(($D$530&amp;"x")=(D340&amp;"x")),0))&gt;1,NOT(ISBLANK(D340)))</formula>
    </cfRule>
  </conditionalFormatting>
  <conditionalFormatting sqref="D341">
    <cfRule type="duplicateValues" dxfId="1306" priority="129"/>
    <cfRule type="expression" dxfId="1305" priority="336">
      <formula>AND(SUMPRODUCT(IFERROR(1*(($D$531&amp;"x")=(D341&amp;"x")),0))&gt;1,NOT(ISBLANK(D341)))</formula>
    </cfRule>
  </conditionalFormatting>
  <conditionalFormatting sqref="D342">
    <cfRule type="duplicateValues" dxfId="1304" priority="128"/>
    <cfRule type="expression" dxfId="1303" priority="335">
      <formula>AND(SUMPRODUCT(IFERROR(1*(($D$532&amp;"x")=(D342&amp;"x")),0))&gt;1,NOT(ISBLANK(D342)))</formula>
    </cfRule>
  </conditionalFormatting>
  <conditionalFormatting sqref="D343">
    <cfRule type="duplicateValues" dxfId="1302" priority="127"/>
    <cfRule type="expression" dxfId="1301" priority="334">
      <formula>AND(SUMPRODUCT(IFERROR(1*(($D$533&amp;"x")=(D343&amp;"x")),0))&gt;1,NOT(ISBLANK(D343)))</formula>
    </cfRule>
  </conditionalFormatting>
  <conditionalFormatting sqref="D344">
    <cfRule type="duplicateValues" dxfId="1300" priority="126"/>
    <cfRule type="expression" dxfId="1299" priority="333">
      <formula>AND(SUMPRODUCT(IFERROR(1*(($D$534&amp;"x")=(D344&amp;"x")),0))&gt;1,NOT(ISBLANK(D344)))</formula>
    </cfRule>
  </conditionalFormatting>
  <conditionalFormatting sqref="D345">
    <cfRule type="duplicateValues" dxfId="1298" priority="125"/>
    <cfRule type="expression" dxfId="1297" priority="332">
      <formula>AND(SUMPRODUCT(IFERROR(1*(($D$535&amp;"x")=(D345&amp;"x")),0))&gt;1,NOT(ISBLANK(D345)))</formula>
    </cfRule>
  </conditionalFormatting>
  <conditionalFormatting sqref="D346">
    <cfRule type="duplicateValues" dxfId="1296" priority="124"/>
    <cfRule type="expression" dxfId="1295" priority="331">
      <formula>AND(SUMPRODUCT(IFERROR(1*(($D$536&amp;"x")=(D346&amp;"x")),0))&gt;1,NOT(ISBLANK(D346)))</formula>
    </cfRule>
  </conditionalFormatting>
  <conditionalFormatting sqref="D347">
    <cfRule type="duplicateValues" dxfId="1294" priority="123"/>
    <cfRule type="expression" dxfId="1293" priority="330">
      <formula>AND(SUMPRODUCT(IFERROR(1*(($D$537&amp;"x")=(D347&amp;"x")),0))&gt;1,NOT(ISBLANK(D347)))</formula>
    </cfRule>
  </conditionalFormatting>
  <conditionalFormatting sqref="D348">
    <cfRule type="duplicateValues" dxfId="1292" priority="122"/>
    <cfRule type="expression" dxfId="1291" priority="329">
      <formula>AND(SUMPRODUCT(IFERROR(1*(($D$538&amp;"x")=(D348&amp;"x")),0))&gt;1,NOT(ISBLANK(D348)))</formula>
    </cfRule>
  </conditionalFormatting>
  <conditionalFormatting sqref="D349">
    <cfRule type="duplicateValues" dxfId="1290" priority="121"/>
    <cfRule type="expression" dxfId="1289" priority="328">
      <formula>AND(SUMPRODUCT(IFERROR(1*(($D$539&amp;"x")=(D349&amp;"x")),0))&gt;1,NOT(ISBLANK(D349)))</formula>
    </cfRule>
  </conditionalFormatting>
  <conditionalFormatting sqref="D350">
    <cfRule type="expression" dxfId="1288" priority="327">
      <formula>AND(SUMPRODUCT(IFERROR(1*(($D$540&amp;"x")=(D350&amp;"x")),0))&gt;1,NOT(ISBLANK(D350)))</formula>
    </cfRule>
    <cfRule type="duplicateValues" dxfId="1287" priority="120"/>
  </conditionalFormatting>
  <conditionalFormatting sqref="D351">
    <cfRule type="duplicateValues" dxfId="1286" priority="119"/>
    <cfRule type="expression" dxfId="1285" priority="326">
      <formula>AND(SUMPRODUCT(IFERROR(1*(($D$541&amp;"x")=(D351&amp;"x")),0))&gt;1,NOT(ISBLANK(D351)))</formula>
    </cfRule>
  </conditionalFormatting>
  <conditionalFormatting sqref="D352">
    <cfRule type="duplicateValues" dxfId="1284" priority="118"/>
    <cfRule type="expression" dxfId="1283" priority="325">
      <formula>AND(SUMPRODUCT(IFERROR(1*(($D$542&amp;"x")=(D352&amp;"x")),0))&gt;1,NOT(ISBLANK(D352)))</formula>
    </cfRule>
  </conditionalFormatting>
  <conditionalFormatting sqref="D353">
    <cfRule type="expression" dxfId="1282" priority="324">
      <formula>AND(SUMPRODUCT(IFERROR(1*(($D$543&amp;"x")=(D353&amp;"x")),0))&gt;1,NOT(ISBLANK(D353)))</formula>
    </cfRule>
    <cfRule type="duplicateValues" dxfId="1281" priority="117"/>
  </conditionalFormatting>
  <conditionalFormatting sqref="D354">
    <cfRule type="duplicateValues" dxfId="1280" priority="116"/>
    <cfRule type="expression" dxfId="1279" priority="323">
      <formula>AND(SUMPRODUCT(IFERROR(1*(($D$544&amp;"x")=(D354&amp;"x")),0))&gt;1,NOT(ISBLANK(D354)))</formula>
    </cfRule>
  </conditionalFormatting>
  <conditionalFormatting sqref="D355">
    <cfRule type="duplicateValues" dxfId="1278" priority="115"/>
    <cfRule type="expression" dxfId="1277" priority="322">
      <formula>AND(SUMPRODUCT(IFERROR(1*(($D$545&amp;"x")=(D355&amp;"x")),0))&gt;1,NOT(ISBLANK(D355)))</formula>
    </cfRule>
  </conditionalFormatting>
  <conditionalFormatting sqref="D356">
    <cfRule type="duplicateValues" dxfId="1276" priority="114"/>
    <cfRule type="expression" dxfId="1275" priority="321">
      <formula>AND(SUMPRODUCT(IFERROR(1*(($D$546&amp;"x")=(D356&amp;"x")),0))&gt;1,NOT(ISBLANK(D356)))</formula>
    </cfRule>
  </conditionalFormatting>
  <conditionalFormatting sqref="D357">
    <cfRule type="duplicateValues" dxfId="1274" priority="113"/>
    <cfRule type="expression" dxfId="1273" priority="320">
      <formula>AND(SUMPRODUCT(IFERROR(1*(($D$547&amp;"x")=(D357&amp;"x")),0))&gt;1,NOT(ISBLANK(D357)))</formula>
    </cfRule>
  </conditionalFormatting>
  <conditionalFormatting sqref="D358">
    <cfRule type="duplicateValues" dxfId="1272" priority="112"/>
    <cfRule type="expression" dxfId="1271" priority="319">
      <formula>AND(SUMPRODUCT(IFERROR(1*(($D$548&amp;"x")=(D358&amp;"x")),0))&gt;1,NOT(ISBLANK(D358)))</formula>
    </cfRule>
  </conditionalFormatting>
  <conditionalFormatting sqref="D359">
    <cfRule type="duplicateValues" dxfId="1270" priority="111"/>
    <cfRule type="expression" dxfId="1269" priority="318">
      <formula>AND(SUMPRODUCT(IFERROR(1*(($D$549&amp;"x")=(D359&amp;"x")),0))&gt;1,NOT(ISBLANK(D359)))</formula>
    </cfRule>
  </conditionalFormatting>
  <conditionalFormatting sqref="D360">
    <cfRule type="duplicateValues" dxfId="1268" priority="110"/>
    <cfRule type="expression" dxfId="1267" priority="317">
      <formula>AND(SUMPRODUCT(IFERROR(1*(($D$550&amp;"x")=(D360&amp;"x")),0))&gt;1,NOT(ISBLANK(D360)))</formula>
    </cfRule>
  </conditionalFormatting>
  <conditionalFormatting sqref="D361">
    <cfRule type="duplicateValues" dxfId="1266" priority="109"/>
    <cfRule type="expression" dxfId="1265" priority="316">
      <formula>AND(SUMPRODUCT(IFERROR(1*(($D$551&amp;"x")=(D361&amp;"x")),0))&gt;1,NOT(ISBLANK(D361)))</formula>
    </cfRule>
  </conditionalFormatting>
  <conditionalFormatting sqref="D362">
    <cfRule type="duplicateValues" dxfId="1264" priority="108"/>
    <cfRule type="expression" dxfId="1263" priority="315">
      <formula>AND(SUMPRODUCT(IFERROR(1*(($D$552&amp;"x")=(D362&amp;"x")),0))&gt;1,NOT(ISBLANK(D362)))</formula>
    </cfRule>
  </conditionalFormatting>
  <conditionalFormatting sqref="D363">
    <cfRule type="duplicateValues" dxfId="1262" priority="107"/>
    <cfRule type="expression" dxfId="1261" priority="314">
      <formula>AND(SUMPRODUCT(IFERROR(1*(($D$553&amp;"x")=(D363&amp;"x")),0))&gt;1,NOT(ISBLANK(D363)))</formula>
    </cfRule>
  </conditionalFormatting>
  <conditionalFormatting sqref="D364">
    <cfRule type="duplicateValues" dxfId="1260" priority="106"/>
    <cfRule type="expression" dxfId="1259" priority="313">
      <formula>AND(SUMPRODUCT(IFERROR(1*(($D$554&amp;"x")=(D364&amp;"x")),0))&gt;1,NOT(ISBLANK(D364)))</formula>
    </cfRule>
  </conditionalFormatting>
  <conditionalFormatting sqref="D365">
    <cfRule type="duplicateValues" dxfId="1258" priority="105"/>
    <cfRule type="expression" dxfId="1257" priority="312">
      <formula>AND(SUMPRODUCT(IFERROR(1*(($D$555&amp;"x")=(D365&amp;"x")),0))&gt;1,NOT(ISBLANK(D365)))</formula>
    </cfRule>
  </conditionalFormatting>
  <conditionalFormatting sqref="D366">
    <cfRule type="duplicateValues" dxfId="1256" priority="104"/>
    <cfRule type="expression" dxfId="1255" priority="311">
      <formula>AND(SUMPRODUCT(IFERROR(1*(($D$556&amp;"x")=(D366&amp;"x")),0))&gt;1,NOT(ISBLANK(D366)))</formula>
    </cfRule>
  </conditionalFormatting>
  <conditionalFormatting sqref="D367">
    <cfRule type="duplicateValues" dxfId="1254" priority="103"/>
    <cfRule type="expression" dxfId="1253" priority="310">
      <formula>AND(SUMPRODUCT(IFERROR(1*(($D$557&amp;"x")=(D367&amp;"x")),0))&gt;1,NOT(ISBLANK(D367)))</formula>
    </cfRule>
  </conditionalFormatting>
  <conditionalFormatting sqref="D368">
    <cfRule type="duplicateValues" dxfId="1252" priority="102"/>
    <cfRule type="expression" dxfId="1251" priority="309">
      <formula>AND(SUMPRODUCT(IFERROR(1*(($D$558&amp;"x")=(D368&amp;"x")),0))&gt;1,NOT(ISBLANK(D368)))</formula>
    </cfRule>
  </conditionalFormatting>
  <conditionalFormatting sqref="D369">
    <cfRule type="duplicateValues" dxfId="1250" priority="101"/>
    <cfRule type="expression" dxfId="1249" priority="308">
      <formula>AND(SUMPRODUCT(IFERROR(1*(($D$559&amp;"x")=(D369&amp;"x")),0))&gt;1,NOT(ISBLANK(D369)))</formula>
    </cfRule>
  </conditionalFormatting>
  <conditionalFormatting sqref="D370">
    <cfRule type="expression" dxfId="1248" priority="307">
      <formula>AND(SUMPRODUCT(IFERROR(1*(($D$560&amp;"x")=(D370&amp;"x")),0))&gt;1,NOT(ISBLANK(D370)))</formula>
    </cfRule>
    <cfRule type="duplicateValues" dxfId="1247" priority="100"/>
  </conditionalFormatting>
  <conditionalFormatting sqref="D371">
    <cfRule type="expression" dxfId="1246" priority="306">
      <formula>AND(SUMPRODUCT(IFERROR(1*(($D$561&amp;"x")=(D371&amp;"x")),0))&gt;1,NOT(ISBLANK(D371)))</formula>
    </cfRule>
    <cfRule type="duplicateValues" dxfId="1245" priority="99"/>
  </conditionalFormatting>
  <conditionalFormatting sqref="D372">
    <cfRule type="duplicateValues" dxfId="1244" priority="98"/>
    <cfRule type="expression" dxfId="1243" priority="305">
      <formula>AND(SUMPRODUCT(IFERROR(1*(($D$562&amp;"x")=(D372&amp;"x")),0))&gt;1,NOT(ISBLANK(D372)))</formula>
    </cfRule>
  </conditionalFormatting>
  <conditionalFormatting sqref="D373">
    <cfRule type="duplicateValues" dxfId="1242" priority="97"/>
    <cfRule type="expression" dxfId="1241" priority="304">
      <formula>AND(SUMPRODUCT(IFERROR(1*(($D$563&amp;"x")=(D373&amp;"x")),0))&gt;1,NOT(ISBLANK(D373)))</formula>
    </cfRule>
  </conditionalFormatting>
  <conditionalFormatting sqref="D374">
    <cfRule type="expression" dxfId="1240" priority="303">
      <formula>AND(SUMPRODUCT(IFERROR(1*(($D$564&amp;"x")=(D374&amp;"x")),0))&gt;1,NOT(ISBLANK(D374)))</formula>
    </cfRule>
    <cfRule type="duplicateValues" dxfId="1239" priority="96"/>
  </conditionalFormatting>
  <conditionalFormatting sqref="D375">
    <cfRule type="expression" dxfId="1238" priority="302">
      <formula>AND(SUMPRODUCT(IFERROR(1*(($D$565&amp;"x")=(D375&amp;"x")),0))&gt;1,NOT(ISBLANK(D375)))</formula>
    </cfRule>
    <cfRule type="duplicateValues" dxfId="1237" priority="95"/>
  </conditionalFormatting>
  <conditionalFormatting sqref="D376">
    <cfRule type="expression" dxfId="1236" priority="301">
      <formula>AND(SUMPRODUCT(IFERROR(1*(($D$566&amp;"x")=(D376&amp;"x")),0))&gt;1,NOT(ISBLANK(D376)))</formula>
    </cfRule>
    <cfRule type="duplicateValues" dxfId="1235" priority="94"/>
  </conditionalFormatting>
  <conditionalFormatting sqref="D377">
    <cfRule type="expression" dxfId="1234" priority="300">
      <formula>AND(SUMPRODUCT(IFERROR(1*(($D$567&amp;"x")=(D377&amp;"x")),0))&gt;1,NOT(ISBLANK(D377)))</formula>
    </cfRule>
    <cfRule type="duplicateValues" dxfId="1233" priority="93"/>
  </conditionalFormatting>
  <conditionalFormatting sqref="D378">
    <cfRule type="duplicateValues" dxfId="1232" priority="92"/>
    <cfRule type="expression" dxfId="1231" priority="299">
      <formula>AND(SUMPRODUCT(IFERROR(1*(($D$568&amp;"x")=(D378&amp;"x")),0))&gt;1,NOT(ISBLANK(D378)))</formula>
    </cfRule>
  </conditionalFormatting>
  <conditionalFormatting sqref="D379">
    <cfRule type="expression" dxfId="1230" priority="298">
      <formula>AND(SUMPRODUCT(IFERROR(1*(($D$569&amp;"x")=(D379&amp;"x")),0))&gt;1,NOT(ISBLANK(D379)))</formula>
    </cfRule>
    <cfRule type="duplicateValues" dxfId="1229" priority="91"/>
  </conditionalFormatting>
  <conditionalFormatting sqref="D380">
    <cfRule type="duplicateValues" dxfId="1228" priority="90"/>
    <cfRule type="expression" dxfId="1227" priority="297">
      <formula>AND(SUMPRODUCT(IFERROR(1*(($D$570&amp;"x")=(D380&amp;"x")),0))&gt;1,NOT(ISBLANK(D380)))</formula>
    </cfRule>
  </conditionalFormatting>
  <conditionalFormatting sqref="D381">
    <cfRule type="expression" dxfId="1226" priority="296">
      <formula>AND(SUMPRODUCT(IFERROR(1*(($D$571&amp;"x")=(D381&amp;"x")),0))&gt;1,NOT(ISBLANK(D381)))</formula>
    </cfRule>
    <cfRule type="duplicateValues" dxfId="1225" priority="89"/>
  </conditionalFormatting>
  <conditionalFormatting sqref="D382">
    <cfRule type="duplicateValues" dxfId="1224" priority="88"/>
    <cfRule type="expression" dxfId="1223" priority="295">
      <formula>AND(SUMPRODUCT(IFERROR(1*(($D$572&amp;"x")=(D382&amp;"x")),0))&gt;1,NOT(ISBLANK(D382)))</formula>
    </cfRule>
  </conditionalFormatting>
  <conditionalFormatting sqref="D383">
    <cfRule type="duplicateValues" dxfId="1222" priority="87"/>
    <cfRule type="expression" dxfId="1221" priority="294">
      <formula>AND(SUMPRODUCT(IFERROR(1*(($D$573&amp;"x")=(D383&amp;"x")),0))&gt;1,NOT(ISBLANK(D383)))</formula>
    </cfRule>
  </conditionalFormatting>
  <conditionalFormatting sqref="D384">
    <cfRule type="duplicateValues" dxfId="1220" priority="86"/>
    <cfRule type="expression" dxfId="1219" priority="293">
      <formula>AND(SUMPRODUCT(IFERROR(1*(($D$574&amp;"x")=(D384&amp;"x")),0))&gt;1,NOT(ISBLANK(D384)))</formula>
    </cfRule>
  </conditionalFormatting>
  <conditionalFormatting sqref="D385">
    <cfRule type="duplicateValues" dxfId="1218" priority="85"/>
    <cfRule type="expression" dxfId="1217" priority="292">
      <formula>AND(SUMPRODUCT(IFERROR(1*(($D$575&amp;"x")=(D385&amp;"x")),0))&gt;1,NOT(ISBLANK(D385)))</formula>
    </cfRule>
  </conditionalFormatting>
  <conditionalFormatting sqref="D386">
    <cfRule type="duplicateValues" dxfId="1216" priority="84"/>
    <cfRule type="expression" dxfId="1215" priority="291">
      <formula>AND(SUMPRODUCT(IFERROR(1*(($D$576&amp;"x")=(D386&amp;"x")),0))&gt;1,NOT(ISBLANK(D386)))</formula>
    </cfRule>
  </conditionalFormatting>
  <conditionalFormatting sqref="D387">
    <cfRule type="expression" dxfId="1214" priority="290">
      <formula>AND(SUMPRODUCT(IFERROR(1*(($D$577&amp;"x")=(D387&amp;"x")),0))&gt;1,NOT(ISBLANK(D387)))</formula>
    </cfRule>
    <cfRule type="duplicateValues" dxfId="1213" priority="83"/>
  </conditionalFormatting>
  <conditionalFormatting sqref="D388">
    <cfRule type="expression" dxfId="1212" priority="289">
      <formula>AND(SUMPRODUCT(IFERROR(1*(($D$578&amp;"x")=(D388&amp;"x")),0))&gt;1,NOT(ISBLANK(D388)))</formula>
    </cfRule>
    <cfRule type="duplicateValues" dxfId="1211" priority="82"/>
  </conditionalFormatting>
  <conditionalFormatting sqref="D389">
    <cfRule type="expression" dxfId="1210" priority="288">
      <formula>AND(SUMPRODUCT(IFERROR(1*(($D$579&amp;"x")=(D389&amp;"x")),0))&gt;1,NOT(ISBLANK(D389)))</formula>
    </cfRule>
    <cfRule type="duplicateValues" dxfId="1209" priority="81"/>
  </conditionalFormatting>
  <conditionalFormatting sqref="D390">
    <cfRule type="duplicateValues" dxfId="1208" priority="80"/>
    <cfRule type="expression" dxfId="1207" priority="287">
      <formula>AND(SUMPRODUCT(IFERROR(1*(($D$580&amp;"x")=(D390&amp;"x")),0))&gt;1,NOT(ISBLANK(D390)))</formula>
    </cfRule>
  </conditionalFormatting>
  <conditionalFormatting sqref="D391">
    <cfRule type="expression" dxfId="1206" priority="286">
      <formula>AND(SUMPRODUCT(IFERROR(1*(($D$581&amp;"x")=(D391&amp;"x")),0))&gt;1,NOT(ISBLANK(D391)))</formula>
    </cfRule>
    <cfRule type="duplicateValues" dxfId="1205" priority="79"/>
  </conditionalFormatting>
  <conditionalFormatting sqref="D392">
    <cfRule type="expression" dxfId="1204" priority="285">
      <formula>AND(SUMPRODUCT(IFERROR(1*(($D$582&amp;"x")=(D392&amp;"x")),0))&gt;1,NOT(ISBLANK(D392)))</formula>
    </cfRule>
    <cfRule type="duplicateValues" dxfId="1203" priority="78"/>
  </conditionalFormatting>
  <conditionalFormatting sqref="D393">
    <cfRule type="expression" dxfId="1202" priority="284">
      <formula>AND(SUMPRODUCT(IFERROR(1*(($D$583&amp;"x")=(D393&amp;"x")),0))&gt;1,NOT(ISBLANK(D393)))</formula>
    </cfRule>
    <cfRule type="duplicateValues" dxfId="1201" priority="77"/>
  </conditionalFormatting>
  <conditionalFormatting sqref="D394">
    <cfRule type="expression" dxfId="1200" priority="283">
      <formula>AND(SUMPRODUCT(IFERROR(1*(($D$584&amp;"x")=(D394&amp;"x")),0))&gt;1,NOT(ISBLANK(D394)))</formula>
    </cfRule>
    <cfRule type="duplicateValues" dxfId="1199" priority="76"/>
  </conditionalFormatting>
  <conditionalFormatting sqref="D395">
    <cfRule type="duplicateValues" dxfId="1198" priority="75"/>
    <cfRule type="expression" dxfId="1197" priority="282">
      <formula>AND(SUMPRODUCT(IFERROR(1*(($D$585&amp;"x")=(D395&amp;"x")),0))&gt;1,NOT(ISBLANK(D395)))</formula>
    </cfRule>
  </conditionalFormatting>
  <conditionalFormatting sqref="D396">
    <cfRule type="expression" dxfId="1196" priority="281">
      <formula>AND(SUMPRODUCT(IFERROR(1*(($D$586&amp;"x")=(D396&amp;"x")),0))&gt;1,NOT(ISBLANK(D396)))</formula>
    </cfRule>
    <cfRule type="duplicateValues" dxfId="1195" priority="74"/>
  </conditionalFormatting>
  <conditionalFormatting sqref="D397">
    <cfRule type="expression" dxfId="1194" priority="280">
      <formula>AND(SUMPRODUCT(IFERROR(1*(($D$587&amp;"x")=(D397&amp;"x")),0))&gt;1,NOT(ISBLANK(D397)))</formula>
    </cfRule>
    <cfRule type="duplicateValues" dxfId="1193" priority="73"/>
  </conditionalFormatting>
  <conditionalFormatting sqref="D398">
    <cfRule type="expression" dxfId="1192" priority="279">
      <formula>AND(SUMPRODUCT(IFERROR(1*(($D$588&amp;"x")=(D398&amp;"x")),0))&gt;1,NOT(ISBLANK(D398)))</formula>
    </cfRule>
    <cfRule type="duplicateValues" dxfId="1191" priority="72"/>
  </conditionalFormatting>
  <conditionalFormatting sqref="D399">
    <cfRule type="expression" dxfId="1190" priority="278">
      <formula>AND(SUMPRODUCT(IFERROR(1*(($D$589&amp;"x")=(D399&amp;"x")),0))&gt;1,NOT(ISBLANK(D399)))</formula>
    </cfRule>
    <cfRule type="duplicateValues" dxfId="1189" priority="71"/>
  </conditionalFormatting>
  <conditionalFormatting sqref="D400">
    <cfRule type="expression" dxfId="1188" priority="277">
      <formula>AND(SUMPRODUCT(IFERROR(1*(($D$590&amp;"x")=(D400&amp;"x")),0))&gt;1,NOT(ISBLANK(D400)))</formula>
    </cfRule>
    <cfRule type="duplicateValues" dxfId="1187" priority="70"/>
  </conditionalFormatting>
  <conditionalFormatting sqref="D401">
    <cfRule type="expression" dxfId="1186" priority="276">
      <formula>AND(SUMPRODUCT(IFERROR(1*(($D$591&amp;"x")=(D401&amp;"x")),0))&gt;1,NOT(ISBLANK(D401)))</formula>
    </cfRule>
    <cfRule type="duplicateValues" dxfId="1185" priority="69"/>
  </conditionalFormatting>
  <conditionalFormatting sqref="D402">
    <cfRule type="duplicateValues" dxfId="1184" priority="68"/>
    <cfRule type="expression" dxfId="1183" priority="275">
      <formula>AND(SUMPRODUCT(IFERROR(1*(($D$592&amp;"x")=(D402&amp;"x")),0))&gt;1,NOT(ISBLANK(D402)))</formula>
    </cfRule>
  </conditionalFormatting>
  <conditionalFormatting sqref="D403">
    <cfRule type="duplicateValues" dxfId="1182" priority="67"/>
    <cfRule type="expression" dxfId="1181" priority="274">
      <formula>AND(SUMPRODUCT(IFERROR(1*(($D$593&amp;"x")=(D403&amp;"x")),0))&gt;1,NOT(ISBLANK(D403)))</formula>
    </cfRule>
  </conditionalFormatting>
  <conditionalFormatting sqref="D404">
    <cfRule type="duplicateValues" dxfId="1180" priority="66"/>
    <cfRule type="expression" dxfId="1179" priority="273">
      <formula>AND(SUMPRODUCT(IFERROR(1*(($D$594&amp;"x")=(D404&amp;"x")),0))&gt;1,NOT(ISBLANK(D404)))</formula>
    </cfRule>
  </conditionalFormatting>
  <conditionalFormatting sqref="D405">
    <cfRule type="duplicateValues" dxfId="1178" priority="65"/>
    <cfRule type="expression" dxfId="1177" priority="272">
      <formula>AND(SUMPRODUCT(IFERROR(1*(($D$595&amp;"x")=(D405&amp;"x")),0))&gt;1,NOT(ISBLANK(D405)))</formula>
    </cfRule>
  </conditionalFormatting>
  <conditionalFormatting sqref="D406">
    <cfRule type="duplicateValues" dxfId="1176" priority="64"/>
    <cfRule type="expression" dxfId="1175" priority="271">
      <formula>AND(SUMPRODUCT(IFERROR(1*(($D$596&amp;"x")=(D406&amp;"x")),0))&gt;1,NOT(ISBLANK(D406)))</formula>
    </cfRule>
  </conditionalFormatting>
  <conditionalFormatting sqref="D407">
    <cfRule type="duplicateValues" dxfId="1174" priority="63"/>
    <cfRule type="expression" dxfId="1173" priority="270">
      <formula>AND(SUMPRODUCT(IFERROR(1*(($D$597&amp;"x")=(D407&amp;"x")),0))&gt;1,NOT(ISBLANK(D407)))</formula>
    </cfRule>
  </conditionalFormatting>
  <conditionalFormatting sqref="D408">
    <cfRule type="duplicateValues" dxfId="1172" priority="62"/>
    <cfRule type="expression" dxfId="1171" priority="269">
      <formula>AND(SUMPRODUCT(IFERROR(1*(($D$598&amp;"x")=(D408&amp;"x")),0))&gt;1,NOT(ISBLANK(D408)))</formula>
    </cfRule>
  </conditionalFormatting>
  <conditionalFormatting sqref="D409">
    <cfRule type="expression" dxfId="1170" priority="268">
      <formula>AND(SUMPRODUCT(IFERROR(1*(($D$599&amp;"x")=(D409&amp;"x")),0))&gt;1,NOT(ISBLANK(D409)))</formula>
    </cfRule>
    <cfRule type="duplicateValues" dxfId="1169" priority="61"/>
  </conditionalFormatting>
  <conditionalFormatting sqref="D410">
    <cfRule type="duplicateValues" dxfId="1168" priority="60"/>
    <cfRule type="expression" dxfId="1167" priority="267">
      <formula>AND(SUMPRODUCT(IFERROR(1*(($D$600&amp;"x")=(D410&amp;"x")),0))&gt;1,NOT(ISBLANK(D410)))</formula>
    </cfRule>
  </conditionalFormatting>
  <conditionalFormatting sqref="D411">
    <cfRule type="duplicateValues" dxfId="1166" priority="59"/>
    <cfRule type="expression" dxfId="1165" priority="266">
      <formula>AND(SUMPRODUCT(IFERROR(1*(($D$601&amp;"x")=(D411&amp;"x")),0))&gt;1,NOT(ISBLANK(D411)))</formula>
    </cfRule>
  </conditionalFormatting>
  <conditionalFormatting sqref="D412">
    <cfRule type="expression" dxfId="1164" priority="265">
      <formula>AND(SUMPRODUCT(IFERROR(1*(($D$602&amp;"x")=(D412&amp;"x")),0))&gt;1,NOT(ISBLANK(D412)))</formula>
    </cfRule>
    <cfRule type="duplicateValues" dxfId="1163" priority="58"/>
  </conditionalFormatting>
  <conditionalFormatting sqref="D413">
    <cfRule type="duplicateValues" dxfId="1162" priority="57"/>
    <cfRule type="expression" dxfId="1161" priority="264">
      <formula>AND(SUMPRODUCT(IFERROR(1*(($D$603&amp;"x")=(D413&amp;"x")),0))&gt;1,NOT(ISBLANK(D413)))</formula>
    </cfRule>
  </conditionalFormatting>
  <conditionalFormatting sqref="D414">
    <cfRule type="expression" dxfId="1160" priority="263">
      <formula>AND(SUMPRODUCT(IFERROR(1*(($D$604&amp;"x")=(D414&amp;"x")),0))&gt;1,NOT(ISBLANK(D414)))</formula>
    </cfRule>
    <cfRule type="duplicateValues" dxfId="1159" priority="56"/>
  </conditionalFormatting>
  <conditionalFormatting sqref="D415">
    <cfRule type="expression" dxfId="1158" priority="262">
      <formula>AND(SUMPRODUCT(IFERROR(1*(($D$605&amp;"x")=(D415&amp;"x")),0))&gt;1,NOT(ISBLANK(D415)))</formula>
    </cfRule>
    <cfRule type="duplicateValues" dxfId="1157" priority="55"/>
  </conditionalFormatting>
  <conditionalFormatting sqref="D416">
    <cfRule type="expression" dxfId="1156" priority="261">
      <formula>AND(SUMPRODUCT(IFERROR(1*(($D$606&amp;"x")=(D416&amp;"x")),0))&gt;1,NOT(ISBLANK(D416)))</formula>
    </cfRule>
    <cfRule type="duplicateValues" dxfId="1155" priority="54"/>
  </conditionalFormatting>
  <conditionalFormatting sqref="D417">
    <cfRule type="expression" dxfId="1154" priority="260">
      <formula>AND(SUMPRODUCT(IFERROR(1*(($D$607&amp;"x")=(D417&amp;"x")),0))&gt;1,NOT(ISBLANK(D417)))</formula>
    </cfRule>
    <cfRule type="duplicateValues" dxfId="1153" priority="53"/>
  </conditionalFormatting>
  <conditionalFormatting sqref="D418">
    <cfRule type="expression" dxfId="1152" priority="259">
      <formula>AND(SUMPRODUCT(IFERROR(1*(($D$608&amp;"x")=(D418&amp;"x")),0))&gt;1,NOT(ISBLANK(D418)))</formula>
    </cfRule>
    <cfRule type="duplicateValues" dxfId="1151" priority="52"/>
  </conditionalFormatting>
  <conditionalFormatting sqref="D419">
    <cfRule type="duplicateValues" dxfId="1150" priority="51"/>
    <cfRule type="expression" dxfId="1149" priority="258">
      <formula>AND(SUMPRODUCT(IFERROR(1*(($D$609&amp;"x")=(D419&amp;"x")),0))&gt;1,NOT(ISBLANK(D419)))</formula>
    </cfRule>
  </conditionalFormatting>
  <conditionalFormatting sqref="D420">
    <cfRule type="duplicateValues" dxfId="1148" priority="50"/>
    <cfRule type="expression" dxfId="1147" priority="257">
      <formula>AND(SUMPRODUCT(IFERROR(1*(($D$610&amp;"x")=(D420&amp;"x")),0))&gt;1,NOT(ISBLANK(D420)))</formula>
    </cfRule>
  </conditionalFormatting>
  <conditionalFormatting sqref="D421">
    <cfRule type="expression" dxfId="1146" priority="256">
      <formula>AND(SUMPRODUCT(IFERROR(1*(($D$611&amp;"x")=(D421&amp;"x")),0))&gt;1,NOT(ISBLANK(D421)))</formula>
    </cfRule>
    <cfRule type="duplicateValues" dxfId="1145" priority="49"/>
  </conditionalFormatting>
  <conditionalFormatting sqref="D422">
    <cfRule type="expression" dxfId="1144" priority="255">
      <formula>AND(SUMPRODUCT(IFERROR(1*(($D$612&amp;"x")=(D422&amp;"x")),0))&gt;1,NOT(ISBLANK(D422)))</formula>
    </cfRule>
    <cfRule type="duplicateValues" dxfId="1143" priority="48"/>
  </conditionalFormatting>
  <conditionalFormatting sqref="D423">
    <cfRule type="expression" dxfId="1142" priority="254">
      <formula>AND(SUMPRODUCT(IFERROR(1*(($D$613&amp;"x")=(D423&amp;"x")),0))&gt;1,NOT(ISBLANK(D423)))</formula>
    </cfRule>
    <cfRule type="duplicateValues" dxfId="1141" priority="47"/>
  </conditionalFormatting>
  <conditionalFormatting sqref="D424">
    <cfRule type="expression" dxfId="1140" priority="253">
      <formula>AND(SUMPRODUCT(IFERROR(1*(($D$614&amp;"x")=(D424&amp;"x")),0))&gt;1,NOT(ISBLANK(D424)))</formula>
    </cfRule>
    <cfRule type="duplicateValues" dxfId="1139" priority="46"/>
  </conditionalFormatting>
  <conditionalFormatting sqref="D425">
    <cfRule type="expression" dxfId="1138" priority="252">
      <formula>AND(SUMPRODUCT(IFERROR(1*(($D$615&amp;"x")=(D425&amp;"x")),0))&gt;1,NOT(ISBLANK(D425)))</formula>
    </cfRule>
    <cfRule type="duplicateValues" dxfId="1137" priority="45"/>
  </conditionalFormatting>
  <conditionalFormatting sqref="D426">
    <cfRule type="duplicateValues" dxfId="1136" priority="44"/>
    <cfRule type="expression" dxfId="1135" priority="251">
      <formula>AND(SUMPRODUCT(IFERROR(1*(($D$616&amp;"x")=(D426&amp;"x")),0))&gt;1,NOT(ISBLANK(D426)))</formula>
    </cfRule>
  </conditionalFormatting>
  <conditionalFormatting sqref="D427">
    <cfRule type="duplicateValues" dxfId="1134" priority="43"/>
    <cfRule type="expression" dxfId="1133" priority="250">
      <formula>AND(SUMPRODUCT(IFERROR(1*(($D$617&amp;"x")=(D427&amp;"x")),0))&gt;1,NOT(ISBLANK(D427)))</formula>
    </cfRule>
  </conditionalFormatting>
  <conditionalFormatting sqref="D428">
    <cfRule type="duplicateValues" dxfId="1132" priority="42"/>
    <cfRule type="expression" dxfId="1131" priority="249">
      <formula>AND(SUMPRODUCT(IFERROR(1*(($D$618&amp;"x")=(D428&amp;"x")),0))&gt;1,NOT(ISBLANK(D428)))</formula>
    </cfRule>
  </conditionalFormatting>
  <conditionalFormatting sqref="D429">
    <cfRule type="expression" dxfId="1130" priority="248">
      <formula>AND(SUMPRODUCT(IFERROR(1*(($D$619&amp;"x")=(D429&amp;"x")),0))&gt;1,NOT(ISBLANK(D429)))</formula>
    </cfRule>
    <cfRule type="duplicateValues" dxfId="1129" priority="41"/>
  </conditionalFormatting>
  <conditionalFormatting sqref="D430">
    <cfRule type="duplicateValues" dxfId="1128" priority="40"/>
    <cfRule type="expression" dxfId="1127" priority="247">
      <formula>AND(SUMPRODUCT(IFERROR(1*(($D$620&amp;"x")=(D430&amp;"x")),0))&gt;1,NOT(ISBLANK(D430)))</formula>
    </cfRule>
  </conditionalFormatting>
  <conditionalFormatting sqref="D431">
    <cfRule type="expression" dxfId="1126" priority="246">
      <formula>AND(SUMPRODUCT(IFERROR(1*(($D$621&amp;"x")=(D431&amp;"x")),0))&gt;1,NOT(ISBLANK(D431)))</formula>
    </cfRule>
    <cfRule type="duplicateValues" dxfId="1125" priority="39"/>
  </conditionalFormatting>
  <conditionalFormatting sqref="D432">
    <cfRule type="duplicateValues" dxfId="1124" priority="38"/>
    <cfRule type="expression" dxfId="1123" priority="245">
      <formula>AND(SUMPRODUCT(IFERROR(1*(($D$622&amp;"x")=(D432&amp;"x")),0))&gt;1,NOT(ISBLANK(D432)))</formula>
    </cfRule>
  </conditionalFormatting>
  <conditionalFormatting sqref="D433">
    <cfRule type="duplicateValues" dxfId="1122" priority="37"/>
    <cfRule type="expression" dxfId="1121" priority="244">
      <formula>AND(SUMPRODUCT(IFERROR(1*(($D$623&amp;"x")=(D433&amp;"x")),0))&gt;1,NOT(ISBLANK(D433)))</formula>
    </cfRule>
  </conditionalFormatting>
  <conditionalFormatting sqref="D434">
    <cfRule type="duplicateValues" dxfId="1120" priority="36"/>
    <cfRule type="expression" dxfId="1119" priority="243">
      <formula>AND(SUMPRODUCT(IFERROR(1*(($D$624&amp;"x")=(D434&amp;"x")),0))&gt;1,NOT(ISBLANK(D434)))</formula>
    </cfRule>
  </conditionalFormatting>
  <conditionalFormatting sqref="D435">
    <cfRule type="duplicateValues" dxfId="1118" priority="35"/>
    <cfRule type="expression" dxfId="1117" priority="242">
      <formula>AND(SUMPRODUCT(IFERROR(1*(($D$625&amp;"x")=(D435&amp;"x")),0))&gt;1,NOT(ISBLANK(D435)))</formula>
    </cfRule>
  </conditionalFormatting>
  <conditionalFormatting sqref="D436">
    <cfRule type="duplicateValues" dxfId="1116" priority="34"/>
    <cfRule type="expression" dxfId="1115" priority="241">
      <formula>AND(SUMPRODUCT(IFERROR(1*(($D$626&amp;"x")=(D436&amp;"x")),0))&gt;1,NOT(ISBLANK(D436)))</formula>
    </cfRule>
  </conditionalFormatting>
  <conditionalFormatting sqref="D437">
    <cfRule type="duplicateValues" dxfId="1114" priority="33"/>
    <cfRule type="expression" dxfId="1113" priority="240">
      <formula>AND(SUMPRODUCT(IFERROR(1*(($D$627&amp;"x")=(D437&amp;"x")),0))&gt;1,NOT(ISBLANK(D437)))</formula>
    </cfRule>
  </conditionalFormatting>
  <conditionalFormatting sqref="D438">
    <cfRule type="expression" dxfId="1112" priority="239">
      <formula>AND(SUMPRODUCT(IFERROR(1*(($D$628&amp;"x")=(D438&amp;"x")),0))&gt;1,NOT(ISBLANK(D438)))</formula>
    </cfRule>
    <cfRule type="duplicateValues" dxfId="1111" priority="32"/>
  </conditionalFormatting>
  <conditionalFormatting sqref="D439">
    <cfRule type="expression" dxfId="1110" priority="238">
      <formula>AND(SUMPRODUCT(IFERROR(1*(($D$629&amp;"x")=(D439&amp;"x")),0))&gt;1,NOT(ISBLANK(D439)))</formula>
    </cfRule>
    <cfRule type="duplicateValues" dxfId="1109" priority="31"/>
  </conditionalFormatting>
  <conditionalFormatting sqref="D440">
    <cfRule type="expression" dxfId="1108" priority="237">
      <formula>AND(SUMPRODUCT(IFERROR(1*(($D$630&amp;"x")=(D440&amp;"x")),0))&gt;1,NOT(ISBLANK(D440)))</formula>
    </cfRule>
    <cfRule type="duplicateValues" dxfId="1107" priority="30"/>
  </conditionalFormatting>
  <conditionalFormatting sqref="D441">
    <cfRule type="expression" dxfId="1106" priority="236">
      <formula>AND(SUMPRODUCT(IFERROR(1*(($D$631&amp;"x")=(D441&amp;"x")),0))&gt;1,NOT(ISBLANK(D441)))</formula>
    </cfRule>
    <cfRule type="duplicateValues" dxfId="1105" priority="29"/>
  </conditionalFormatting>
  <conditionalFormatting sqref="D442">
    <cfRule type="expression" dxfId="1104" priority="235">
      <formula>AND(SUMPRODUCT(IFERROR(1*(($D$632&amp;"x")=(D442&amp;"x")),0))&gt;1,NOT(ISBLANK(D442)))</formula>
    </cfRule>
    <cfRule type="duplicateValues" dxfId="1103" priority="28"/>
  </conditionalFormatting>
  <conditionalFormatting sqref="D443">
    <cfRule type="expression" dxfId="1102" priority="234">
      <formula>AND(SUMPRODUCT(IFERROR(1*(($D$633&amp;"x")=(D443&amp;"x")),0))&gt;1,NOT(ISBLANK(D443)))</formula>
    </cfRule>
    <cfRule type="duplicateValues" dxfId="1101" priority="27"/>
  </conditionalFormatting>
  <conditionalFormatting sqref="D444">
    <cfRule type="expression" dxfId="1100" priority="233">
      <formula>AND(SUMPRODUCT(IFERROR(1*(($D$634&amp;"x")=(D444&amp;"x")),0))&gt;1,NOT(ISBLANK(D444)))</formula>
    </cfRule>
    <cfRule type="duplicateValues" dxfId="1099" priority="26"/>
  </conditionalFormatting>
  <conditionalFormatting sqref="D445">
    <cfRule type="expression" dxfId="1098" priority="232">
      <formula>AND(SUMPRODUCT(IFERROR(1*(($D$635&amp;"x")=(D445&amp;"x")),0))&gt;1,NOT(ISBLANK(D445)))</formula>
    </cfRule>
    <cfRule type="duplicateValues" dxfId="1097" priority="25"/>
  </conditionalFormatting>
  <conditionalFormatting sqref="D446">
    <cfRule type="expression" dxfId="1096" priority="231">
      <formula>AND(SUMPRODUCT(IFERROR(1*(($D$636&amp;"x")=(D446&amp;"x")),0))&gt;1,NOT(ISBLANK(D446)))</formula>
    </cfRule>
    <cfRule type="duplicateValues" dxfId="1095" priority="24"/>
  </conditionalFormatting>
  <conditionalFormatting sqref="D447">
    <cfRule type="expression" dxfId="1094" priority="230">
      <formula>AND(SUMPRODUCT(IFERROR(1*(($D$637&amp;"x")=(D447&amp;"x")),0))&gt;1,NOT(ISBLANK(D447)))</formula>
    </cfRule>
    <cfRule type="duplicateValues" dxfId="1093" priority="23"/>
  </conditionalFormatting>
  <conditionalFormatting sqref="D448">
    <cfRule type="expression" dxfId="1092" priority="229">
      <formula>AND(SUMPRODUCT(IFERROR(1*(($D$638&amp;"x")=(D448&amp;"x")),0))&gt;1,NOT(ISBLANK(D448)))</formula>
    </cfRule>
    <cfRule type="duplicateValues" dxfId="1091" priority="22"/>
  </conditionalFormatting>
  <conditionalFormatting sqref="D449">
    <cfRule type="expression" dxfId="1090" priority="228">
      <formula>AND(SUMPRODUCT(IFERROR(1*(($D$639&amp;"x")=(D449&amp;"x")),0))&gt;1,NOT(ISBLANK(D449)))</formula>
    </cfRule>
    <cfRule type="duplicateValues" dxfId="1089" priority="21"/>
  </conditionalFormatting>
  <conditionalFormatting sqref="D450">
    <cfRule type="expression" dxfId="1088" priority="227">
      <formula>AND(SUMPRODUCT(IFERROR(1*(($D$640&amp;"x")=(D450&amp;"x")),0))&gt;1,NOT(ISBLANK(D450)))</formula>
    </cfRule>
    <cfRule type="duplicateValues" dxfId="1087" priority="20"/>
  </conditionalFormatting>
  <conditionalFormatting sqref="D451">
    <cfRule type="expression" dxfId="1086" priority="226">
      <formula>AND(SUMPRODUCT(IFERROR(1*(($D$641&amp;"x")=(D451&amp;"x")),0))&gt;1,NOT(ISBLANK(D451)))</formula>
    </cfRule>
    <cfRule type="duplicateValues" dxfId="1085" priority="19"/>
  </conditionalFormatting>
  <conditionalFormatting sqref="D452">
    <cfRule type="duplicateValues" dxfId="1084" priority="18"/>
    <cfRule type="expression" dxfId="1083" priority="225">
      <formula>AND(SUMPRODUCT(IFERROR(1*(($D$642&amp;"x")=(D452&amp;"x")),0))&gt;1,NOT(ISBLANK(D452)))</formula>
    </cfRule>
  </conditionalFormatting>
  <conditionalFormatting sqref="D453">
    <cfRule type="duplicateValues" dxfId="1082" priority="17"/>
    <cfRule type="expression" dxfId="1081" priority="224">
      <formula>AND(SUMPRODUCT(IFERROR(1*(($D$643&amp;"x")=(D453&amp;"x")),0))&gt;1,NOT(ISBLANK(D453)))</formula>
    </cfRule>
  </conditionalFormatting>
  <conditionalFormatting sqref="D454">
    <cfRule type="duplicateValues" dxfId="1080" priority="16"/>
    <cfRule type="expression" dxfId="1079" priority="223">
      <formula>AND(SUMPRODUCT(IFERROR(1*(($D$644&amp;"x")=(D454&amp;"x")),0))&gt;1,NOT(ISBLANK(D454)))</formula>
    </cfRule>
  </conditionalFormatting>
  <conditionalFormatting sqref="D455">
    <cfRule type="duplicateValues" dxfId="1078" priority="15"/>
    <cfRule type="expression" dxfId="1077" priority="222">
      <formula>AND(SUMPRODUCT(IFERROR(1*(($D$645&amp;"x")=(D455&amp;"x")),0))&gt;1,NOT(ISBLANK(D455)))</formula>
    </cfRule>
  </conditionalFormatting>
  <conditionalFormatting sqref="D456">
    <cfRule type="duplicateValues" dxfId="1076" priority="14"/>
    <cfRule type="expression" dxfId="1075" priority="221">
      <formula>AND(SUMPRODUCT(IFERROR(1*(($D$646&amp;"x")=(D456&amp;"x")),0))&gt;1,NOT(ISBLANK(D456)))</formula>
    </cfRule>
  </conditionalFormatting>
  <conditionalFormatting sqref="D457">
    <cfRule type="duplicateValues" dxfId="1074" priority="13"/>
    <cfRule type="expression" dxfId="1073" priority="220">
      <formula>AND(SUMPRODUCT(IFERROR(1*(($D$647&amp;"x")=(D457&amp;"x")),0))&gt;1,NOT(ISBLANK(D457)))</formula>
    </cfRule>
  </conditionalFormatting>
  <conditionalFormatting sqref="D458">
    <cfRule type="expression" dxfId="1072" priority="219">
      <formula>AND(SUMPRODUCT(IFERROR(1*(($D$648&amp;"x")=(D458&amp;"x")),0))&gt;1,NOT(ISBLANK(D458)))</formula>
    </cfRule>
    <cfRule type="duplicateValues" dxfId="1071" priority="12"/>
  </conditionalFormatting>
  <conditionalFormatting sqref="D459">
    <cfRule type="expression" dxfId="1070" priority="218">
      <formula>AND(SUMPRODUCT(IFERROR(1*(($D$649&amp;"x")=(D459&amp;"x")),0))&gt;1,NOT(ISBLANK(D459)))</formula>
    </cfRule>
    <cfRule type="duplicateValues" dxfId="1069" priority="11"/>
  </conditionalFormatting>
  <conditionalFormatting sqref="D460">
    <cfRule type="expression" dxfId="1068" priority="217">
      <formula>AND(SUMPRODUCT(IFERROR(1*(($D$650&amp;"x")=(D460&amp;"x")),0))&gt;1,NOT(ISBLANK(D460)))</formula>
    </cfRule>
    <cfRule type="duplicateValues" dxfId="1067" priority="10"/>
  </conditionalFormatting>
  <conditionalFormatting sqref="D461">
    <cfRule type="expression" dxfId="1066" priority="216">
      <formula>AND(SUMPRODUCT(IFERROR(1*(($D$651&amp;"x")=(D461&amp;"x")),0))&gt;1,NOT(ISBLANK(D461)))</formula>
    </cfRule>
    <cfRule type="duplicateValues" dxfId="1065" priority="9"/>
  </conditionalFormatting>
  <conditionalFormatting sqref="D462">
    <cfRule type="expression" dxfId="1064" priority="215">
      <formula>AND(SUMPRODUCT(IFERROR(1*(($D$652&amp;"x")=(D462&amp;"x")),0))&gt;1,NOT(ISBLANK(D462)))</formula>
    </cfRule>
    <cfRule type="duplicateValues" dxfId="1063" priority="8"/>
  </conditionalFormatting>
  <conditionalFormatting sqref="D463">
    <cfRule type="expression" dxfId="1062" priority="214">
      <formula>AND(SUMPRODUCT(IFERROR(1*(($D$653&amp;"x")=(D463&amp;"x")),0))&gt;1,NOT(ISBLANK(D463)))</formula>
    </cfRule>
    <cfRule type="duplicateValues" dxfId="1061" priority="7"/>
  </conditionalFormatting>
  <conditionalFormatting sqref="D464">
    <cfRule type="duplicateValues" dxfId="1060" priority="6"/>
    <cfRule type="expression" dxfId="1059" priority="213">
      <formula>AND(SUMPRODUCT(IFERROR(1*(($D$654&amp;"x")=(D464&amp;"x")),0))&gt;1,NOT(ISBLANK(D464)))</formula>
    </cfRule>
  </conditionalFormatting>
  <conditionalFormatting sqref="D465">
    <cfRule type="duplicateValues" dxfId="1058" priority="5"/>
    <cfRule type="expression" dxfId="1057" priority="212">
      <formula>AND(SUMPRODUCT(IFERROR(1*(($D$655&amp;"x")=(D465&amp;"x")),0))&gt;1,NOT(ISBLANK(D465)))</formula>
    </cfRule>
  </conditionalFormatting>
  <conditionalFormatting sqref="D466">
    <cfRule type="expression" dxfId="1056" priority="211">
      <formula>AND(SUMPRODUCT(IFERROR(1*(($D$656&amp;"x")=(D466&amp;"x")),0))&gt;1,NOT(ISBLANK(D466)))</formula>
    </cfRule>
    <cfRule type="duplicateValues" dxfId="1055" priority="4"/>
  </conditionalFormatting>
  <conditionalFormatting sqref="D467">
    <cfRule type="expression" dxfId="1054" priority="210">
      <formula>AND(SUMPRODUCT(IFERROR(1*(($D$657&amp;"x")=(D467&amp;"x")),0))&gt;1,NOT(ISBLANK(D467)))</formula>
    </cfRule>
    <cfRule type="duplicateValues" dxfId="1053" priority="3"/>
  </conditionalFormatting>
  <conditionalFormatting sqref="D468">
    <cfRule type="duplicateValues" dxfId="1052" priority="2"/>
    <cfRule type="expression" dxfId="1051" priority="209">
      <formula>AND(SUMPRODUCT(IFERROR(1*(($D$658&amp;"x")=(D468&amp;"x")),0))&gt;1,NOT(ISBLANK(D468)))</formula>
    </cfRule>
  </conditionalFormatting>
  <conditionalFormatting sqref="D469">
    <cfRule type="expression" dxfId="1050" priority="208">
      <formula>AND(SUMPRODUCT(IFERROR(1*(($D$659&amp;"x")=(D469&amp;"x")),0))&gt;1,NOT(ISBLANK(D469)))</formula>
    </cfRule>
    <cfRule type="duplicateValues" dxfId="1049" priority="1"/>
  </conditionalFormatting>
  <pageMargins left="0.75" right="0.75" top="1" bottom="1" header="0.51180555555555551" footer="0.51180555555555551"/>
  <pageSetup paperSize="9" orientation="portrait" horizontalDpi="0" verticalDpi="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454"/>
  <sheetViews>
    <sheetView topLeftCell="A433" zoomScaleNormal="100" zoomScaleSheetLayoutView="100" workbookViewId="0">
      <selection activeCell="R194" sqref="R194"/>
    </sheetView>
  </sheetViews>
  <sheetFormatPr defaultRowHeight="12"/>
  <cols>
    <col min="1" max="1" width="9" style="3162"/>
    <col min="2" max="3" width="15.875" style="3176" customWidth="1"/>
    <col min="4" max="4" width="36.375" style="3176" customWidth="1"/>
    <col min="5" max="6" width="15.875" style="3176" customWidth="1"/>
    <col min="7" max="7" width="16.5" style="3176" customWidth="1"/>
    <col min="8" max="9" width="15.5" style="3176" customWidth="1"/>
    <col min="10" max="10" width="14.75" style="3161" customWidth="1"/>
    <col min="11" max="12" width="31.125" style="3162" hidden="1" customWidth="1"/>
    <col min="13" max="13" width="10.125" style="3162" hidden="1" customWidth="1"/>
    <col min="14" max="16" width="0" style="3162" hidden="1" customWidth="1"/>
    <col min="17" max="257" width="9" style="3162"/>
    <col min="258" max="259" width="15.875" style="3162" customWidth="1"/>
    <col min="260" max="260" width="36.375" style="3162" customWidth="1"/>
    <col min="261" max="262" width="15.875" style="3162" customWidth="1"/>
    <col min="263" max="263" width="16.5" style="3162" customWidth="1"/>
    <col min="264" max="265" width="15.5" style="3162" customWidth="1"/>
    <col min="266" max="266" width="14.75" style="3162" customWidth="1"/>
    <col min="267" max="268" width="31.125" style="3162" customWidth="1"/>
    <col min="269" max="269" width="10.125" style="3162" bestFit="1" customWidth="1"/>
    <col min="270" max="513" width="9" style="3162"/>
    <col min="514" max="515" width="15.875" style="3162" customWidth="1"/>
    <col min="516" max="516" width="36.375" style="3162" customWidth="1"/>
    <col min="517" max="518" width="15.875" style="3162" customWidth="1"/>
    <col min="519" max="519" width="16.5" style="3162" customWidth="1"/>
    <col min="520" max="521" width="15.5" style="3162" customWidth="1"/>
    <col min="522" max="522" width="14.75" style="3162" customWidth="1"/>
    <col min="523" max="524" width="31.125" style="3162" customWidth="1"/>
    <col min="525" max="525" width="10.125" style="3162" bestFit="1" customWidth="1"/>
    <col min="526" max="769" width="9" style="3162"/>
    <col min="770" max="771" width="15.875" style="3162" customWidth="1"/>
    <col min="772" max="772" width="36.375" style="3162" customWidth="1"/>
    <col min="773" max="774" width="15.875" style="3162" customWidth="1"/>
    <col min="775" max="775" width="16.5" style="3162" customWidth="1"/>
    <col min="776" max="777" width="15.5" style="3162" customWidth="1"/>
    <col min="778" max="778" width="14.75" style="3162" customWidth="1"/>
    <col min="779" max="780" width="31.125" style="3162" customWidth="1"/>
    <col min="781" max="781" width="10.125" style="3162" bestFit="1" customWidth="1"/>
    <col min="782" max="1025" width="9" style="3162"/>
    <col min="1026" max="1027" width="15.875" style="3162" customWidth="1"/>
    <col min="1028" max="1028" width="36.375" style="3162" customWidth="1"/>
    <col min="1029" max="1030" width="15.875" style="3162" customWidth="1"/>
    <col min="1031" max="1031" width="16.5" style="3162" customWidth="1"/>
    <col min="1032" max="1033" width="15.5" style="3162" customWidth="1"/>
    <col min="1034" max="1034" width="14.75" style="3162" customWidth="1"/>
    <col min="1035" max="1036" width="31.125" style="3162" customWidth="1"/>
    <col min="1037" max="1037" width="10.125" style="3162" bestFit="1" customWidth="1"/>
    <col min="1038" max="1281" width="9" style="3162"/>
    <col min="1282" max="1283" width="15.875" style="3162" customWidth="1"/>
    <col min="1284" max="1284" width="36.375" style="3162" customWidth="1"/>
    <col min="1285" max="1286" width="15.875" style="3162" customWidth="1"/>
    <col min="1287" max="1287" width="16.5" style="3162" customWidth="1"/>
    <col min="1288" max="1289" width="15.5" style="3162" customWidth="1"/>
    <col min="1290" max="1290" width="14.75" style="3162" customWidth="1"/>
    <col min="1291" max="1292" width="31.125" style="3162" customWidth="1"/>
    <col min="1293" max="1293" width="10.125" style="3162" bestFit="1" customWidth="1"/>
    <col min="1294" max="1537" width="9" style="3162"/>
    <col min="1538" max="1539" width="15.875" style="3162" customWidth="1"/>
    <col min="1540" max="1540" width="36.375" style="3162" customWidth="1"/>
    <col min="1541" max="1542" width="15.875" style="3162" customWidth="1"/>
    <col min="1543" max="1543" width="16.5" style="3162" customWidth="1"/>
    <col min="1544" max="1545" width="15.5" style="3162" customWidth="1"/>
    <col min="1546" max="1546" width="14.75" style="3162" customWidth="1"/>
    <col min="1547" max="1548" width="31.125" style="3162" customWidth="1"/>
    <col min="1549" max="1549" width="10.125" style="3162" bestFit="1" customWidth="1"/>
    <col min="1550" max="1793" width="9" style="3162"/>
    <col min="1794" max="1795" width="15.875" style="3162" customWidth="1"/>
    <col min="1796" max="1796" width="36.375" style="3162" customWidth="1"/>
    <col min="1797" max="1798" width="15.875" style="3162" customWidth="1"/>
    <col min="1799" max="1799" width="16.5" style="3162" customWidth="1"/>
    <col min="1800" max="1801" width="15.5" style="3162" customWidth="1"/>
    <col min="1802" max="1802" width="14.75" style="3162" customWidth="1"/>
    <col min="1803" max="1804" width="31.125" style="3162" customWidth="1"/>
    <col min="1805" max="1805" width="10.125" style="3162" bestFit="1" customWidth="1"/>
    <col min="1806" max="2049" width="9" style="3162"/>
    <col min="2050" max="2051" width="15.875" style="3162" customWidth="1"/>
    <col min="2052" max="2052" width="36.375" style="3162" customWidth="1"/>
    <col min="2053" max="2054" width="15.875" style="3162" customWidth="1"/>
    <col min="2055" max="2055" width="16.5" style="3162" customWidth="1"/>
    <col min="2056" max="2057" width="15.5" style="3162" customWidth="1"/>
    <col min="2058" max="2058" width="14.75" style="3162" customWidth="1"/>
    <col min="2059" max="2060" width="31.125" style="3162" customWidth="1"/>
    <col min="2061" max="2061" width="10.125" style="3162" bestFit="1" customWidth="1"/>
    <col min="2062" max="2305" width="9" style="3162"/>
    <col min="2306" max="2307" width="15.875" style="3162" customWidth="1"/>
    <col min="2308" max="2308" width="36.375" style="3162" customWidth="1"/>
    <col min="2309" max="2310" width="15.875" style="3162" customWidth="1"/>
    <col min="2311" max="2311" width="16.5" style="3162" customWidth="1"/>
    <col min="2312" max="2313" width="15.5" style="3162" customWidth="1"/>
    <col min="2314" max="2314" width="14.75" style="3162" customWidth="1"/>
    <col min="2315" max="2316" width="31.125" style="3162" customWidth="1"/>
    <col min="2317" max="2317" width="10.125" style="3162" bestFit="1" customWidth="1"/>
    <col min="2318" max="2561" width="9" style="3162"/>
    <col min="2562" max="2563" width="15.875" style="3162" customWidth="1"/>
    <col min="2564" max="2564" width="36.375" style="3162" customWidth="1"/>
    <col min="2565" max="2566" width="15.875" style="3162" customWidth="1"/>
    <col min="2567" max="2567" width="16.5" style="3162" customWidth="1"/>
    <col min="2568" max="2569" width="15.5" style="3162" customWidth="1"/>
    <col min="2570" max="2570" width="14.75" style="3162" customWidth="1"/>
    <col min="2571" max="2572" width="31.125" style="3162" customWidth="1"/>
    <col min="2573" max="2573" width="10.125" style="3162" bestFit="1" customWidth="1"/>
    <col min="2574" max="2817" width="9" style="3162"/>
    <col min="2818" max="2819" width="15.875" style="3162" customWidth="1"/>
    <col min="2820" max="2820" width="36.375" style="3162" customWidth="1"/>
    <col min="2821" max="2822" width="15.875" style="3162" customWidth="1"/>
    <col min="2823" max="2823" width="16.5" style="3162" customWidth="1"/>
    <col min="2824" max="2825" width="15.5" style="3162" customWidth="1"/>
    <col min="2826" max="2826" width="14.75" style="3162" customWidth="1"/>
    <col min="2827" max="2828" width="31.125" style="3162" customWidth="1"/>
    <col min="2829" max="2829" width="10.125" style="3162" bestFit="1" customWidth="1"/>
    <col min="2830" max="3073" width="9" style="3162"/>
    <col min="3074" max="3075" width="15.875" style="3162" customWidth="1"/>
    <col min="3076" max="3076" width="36.375" style="3162" customWidth="1"/>
    <col min="3077" max="3078" width="15.875" style="3162" customWidth="1"/>
    <col min="3079" max="3079" width="16.5" style="3162" customWidth="1"/>
    <col min="3080" max="3081" width="15.5" style="3162" customWidth="1"/>
    <col min="3082" max="3082" width="14.75" style="3162" customWidth="1"/>
    <col min="3083" max="3084" width="31.125" style="3162" customWidth="1"/>
    <col min="3085" max="3085" width="10.125" style="3162" bestFit="1" customWidth="1"/>
    <col min="3086" max="3329" width="9" style="3162"/>
    <col min="3330" max="3331" width="15.875" style="3162" customWidth="1"/>
    <col min="3332" max="3332" width="36.375" style="3162" customWidth="1"/>
    <col min="3333" max="3334" width="15.875" style="3162" customWidth="1"/>
    <col min="3335" max="3335" width="16.5" style="3162" customWidth="1"/>
    <col min="3336" max="3337" width="15.5" style="3162" customWidth="1"/>
    <col min="3338" max="3338" width="14.75" style="3162" customWidth="1"/>
    <col min="3339" max="3340" width="31.125" style="3162" customWidth="1"/>
    <col min="3341" max="3341" width="10.125" style="3162" bestFit="1" customWidth="1"/>
    <col min="3342" max="3585" width="9" style="3162"/>
    <col min="3586" max="3587" width="15.875" style="3162" customWidth="1"/>
    <col min="3588" max="3588" width="36.375" style="3162" customWidth="1"/>
    <col min="3589" max="3590" width="15.875" style="3162" customWidth="1"/>
    <col min="3591" max="3591" width="16.5" style="3162" customWidth="1"/>
    <col min="3592" max="3593" width="15.5" style="3162" customWidth="1"/>
    <col min="3594" max="3594" width="14.75" style="3162" customWidth="1"/>
    <col min="3595" max="3596" width="31.125" style="3162" customWidth="1"/>
    <col min="3597" max="3597" width="10.125" style="3162" bestFit="1" customWidth="1"/>
    <col min="3598" max="3841" width="9" style="3162"/>
    <col min="3842" max="3843" width="15.875" style="3162" customWidth="1"/>
    <col min="3844" max="3844" width="36.375" style="3162" customWidth="1"/>
    <col min="3845" max="3846" width="15.875" style="3162" customWidth="1"/>
    <col min="3847" max="3847" width="16.5" style="3162" customWidth="1"/>
    <col min="3848" max="3849" width="15.5" style="3162" customWidth="1"/>
    <col min="3850" max="3850" width="14.75" style="3162" customWidth="1"/>
    <col min="3851" max="3852" width="31.125" style="3162" customWidth="1"/>
    <col min="3853" max="3853" width="10.125" style="3162" bestFit="1" customWidth="1"/>
    <col min="3854" max="4097" width="9" style="3162"/>
    <col min="4098" max="4099" width="15.875" style="3162" customWidth="1"/>
    <col min="4100" max="4100" width="36.375" style="3162" customWidth="1"/>
    <col min="4101" max="4102" width="15.875" style="3162" customWidth="1"/>
    <col min="4103" max="4103" width="16.5" style="3162" customWidth="1"/>
    <col min="4104" max="4105" width="15.5" style="3162" customWidth="1"/>
    <col min="4106" max="4106" width="14.75" style="3162" customWidth="1"/>
    <col min="4107" max="4108" width="31.125" style="3162" customWidth="1"/>
    <col min="4109" max="4109" width="10.125" style="3162" bestFit="1" customWidth="1"/>
    <col min="4110" max="4353" width="9" style="3162"/>
    <col min="4354" max="4355" width="15.875" style="3162" customWidth="1"/>
    <col min="4356" max="4356" width="36.375" style="3162" customWidth="1"/>
    <col min="4357" max="4358" width="15.875" style="3162" customWidth="1"/>
    <col min="4359" max="4359" width="16.5" style="3162" customWidth="1"/>
    <col min="4360" max="4361" width="15.5" style="3162" customWidth="1"/>
    <col min="4362" max="4362" width="14.75" style="3162" customWidth="1"/>
    <col min="4363" max="4364" width="31.125" style="3162" customWidth="1"/>
    <col min="4365" max="4365" width="10.125" style="3162" bestFit="1" customWidth="1"/>
    <col min="4366" max="4609" width="9" style="3162"/>
    <col min="4610" max="4611" width="15.875" style="3162" customWidth="1"/>
    <col min="4612" max="4612" width="36.375" style="3162" customWidth="1"/>
    <col min="4613" max="4614" width="15.875" style="3162" customWidth="1"/>
    <col min="4615" max="4615" width="16.5" style="3162" customWidth="1"/>
    <col min="4616" max="4617" width="15.5" style="3162" customWidth="1"/>
    <col min="4618" max="4618" width="14.75" style="3162" customWidth="1"/>
    <col min="4619" max="4620" width="31.125" style="3162" customWidth="1"/>
    <col min="4621" max="4621" width="10.125" style="3162" bestFit="1" customWidth="1"/>
    <col min="4622" max="4865" width="9" style="3162"/>
    <col min="4866" max="4867" width="15.875" style="3162" customWidth="1"/>
    <col min="4868" max="4868" width="36.375" style="3162" customWidth="1"/>
    <col min="4869" max="4870" width="15.875" style="3162" customWidth="1"/>
    <col min="4871" max="4871" width="16.5" style="3162" customWidth="1"/>
    <col min="4872" max="4873" width="15.5" style="3162" customWidth="1"/>
    <col min="4874" max="4874" width="14.75" style="3162" customWidth="1"/>
    <col min="4875" max="4876" width="31.125" style="3162" customWidth="1"/>
    <col min="4877" max="4877" width="10.125" style="3162" bestFit="1" customWidth="1"/>
    <col min="4878" max="5121" width="9" style="3162"/>
    <col min="5122" max="5123" width="15.875" style="3162" customWidth="1"/>
    <col min="5124" max="5124" width="36.375" style="3162" customWidth="1"/>
    <col min="5125" max="5126" width="15.875" style="3162" customWidth="1"/>
    <col min="5127" max="5127" width="16.5" style="3162" customWidth="1"/>
    <col min="5128" max="5129" width="15.5" style="3162" customWidth="1"/>
    <col min="5130" max="5130" width="14.75" style="3162" customWidth="1"/>
    <col min="5131" max="5132" width="31.125" style="3162" customWidth="1"/>
    <col min="5133" max="5133" width="10.125" style="3162" bestFit="1" customWidth="1"/>
    <col min="5134" max="5377" width="9" style="3162"/>
    <col min="5378" max="5379" width="15.875" style="3162" customWidth="1"/>
    <col min="5380" max="5380" width="36.375" style="3162" customWidth="1"/>
    <col min="5381" max="5382" width="15.875" style="3162" customWidth="1"/>
    <col min="5383" max="5383" width="16.5" style="3162" customWidth="1"/>
    <col min="5384" max="5385" width="15.5" style="3162" customWidth="1"/>
    <col min="5386" max="5386" width="14.75" style="3162" customWidth="1"/>
    <col min="5387" max="5388" width="31.125" style="3162" customWidth="1"/>
    <col min="5389" max="5389" width="10.125" style="3162" bestFit="1" customWidth="1"/>
    <col min="5390" max="5633" width="9" style="3162"/>
    <col min="5634" max="5635" width="15.875" style="3162" customWidth="1"/>
    <col min="5636" max="5636" width="36.375" style="3162" customWidth="1"/>
    <col min="5637" max="5638" width="15.875" style="3162" customWidth="1"/>
    <col min="5639" max="5639" width="16.5" style="3162" customWidth="1"/>
    <col min="5640" max="5641" width="15.5" style="3162" customWidth="1"/>
    <col min="5642" max="5642" width="14.75" style="3162" customWidth="1"/>
    <col min="5643" max="5644" width="31.125" style="3162" customWidth="1"/>
    <col min="5645" max="5645" width="10.125" style="3162" bestFit="1" customWidth="1"/>
    <col min="5646" max="5889" width="9" style="3162"/>
    <col min="5890" max="5891" width="15.875" style="3162" customWidth="1"/>
    <col min="5892" max="5892" width="36.375" style="3162" customWidth="1"/>
    <col min="5893" max="5894" width="15.875" style="3162" customWidth="1"/>
    <col min="5895" max="5895" width="16.5" style="3162" customWidth="1"/>
    <col min="5896" max="5897" width="15.5" style="3162" customWidth="1"/>
    <col min="5898" max="5898" width="14.75" style="3162" customWidth="1"/>
    <col min="5899" max="5900" width="31.125" style="3162" customWidth="1"/>
    <col min="5901" max="5901" width="10.125" style="3162" bestFit="1" customWidth="1"/>
    <col min="5902" max="6145" width="9" style="3162"/>
    <col min="6146" max="6147" width="15.875" style="3162" customWidth="1"/>
    <col min="6148" max="6148" width="36.375" style="3162" customWidth="1"/>
    <col min="6149" max="6150" width="15.875" style="3162" customWidth="1"/>
    <col min="6151" max="6151" width="16.5" style="3162" customWidth="1"/>
    <col min="6152" max="6153" width="15.5" style="3162" customWidth="1"/>
    <col min="6154" max="6154" width="14.75" style="3162" customWidth="1"/>
    <col min="6155" max="6156" width="31.125" style="3162" customWidth="1"/>
    <col min="6157" max="6157" width="10.125" style="3162" bestFit="1" customWidth="1"/>
    <col min="6158" max="6401" width="9" style="3162"/>
    <col min="6402" max="6403" width="15.875" style="3162" customWidth="1"/>
    <col min="6404" max="6404" width="36.375" style="3162" customWidth="1"/>
    <col min="6405" max="6406" width="15.875" style="3162" customWidth="1"/>
    <col min="6407" max="6407" width="16.5" style="3162" customWidth="1"/>
    <col min="6408" max="6409" width="15.5" style="3162" customWidth="1"/>
    <col min="6410" max="6410" width="14.75" style="3162" customWidth="1"/>
    <col min="6411" max="6412" width="31.125" style="3162" customWidth="1"/>
    <col min="6413" max="6413" width="10.125" style="3162" bestFit="1" customWidth="1"/>
    <col min="6414" max="6657" width="9" style="3162"/>
    <col min="6658" max="6659" width="15.875" style="3162" customWidth="1"/>
    <col min="6660" max="6660" width="36.375" style="3162" customWidth="1"/>
    <col min="6661" max="6662" width="15.875" style="3162" customWidth="1"/>
    <col min="6663" max="6663" width="16.5" style="3162" customWidth="1"/>
    <col min="6664" max="6665" width="15.5" style="3162" customWidth="1"/>
    <col min="6666" max="6666" width="14.75" style="3162" customWidth="1"/>
    <col min="6667" max="6668" width="31.125" style="3162" customWidth="1"/>
    <col min="6669" max="6669" width="10.125" style="3162" bestFit="1" customWidth="1"/>
    <col min="6670" max="6913" width="9" style="3162"/>
    <col min="6914" max="6915" width="15.875" style="3162" customWidth="1"/>
    <col min="6916" max="6916" width="36.375" style="3162" customWidth="1"/>
    <col min="6917" max="6918" width="15.875" style="3162" customWidth="1"/>
    <col min="6919" max="6919" width="16.5" style="3162" customWidth="1"/>
    <col min="6920" max="6921" width="15.5" style="3162" customWidth="1"/>
    <col min="6922" max="6922" width="14.75" style="3162" customWidth="1"/>
    <col min="6923" max="6924" width="31.125" style="3162" customWidth="1"/>
    <col min="6925" max="6925" width="10.125" style="3162" bestFit="1" customWidth="1"/>
    <col min="6926" max="7169" width="9" style="3162"/>
    <col min="7170" max="7171" width="15.875" style="3162" customWidth="1"/>
    <col min="7172" max="7172" width="36.375" style="3162" customWidth="1"/>
    <col min="7173" max="7174" width="15.875" style="3162" customWidth="1"/>
    <col min="7175" max="7175" width="16.5" style="3162" customWidth="1"/>
    <col min="7176" max="7177" width="15.5" style="3162" customWidth="1"/>
    <col min="7178" max="7178" width="14.75" style="3162" customWidth="1"/>
    <col min="7179" max="7180" width="31.125" style="3162" customWidth="1"/>
    <col min="7181" max="7181" width="10.125" style="3162" bestFit="1" customWidth="1"/>
    <col min="7182" max="7425" width="9" style="3162"/>
    <col min="7426" max="7427" width="15.875" style="3162" customWidth="1"/>
    <col min="7428" max="7428" width="36.375" style="3162" customWidth="1"/>
    <col min="7429" max="7430" width="15.875" style="3162" customWidth="1"/>
    <col min="7431" max="7431" width="16.5" style="3162" customWidth="1"/>
    <col min="7432" max="7433" width="15.5" style="3162" customWidth="1"/>
    <col min="7434" max="7434" width="14.75" style="3162" customWidth="1"/>
    <col min="7435" max="7436" width="31.125" style="3162" customWidth="1"/>
    <col min="7437" max="7437" width="10.125" style="3162" bestFit="1" customWidth="1"/>
    <col min="7438" max="7681" width="9" style="3162"/>
    <col min="7682" max="7683" width="15.875" style="3162" customWidth="1"/>
    <col min="7684" max="7684" width="36.375" style="3162" customWidth="1"/>
    <col min="7685" max="7686" width="15.875" style="3162" customWidth="1"/>
    <col min="7687" max="7687" width="16.5" style="3162" customWidth="1"/>
    <col min="7688" max="7689" width="15.5" style="3162" customWidth="1"/>
    <col min="7690" max="7690" width="14.75" style="3162" customWidth="1"/>
    <col min="7691" max="7692" width="31.125" style="3162" customWidth="1"/>
    <col min="7693" max="7693" width="10.125" style="3162" bestFit="1" customWidth="1"/>
    <col min="7694" max="7937" width="9" style="3162"/>
    <col min="7938" max="7939" width="15.875" style="3162" customWidth="1"/>
    <col min="7940" max="7940" width="36.375" style="3162" customWidth="1"/>
    <col min="7941" max="7942" width="15.875" style="3162" customWidth="1"/>
    <col min="7943" max="7943" width="16.5" style="3162" customWidth="1"/>
    <col min="7944" max="7945" width="15.5" style="3162" customWidth="1"/>
    <col min="7946" max="7946" width="14.75" style="3162" customWidth="1"/>
    <col min="7947" max="7948" width="31.125" style="3162" customWidth="1"/>
    <col min="7949" max="7949" width="10.125" style="3162" bestFit="1" customWidth="1"/>
    <col min="7950" max="8193" width="9" style="3162"/>
    <col min="8194" max="8195" width="15.875" style="3162" customWidth="1"/>
    <col min="8196" max="8196" width="36.375" style="3162" customWidth="1"/>
    <col min="8197" max="8198" width="15.875" style="3162" customWidth="1"/>
    <col min="8199" max="8199" width="16.5" style="3162" customWidth="1"/>
    <col min="8200" max="8201" width="15.5" style="3162" customWidth="1"/>
    <col min="8202" max="8202" width="14.75" style="3162" customWidth="1"/>
    <col min="8203" max="8204" width="31.125" style="3162" customWidth="1"/>
    <col min="8205" max="8205" width="10.125" style="3162" bestFit="1" customWidth="1"/>
    <col min="8206" max="8449" width="9" style="3162"/>
    <col min="8450" max="8451" width="15.875" style="3162" customWidth="1"/>
    <col min="8452" max="8452" width="36.375" style="3162" customWidth="1"/>
    <col min="8453" max="8454" width="15.875" style="3162" customWidth="1"/>
    <col min="8455" max="8455" width="16.5" style="3162" customWidth="1"/>
    <col min="8456" max="8457" width="15.5" style="3162" customWidth="1"/>
    <col min="8458" max="8458" width="14.75" style="3162" customWidth="1"/>
    <col min="8459" max="8460" width="31.125" style="3162" customWidth="1"/>
    <col min="8461" max="8461" width="10.125" style="3162" bestFit="1" customWidth="1"/>
    <col min="8462" max="8705" width="9" style="3162"/>
    <col min="8706" max="8707" width="15.875" style="3162" customWidth="1"/>
    <col min="8708" max="8708" width="36.375" style="3162" customWidth="1"/>
    <col min="8709" max="8710" width="15.875" style="3162" customWidth="1"/>
    <col min="8711" max="8711" width="16.5" style="3162" customWidth="1"/>
    <col min="8712" max="8713" width="15.5" style="3162" customWidth="1"/>
    <col min="8714" max="8714" width="14.75" style="3162" customWidth="1"/>
    <col min="8715" max="8716" width="31.125" style="3162" customWidth="1"/>
    <col min="8717" max="8717" width="10.125" style="3162" bestFit="1" customWidth="1"/>
    <col min="8718" max="8961" width="9" style="3162"/>
    <col min="8962" max="8963" width="15.875" style="3162" customWidth="1"/>
    <col min="8964" max="8964" width="36.375" style="3162" customWidth="1"/>
    <col min="8965" max="8966" width="15.875" style="3162" customWidth="1"/>
    <col min="8967" max="8967" width="16.5" style="3162" customWidth="1"/>
    <col min="8968" max="8969" width="15.5" style="3162" customWidth="1"/>
    <col min="8970" max="8970" width="14.75" style="3162" customWidth="1"/>
    <col min="8971" max="8972" width="31.125" style="3162" customWidth="1"/>
    <col min="8973" max="8973" width="10.125" style="3162" bestFit="1" customWidth="1"/>
    <col min="8974" max="9217" width="9" style="3162"/>
    <col min="9218" max="9219" width="15.875" style="3162" customWidth="1"/>
    <col min="9220" max="9220" width="36.375" style="3162" customWidth="1"/>
    <col min="9221" max="9222" width="15.875" style="3162" customWidth="1"/>
    <col min="9223" max="9223" width="16.5" style="3162" customWidth="1"/>
    <col min="9224" max="9225" width="15.5" style="3162" customWidth="1"/>
    <col min="9226" max="9226" width="14.75" style="3162" customWidth="1"/>
    <col min="9227" max="9228" width="31.125" style="3162" customWidth="1"/>
    <col min="9229" max="9229" width="10.125" style="3162" bestFit="1" customWidth="1"/>
    <col min="9230" max="9473" width="9" style="3162"/>
    <col min="9474" max="9475" width="15.875" style="3162" customWidth="1"/>
    <col min="9476" max="9476" width="36.375" style="3162" customWidth="1"/>
    <col min="9477" max="9478" width="15.875" style="3162" customWidth="1"/>
    <col min="9479" max="9479" width="16.5" style="3162" customWidth="1"/>
    <col min="9480" max="9481" width="15.5" style="3162" customWidth="1"/>
    <col min="9482" max="9482" width="14.75" style="3162" customWidth="1"/>
    <col min="9483" max="9484" width="31.125" style="3162" customWidth="1"/>
    <col min="9485" max="9485" width="10.125" style="3162" bestFit="1" customWidth="1"/>
    <col min="9486" max="9729" width="9" style="3162"/>
    <col min="9730" max="9731" width="15.875" style="3162" customWidth="1"/>
    <col min="9732" max="9732" width="36.375" style="3162" customWidth="1"/>
    <col min="9733" max="9734" width="15.875" style="3162" customWidth="1"/>
    <col min="9735" max="9735" width="16.5" style="3162" customWidth="1"/>
    <col min="9736" max="9737" width="15.5" style="3162" customWidth="1"/>
    <col min="9738" max="9738" width="14.75" style="3162" customWidth="1"/>
    <col min="9739" max="9740" width="31.125" style="3162" customWidth="1"/>
    <col min="9741" max="9741" width="10.125" style="3162" bestFit="1" customWidth="1"/>
    <col min="9742" max="9985" width="9" style="3162"/>
    <col min="9986" max="9987" width="15.875" style="3162" customWidth="1"/>
    <col min="9988" max="9988" width="36.375" style="3162" customWidth="1"/>
    <col min="9989" max="9990" width="15.875" style="3162" customWidth="1"/>
    <col min="9991" max="9991" width="16.5" style="3162" customWidth="1"/>
    <col min="9992" max="9993" width="15.5" style="3162" customWidth="1"/>
    <col min="9994" max="9994" width="14.75" style="3162" customWidth="1"/>
    <col min="9995" max="9996" width="31.125" style="3162" customWidth="1"/>
    <col min="9997" max="9997" width="10.125" style="3162" bestFit="1" customWidth="1"/>
    <col min="9998" max="10241" width="9" style="3162"/>
    <col min="10242" max="10243" width="15.875" style="3162" customWidth="1"/>
    <col min="10244" max="10244" width="36.375" style="3162" customWidth="1"/>
    <col min="10245" max="10246" width="15.875" style="3162" customWidth="1"/>
    <col min="10247" max="10247" width="16.5" style="3162" customWidth="1"/>
    <col min="10248" max="10249" width="15.5" style="3162" customWidth="1"/>
    <col min="10250" max="10250" width="14.75" style="3162" customWidth="1"/>
    <col min="10251" max="10252" width="31.125" style="3162" customWidth="1"/>
    <col min="10253" max="10253" width="10.125" style="3162" bestFit="1" customWidth="1"/>
    <col min="10254" max="10497" width="9" style="3162"/>
    <col min="10498" max="10499" width="15.875" style="3162" customWidth="1"/>
    <col min="10500" max="10500" width="36.375" style="3162" customWidth="1"/>
    <col min="10501" max="10502" width="15.875" style="3162" customWidth="1"/>
    <col min="10503" max="10503" width="16.5" style="3162" customWidth="1"/>
    <col min="10504" max="10505" width="15.5" style="3162" customWidth="1"/>
    <col min="10506" max="10506" width="14.75" style="3162" customWidth="1"/>
    <col min="10507" max="10508" width="31.125" style="3162" customWidth="1"/>
    <col min="10509" max="10509" width="10.125" style="3162" bestFit="1" customWidth="1"/>
    <col min="10510" max="10753" width="9" style="3162"/>
    <col min="10754" max="10755" width="15.875" style="3162" customWidth="1"/>
    <col min="10756" max="10756" width="36.375" style="3162" customWidth="1"/>
    <col min="10757" max="10758" width="15.875" style="3162" customWidth="1"/>
    <col min="10759" max="10759" width="16.5" style="3162" customWidth="1"/>
    <col min="10760" max="10761" width="15.5" style="3162" customWidth="1"/>
    <col min="10762" max="10762" width="14.75" style="3162" customWidth="1"/>
    <col min="10763" max="10764" width="31.125" style="3162" customWidth="1"/>
    <col min="10765" max="10765" width="10.125" style="3162" bestFit="1" customWidth="1"/>
    <col min="10766" max="11009" width="9" style="3162"/>
    <col min="11010" max="11011" width="15.875" style="3162" customWidth="1"/>
    <col min="11012" max="11012" width="36.375" style="3162" customWidth="1"/>
    <col min="11013" max="11014" width="15.875" style="3162" customWidth="1"/>
    <col min="11015" max="11015" width="16.5" style="3162" customWidth="1"/>
    <col min="11016" max="11017" width="15.5" style="3162" customWidth="1"/>
    <col min="11018" max="11018" width="14.75" style="3162" customWidth="1"/>
    <col min="11019" max="11020" width="31.125" style="3162" customWidth="1"/>
    <col min="11021" max="11021" width="10.125" style="3162" bestFit="1" customWidth="1"/>
    <col min="11022" max="11265" width="9" style="3162"/>
    <col min="11266" max="11267" width="15.875" style="3162" customWidth="1"/>
    <col min="11268" max="11268" width="36.375" style="3162" customWidth="1"/>
    <col min="11269" max="11270" width="15.875" style="3162" customWidth="1"/>
    <col min="11271" max="11271" width="16.5" style="3162" customWidth="1"/>
    <col min="11272" max="11273" width="15.5" style="3162" customWidth="1"/>
    <col min="11274" max="11274" width="14.75" style="3162" customWidth="1"/>
    <col min="11275" max="11276" width="31.125" style="3162" customWidth="1"/>
    <col min="11277" max="11277" width="10.125" style="3162" bestFit="1" customWidth="1"/>
    <col min="11278" max="11521" width="9" style="3162"/>
    <col min="11522" max="11523" width="15.875" style="3162" customWidth="1"/>
    <col min="11524" max="11524" width="36.375" style="3162" customWidth="1"/>
    <col min="11525" max="11526" width="15.875" style="3162" customWidth="1"/>
    <col min="11527" max="11527" width="16.5" style="3162" customWidth="1"/>
    <col min="11528" max="11529" width="15.5" style="3162" customWidth="1"/>
    <col min="11530" max="11530" width="14.75" style="3162" customWidth="1"/>
    <col min="11531" max="11532" width="31.125" style="3162" customWidth="1"/>
    <col min="11533" max="11533" width="10.125" style="3162" bestFit="1" customWidth="1"/>
    <col min="11534" max="11777" width="9" style="3162"/>
    <col min="11778" max="11779" width="15.875" style="3162" customWidth="1"/>
    <col min="11780" max="11780" width="36.375" style="3162" customWidth="1"/>
    <col min="11781" max="11782" width="15.875" style="3162" customWidth="1"/>
    <col min="11783" max="11783" width="16.5" style="3162" customWidth="1"/>
    <col min="11784" max="11785" width="15.5" style="3162" customWidth="1"/>
    <col min="11786" max="11786" width="14.75" style="3162" customWidth="1"/>
    <col min="11787" max="11788" width="31.125" style="3162" customWidth="1"/>
    <col min="11789" max="11789" width="10.125" style="3162" bestFit="1" customWidth="1"/>
    <col min="11790" max="12033" width="9" style="3162"/>
    <col min="12034" max="12035" width="15.875" style="3162" customWidth="1"/>
    <col min="12036" max="12036" width="36.375" style="3162" customWidth="1"/>
    <col min="12037" max="12038" width="15.875" style="3162" customWidth="1"/>
    <col min="12039" max="12039" width="16.5" style="3162" customWidth="1"/>
    <col min="12040" max="12041" width="15.5" style="3162" customWidth="1"/>
    <col min="12042" max="12042" width="14.75" style="3162" customWidth="1"/>
    <col min="12043" max="12044" width="31.125" style="3162" customWidth="1"/>
    <col min="12045" max="12045" width="10.125" style="3162" bestFit="1" customWidth="1"/>
    <col min="12046" max="12289" width="9" style="3162"/>
    <col min="12290" max="12291" width="15.875" style="3162" customWidth="1"/>
    <col min="12292" max="12292" width="36.375" style="3162" customWidth="1"/>
    <col min="12293" max="12294" width="15.875" style="3162" customWidth="1"/>
    <col min="12295" max="12295" width="16.5" style="3162" customWidth="1"/>
    <col min="12296" max="12297" width="15.5" style="3162" customWidth="1"/>
    <col min="12298" max="12298" width="14.75" style="3162" customWidth="1"/>
    <col min="12299" max="12300" width="31.125" style="3162" customWidth="1"/>
    <col min="12301" max="12301" width="10.125" style="3162" bestFit="1" customWidth="1"/>
    <col min="12302" max="12545" width="9" style="3162"/>
    <col min="12546" max="12547" width="15.875" style="3162" customWidth="1"/>
    <col min="12548" max="12548" width="36.375" style="3162" customWidth="1"/>
    <col min="12549" max="12550" width="15.875" style="3162" customWidth="1"/>
    <col min="12551" max="12551" width="16.5" style="3162" customWidth="1"/>
    <col min="12552" max="12553" width="15.5" style="3162" customWidth="1"/>
    <col min="12554" max="12554" width="14.75" style="3162" customWidth="1"/>
    <col min="12555" max="12556" width="31.125" style="3162" customWidth="1"/>
    <col min="12557" max="12557" width="10.125" style="3162" bestFit="1" customWidth="1"/>
    <col min="12558" max="12801" width="9" style="3162"/>
    <col min="12802" max="12803" width="15.875" style="3162" customWidth="1"/>
    <col min="12804" max="12804" width="36.375" style="3162" customWidth="1"/>
    <col min="12805" max="12806" width="15.875" style="3162" customWidth="1"/>
    <col min="12807" max="12807" width="16.5" style="3162" customWidth="1"/>
    <col min="12808" max="12809" width="15.5" style="3162" customWidth="1"/>
    <col min="12810" max="12810" width="14.75" style="3162" customWidth="1"/>
    <col min="12811" max="12812" width="31.125" style="3162" customWidth="1"/>
    <col min="12813" max="12813" width="10.125" style="3162" bestFit="1" customWidth="1"/>
    <col min="12814" max="13057" width="9" style="3162"/>
    <col min="13058" max="13059" width="15.875" style="3162" customWidth="1"/>
    <col min="13060" max="13060" width="36.375" style="3162" customWidth="1"/>
    <col min="13061" max="13062" width="15.875" style="3162" customWidth="1"/>
    <col min="13063" max="13063" width="16.5" style="3162" customWidth="1"/>
    <col min="13064" max="13065" width="15.5" style="3162" customWidth="1"/>
    <col min="13066" max="13066" width="14.75" style="3162" customWidth="1"/>
    <col min="13067" max="13068" width="31.125" style="3162" customWidth="1"/>
    <col min="13069" max="13069" width="10.125" style="3162" bestFit="1" customWidth="1"/>
    <col min="13070" max="13313" width="9" style="3162"/>
    <col min="13314" max="13315" width="15.875" style="3162" customWidth="1"/>
    <col min="13316" max="13316" width="36.375" style="3162" customWidth="1"/>
    <col min="13317" max="13318" width="15.875" style="3162" customWidth="1"/>
    <col min="13319" max="13319" width="16.5" style="3162" customWidth="1"/>
    <col min="13320" max="13321" width="15.5" style="3162" customWidth="1"/>
    <col min="13322" max="13322" width="14.75" style="3162" customWidth="1"/>
    <col min="13323" max="13324" width="31.125" style="3162" customWidth="1"/>
    <col min="13325" max="13325" width="10.125" style="3162" bestFit="1" customWidth="1"/>
    <col min="13326" max="13569" width="9" style="3162"/>
    <col min="13570" max="13571" width="15.875" style="3162" customWidth="1"/>
    <col min="13572" max="13572" width="36.375" style="3162" customWidth="1"/>
    <col min="13573" max="13574" width="15.875" style="3162" customWidth="1"/>
    <col min="13575" max="13575" width="16.5" style="3162" customWidth="1"/>
    <col min="13576" max="13577" width="15.5" style="3162" customWidth="1"/>
    <col min="13578" max="13578" width="14.75" style="3162" customWidth="1"/>
    <col min="13579" max="13580" width="31.125" style="3162" customWidth="1"/>
    <col min="13581" max="13581" width="10.125" style="3162" bestFit="1" customWidth="1"/>
    <col min="13582" max="13825" width="9" style="3162"/>
    <col min="13826" max="13827" width="15.875" style="3162" customWidth="1"/>
    <col min="13828" max="13828" width="36.375" style="3162" customWidth="1"/>
    <col min="13829" max="13830" width="15.875" style="3162" customWidth="1"/>
    <col min="13831" max="13831" width="16.5" style="3162" customWidth="1"/>
    <col min="13832" max="13833" width="15.5" style="3162" customWidth="1"/>
    <col min="13834" max="13834" width="14.75" style="3162" customWidth="1"/>
    <col min="13835" max="13836" width="31.125" style="3162" customWidth="1"/>
    <col min="13837" max="13837" width="10.125" style="3162" bestFit="1" customWidth="1"/>
    <col min="13838" max="14081" width="9" style="3162"/>
    <col min="14082" max="14083" width="15.875" style="3162" customWidth="1"/>
    <col min="14084" max="14084" width="36.375" style="3162" customWidth="1"/>
    <col min="14085" max="14086" width="15.875" style="3162" customWidth="1"/>
    <col min="14087" max="14087" width="16.5" style="3162" customWidth="1"/>
    <col min="14088" max="14089" width="15.5" style="3162" customWidth="1"/>
    <col min="14090" max="14090" width="14.75" style="3162" customWidth="1"/>
    <col min="14091" max="14092" width="31.125" style="3162" customWidth="1"/>
    <col min="14093" max="14093" width="10.125" style="3162" bestFit="1" customWidth="1"/>
    <col min="14094" max="14337" width="9" style="3162"/>
    <col min="14338" max="14339" width="15.875" style="3162" customWidth="1"/>
    <col min="14340" max="14340" width="36.375" style="3162" customWidth="1"/>
    <col min="14341" max="14342" width="15.875" style="3162" customWidth="1"/>
    <col min="14343" max="14343" width="16.5" style="3162" customWidth="1"/>
    <col min="14344" max="14345" width="15.5" style="3162" customWidth="1"/>
    <col min="14346" max="14346" width="14.75" style="3162" customWidth="1"/>
    <col min="14347" max="14348" width="31.125" style="3162" customWidth="1"/>
    <col min="14349" max="14349" width="10.125" style="3162" bestFit="1" customWidth="1"/>
    <col min="14350" max="14593" width="9" style="3162"/>
    <col min="14594" max="14595" width="15.875" style="3162" customWidth="1"/>
    <col min="14596" max="14596" width="36.375" style="3162" customWidth="1"/>
    <col min="14597" max="14598" width="15.875" style="3162" customWidth="1"/>
    <col min="14599" max="14599" width="16.5" style="3162" customWidth="1"/>
    <col min="14600" max="14601" width="15.5" style="3162" customWidth="1"/>
    <col min="14602" max="14602" width="14.75" style="3162" customWidth="1"/>
    <col min="14603" max="14604" width="31.125" style="3162" customWidth="1"/>
    <col min="14605" max="14605" width="10.125" style="3162" bestFit="1" customWidth="1"/>
    <col min="14606" max="14849" width="9" style="3162"/>
    <col min="14850" max="14851" width="15.875" style="3162" customWidth="1"/>
    <col min="14852" max="14852" width="36.375" style="3162" customWidth="1"/>
    <col min="14853" max="14854" width="15.875" style="3162" customWidth="1"/>
    <col min="14855" max="14855" width="16.5" style="3162" customWidth="1"/>
    <col min="14856" max="14857" width="15.5" style="3162" customWidth="1"/>
    <col min="14858" max="14858" width="14.75" style="3162" customWidth="1"/>
    <col min="14859" max="14860" width="31.125" style="3162" customWidth="1"/>
    <col min="14861" max="14861" width="10.125" style="3162" bestFit="1" customWidth="1"/>
    <col min="14862" max="15105" width="9" style="3162"/>
    <col min="15106" max="15107" width="15.875" style="3162" customWidth="1"/>
    <col min="15108" max="15108" width="36.375" style="3162" customWidth="1"/>
    <col min="15109" max="15110" width="15.875" style="3162" customWidth="1"/>
    <col min="15111" max="15111" width="16.5" style="3162" customWidth="1"/>
    <col min="15112" max="15113" width="15.5" style="3162" customWidth="1"/>
    <col min="15114" max="15114" width="14.75" style="3162" customWidth="1"/>
    <col min="15115" max="15116" width="31.125" style="3162" customWidth="1"/>
    <col min="15117" max="15117" width="10.125" style="3162" bestFit="1" customWidth="1"/>
    <col min="15118" max="15361" width="9" style="3162"/>
    <col min="15362" max="15363" width="15.875" style="3162" customWidth="1"/>
    <col min="15364" max="15364" width="36.375" style="3162" customWidth="1"/>
    <col min="15365" max="15366" width="15.875" style="3162" customWidth="1"/>
    <col min="15367" max="15367" width="16.5" style="3162" customWidth="1"/>
    <col min="15368" max="15369" width="15.5" style="3162" customWidth="1"/>
    <col min="15370" max="15370" width="14.75" style="3162" customWidth="1"/>
    <col min="15371" max="15372" width="31.125" style="3162" customWidth="1"/>
    <col min="15373" max="15373" width="10.125" style="3162" bestFit="1" customWidth="1"/>
    <col min="15374" max="15617" width="9" style="3162"/>
    <col min="15618" max="15619" width="15.875" style="3162" customWidth="1"/>
    <col min="15620" max="15620" width="36.375" style="3162" customWidth="1"/>
    <col min="15621" max="15622" width="15.875" style="3162" customWidth="1"/>
    <col min="15623" max="15623" width="16.5" style="3162" customWidth="1"/>
    <col min="15624" max="15625" width="15.5" style="3162" customWidth="1"/>
    <col min="15626" max="15626" width="14.75" style="3162" customWidth="1"/>
    <col min="15627" max="15628" width="31.125" style="3162" customWidth="1"/>
    <col min="15629" max="15629" width="10.125" style="3162" bestFit="1" customWidth="1"/>
    <col min="15630" max="15873" width="9" style="3162"/>
    <col min="15874" max="15875" width="15.875" style="3162" customWidth="1"/>
    <col min="15876" max="15876" width="36.375" style="3162" customWidth="1"/>
    <col min="15877" max="15878" width="15.875" style="3162" customWidth="1"/>
    <col min="15879" max="15879" width="16.5" style="3162" customWidth="1"/>
    <col min="15880" max="15881" width="15.5" style="3162" customWidth="1"/>
    <col min="15882" max="15882" width="14.75" style="3162" customWidth="1"/>
    <col min="15883" max="15884" width="31.125" style="3162" customWidth="1"/>
    <col min="15885" max="15885" width="10.125" style="3162" bestFit="1" customWidth="1"/>
    <col min="15886" max="16129" width="9" style="3162"/>
    <col min="16130" max="16131" width="15.875" style="3162" customWidth="1"/>
    <col min="16132" max="16132" width="36.375" style="3162" customWidth="1"/>
    <col min="16133" max="16134" width="15.875" style="3162" customWidth="1"/>
    <col min="16135" max="16135" width="16.5" style="3162" customWidth="1"/>
    <col min="16136" max="16137" width="15.5" style="3162" customWidth="1"/>
    <col min="16138" max="16138" width="14.75" style="3162" customWidth="1"/>
    <col min="16139" max="16140" width="31.125" style="3162" customWidth="1"/>
    <col min="16141" max="16141" width="10.125" style="3162" bestFit="1" customWidth="1"/>
    <col min="16142" max="16384" width="9" style="3162"/>
  </cols>
  <sheetData>
    <row r="1" spans="1:13" ht="18.75">
      <c r="A1" s="3324" t="s">
        <v>3431</v>
      </c>
      <c r="B1" s="3324"/>
      <c r="C1" s="3324"/>
      <c r="D1" s="3324"/>
      <c r="E1" s="3324"/>
      <c r="F1" s="3324"/>
      <c r="G1" s="3324"/>
      <c r="H1" s="3324"/>
      <c r="I1" s="3160"/>
      <c r="J1" s="3161" t="s">
        <v>3432</v>
      </c>
    </row>
    <row r="2" spans="1:13">
      <c r="A2" s="3163" t="s">
        <v>3433</v>
      </c>
      <c r="B2" s="3164" t="s">
        <v>3434</v>
      </c>
      <c r="C2" s="3164" t="s">
        <v>3435</v>
      </c>
      <c r="D2" s="3164" t="s">
        <v>3436</v>
      </c>
      <c r="E2" s="3164" t="s">
        <v>3437</v>
      </c>
      <c r="F2" s="3165" t="s">
        <v>3438</v>
      </c>
      <c r="G2" s="3165" t="s">
        <v>3439</v>
      </c>
      <c r="H2" s="3165" t="s">
        <v>3440</v>
      </c>
      <c r="I2" s="3165" t="s">
        <v>3441</v>
      </c>
      <c r="J2" s="3166" t="s">
        <v>3442</v>
      </c>
      <c r="K2" s="3167" t="s">
        <v>3443</v>
      </c>
    </row>
    <row r="3" spans="1:13" ht="16.5">
      <c r="A3" s="3168">
        <v>1</v>
      </c>
      <c r="B3" s="3169" t="s">
        <v>4786</v>
      </c>
      <c r="C3" s="3170" t="s">
        <v>4786</v>
      </c>
      <c r="D3" s="3171" t="s">
        <v>4787</v>
      </c>
      <c r="E3" s="3170" t="s">
        <v>4788</v>
      </c>
      <c r="F3" s="3177" t="s">
        <v>4789</v>
      </c>
      <c r="G3" s="3169">
        <v>-1001</v>
      </c>
      <c r="H3" s="3172">
        <v>35.9</v>
      </c>
      <c r="I3" s="3173">
        <v>600000.29</v>
      </c>
      <c r="J3" s="3174" t="s">
        <v>3447</v>
      </c>
      <c r="K3" s="3161"/>
      <c r="M3" s="3161"/>
    </row>
    <row r="4" spans="1:13" ht="16.5">
      <c r="A4" s="3168">
        <v>2</v>
      </c>
      <c r="B4" s="3169" t="s">
        <v>4786</v>
      </c>
      <c r="C4" s="3170" t="s">
        <v>4786</v>
      </c>
      <c r="D4" s="3171" t="s">
        <v>4790</v>
      </c>
      <c r="E4" s="3170" t="s">
        <v>4791</v>
      </c>
      <c r="F4" s="3177" t="s">
        <v>4789</v>
      </c>
      <c r="G4" s="3169">
        <v>-1002</v>
      </c>
      <c r="H4" s="3172">
        <v>35.9</v>
      </c>
      <c r="I4" s="3173">
        <v>600000.29</v>
      </c>
      <c r="J4" s="3174" t="s">
        <v>3447</v>
      </c>
      <c r="K4" s="3161"/>
      <c r="M4" s="3161"/>
    </row>
    <row r="5" spans="1:13" ht="16.5">
      <c r="A5" s="3168">
        <v>3</v>
      </c>
      <c r="B5" s="3169" t="s">
        <v>4786</v>
      </c>
      <c r="C5" s="3170" t="s">
        <v>4786</v>
      </c>
      <c r="D5" s="3171" t="s">
        <v>4792</v>
      </c>
      <c r="E5" s="3170" t="s">
        <v>4793</v>
      </c>
      <c r="F5" s="3177" t="s">
        <v>4789</v>
      </c>
      <c r="G5" s="3169">
        <v>-1003</v>
      </c>
      <c r="H5" s="3172">
        <v>35.9</v>
      </c>
      <c r="I5" s="3173">
        <v>600000.29</v>
      </c>
      <c r="J5" s="3174" t="s">
        <v>3447</v>
      </c>
      <c r="K5" s="3161"/>
      <c r="M5" s="3161"/>
    </row>
    <row r="6" spans="1:13" ht="16.5">
      <c r="A6" s="3168">
        <v>4</v>
      </c>
      <c r="B6" s="3169" t="s">
        <v>4786</v>
      </c>
      <c r="C6" s="3170" t="s">
        <v>4786</v>
      </c>
      <c r="D6" s="3171" t="s">
        <v>4794</v>
      </c>
      <c r="E6" s="3170" t="s">
        <v>4795</v>
      </c>
      <c r="F6" s="3177" t="s">
        <v>4789</v>
      </c>
      <c r="G6" s="3169">
        <v>-1004</v>
      </c>
      <c r="H6" s="3172">
        <v>35.9</v>
      </c>
      <c r="I6" s="3173">
        <v>600000.29</v>
      </c>
      <c r="J6" s="3174" t="s">
        <v>3447</v>
      </c>
      <c r="K6" s="3161"/>
      <c r="M6" s="3161"/>
    </row>
    <row r="7" spans="1:13" ht="16.5">
      <c r="A7" s="3168">
        <v>5</v>
      </c>
      <c r="B7" s="3169" t="s">
        <v>4786</v>
      </c>
      <c r="C7" s="3170" t="s">
        <v>4786</v>
      </c>
      <c r="D7" s="3171" t="s">
        <v>4796</v>
      </c>
      <c r="E7" s="3170" t="s">
        <v>4797</v>
      </c>
      <c r="F7" s="3177" t="s">
        <v>4789</v>
      </c>
      <c r="G7" s="3169">
        <v>-1005</v>
      </c>
      <c r="H7" s="3172">
        <v>37.39</v>
      </c>
      <c r="I7" s="3173">
        <v>600000.32120000001</v>
      </c>
      <c r="J7" s="3174" t="s">
        <v>3447</v>
      </c>
      <c r="K7" s="3161"/>
      <c r="M7" s="3161"/>
    </row>
    <row r="8" spans="1:13" ht="16.5">
      <c r="A8" s="3168">
        <v>6</v>
      </c>
      <c r="B8" s="3169" t="s">
        <v>4786</v>
      </c>
      <c r="C8" s="3170" t="s">
        <v>4786</v>
      </c>
      <c r="D8" s="3171" t="s">
        <v>4798</v>
      </c>
      <c r="E8" s="3170" t="s">
        <v>4799</v>
      </c>
      <c r="F8" s="3177" t="s">
        <v>4789</v>
      </c>
      <c r="G8" s="3169">
        <v>-1006</v>
      </c>
      <c r="H8" s="3172">
        <v>37.39</v>
      </c>
      <c r="I8" s="3173">
        <v>600000.32120000001</v>
      </c>
      <c r="J8" s="3174" t="s">
        <v>3447</v>
      </c>
      <c r="K8" s="3161"/>
      <c r="M8" s="3161"/>
    </row>
    <row r="9" spans="1:13" ht="16.5">
      <c r="A9" s="3168">
        <v>7</v>
      </c>
      <c r="B9" s="3169" t="s">
        <v>4786</v>
      </c>
      <c r="C9" s="3170" t="s">
        <v>4786</v>
      </c>
      <c r="D9" s="3171" t="s">
        <v>4800</v>
      </c>
      <c r="E9" s="3170" t="s">
        <v>4801</v>
      </c>
      <c r="F9" s="3177" t="s">
        <v>4789</v>
      </c>
      <c r="G9" s="3169">
        <v>-1007</v>
      </c>
      <c r="H9" s="3172">
        <v>37.39</v>
      </c>
      <c r="I9" s="3173">
        <v>600000.32120000001</v>
      </c>
      <c r="J9" s="3174" t="s">
        <v>3447</v>
      </c>
      <c r="K9" s="3161"/>
      <c r="M9" s="3161"/>
    </row>
    <row r="10" spans="1:13" ht="16.5">
      <c r="A10" s="3168">
        <v>8</v>
      </c>
      <c r="B10" s="3169" t="s">
        <v>4786</v>
      </c>
      <c r="C10" s="3170" t="s">
        <v>4786</v>
      </c>
      <c r="D10" s="3171" t="s">
        <v>4802</v>
      </c>
      <c r="E10" s="3170" t="s">
        <v>4803</v>
      </c>
      <c r="F10" s="3177" t="s">
        <v>4789</v>
      </c>
      <c r="G10" s="3169">
        <v>-1008</v>
      </c>
      <c r="H10" s="3172">
        <v>37.39</v>
      </c>
      <c r="I10" s="3173">
        <v>600000.32120000001</v>
      </c>
      <c r="J10" s="3174" t="s">
        <v>3447</v>
      </c>
      <c r="K10" s="3161"/>
      <c r="M10" s="3161"/>
    </row>
    <row r="11" spans="1:13" ht="16.5">
      <c r="A11" s="3168">
        <v>9</v>
      </c>
      <c r="B11" s="3169" t="s">
        <v>4786</v>
      </c>
      <c r="C11" s="3170" t="s">
        <v>4786</v>
      </c>
      <c r="D11" s="3171" t="s">
        <v>4804</v>
      </c>
      <c r="E11" s="3170" t="s">
        <v>4805</v>
      </c>
      <c r="F11" s="3177" t="s">
        <v>4789</v>
      </c>
      <c r="G11" s="3169">
        <v>-1009</v>
      </c>
      <c r="H11" s="3172">
        <v>37.39</v>
      </c>
      <c r="I11" s="3173">
        <v>600000.32120000001</v>
      </c>
      <c r="J11" s="3174" t="s">
        <v>3447</v>
      </c>
      <c r="K11" s="3161"/>
      <c r="M11" s="3161"/>
    </row>
    <row r="12" spans="1:13" ht="16.5">
      <c r="A12" s="3168">
        <v>10</v>
      </c>
      <c r="B12" s="3169" t="s">
        <v>4786</v>
      </c>
      <c r="C12" s="3170" t="s">
        <v>4786</v>
      </c>
      <c r="D12" s="3171" t="s">
        <v>4806</v>
      </c>
      <c r="E12" s="3170" t="s">
        <v>4807</v>
      </c>
      <c r="F12" s="3177" t="s">
        <v>4789</v>
      </c>
      <c r="G12" s="3169">
        <v>-1010</v>
      </c>
      <c r="H12" s="3172">
        <v>37.39</v>
      </c>
      <c r="I12" s="3173">
        <v>600000.32120000001</v>
      </c>
      <c r="J12" s="3174" t="s">
        <v>3447</v>
      </c>
      <c r="K12" s="3161"/>
      <c r="M12" s="3161"/>
    </row>
    <row r="13" spans="1:13" ht="16.5">
      <c r="A13" s="3168">
        <v>11</v>
      </c>
      <c r="B13" s="3169" t="s">
        <v>4786</v>
      </c>
      <c r="C13" s="3170" t="s">
        <v>4786</v>
      </c>
      <c r="D13" s="3171" t="s">
        <v>4808</v>
      </c>
      <c r="E13" s="3170" t="s">
        <v>4809</v>
      </c>
      <c r="F13" s="3177" t="s">
        <v>4789</v>
      </c>
      <c r="G13" s="3169">
        <v>-1011</v>
      </c>
      <c r="H13" s="3172">
        <v>37.39</v>
      </c>
      <c r="I13" s="3173">
        <v>600000.32120000001</v>
      </c>
      <c r="J13" s="3174" t="s">
        <v>3447</v>
      </c>
      <c r="K13" s="3161"/>
      <c r="M13" s="3161"/>
    </row>
    <row r="14" spans="1:13" ht="16.5">
      <c r="A14" s="3168">
        <v>12</v>
      </c>
      <c r="B14" s="3169" t="s">
        <v>4786</v>
      </c>
      <c r="C14" s="3170" t="s">
        <v>4786</v>
      </c>
      <c r="D14" s="3171" t="s">
        <v>4810</v>
      </c>
      <c r="E14" s="3170" t="s">
        <v>4811</v>
      </c>
      <c r="F14" s="3177" t="s">
        <v>4789</v>
      </c>
      <c r="G14" s="3169">
        <v>-1012</v>
      </c>
      <c r="H14" s="3172">
        <v>37.39</v>
      </c>
      <c r="I14" s="3173">
        <v>600000.32120000001</v>
      </c>
      <c r="J14" s="3174" t="s">
        <v>3447</v>
      </c>
      <c r="K14" s="3161"/>
      <c r="M14" s="3161"/>
    </row>
    <row r="15" spans="1:13" ht="16.5">
      <c r="A15" s="3168">
        <v>13</v>
      </c>
      <c r="B15" s="3169" t="s">
        <v>4786</v>
      </c>
      <c r="C15" s="3170" t="s">
        <v>4786</v>
      </c>
      <c r="D15" s="3171" t="s">
        <v>4812</v>
      </c>
      <c r="E15" s="3170" t="s">
        <v>4813</v>
      </c>
      <c r="F15" s="3177" t="s">
        <v>4789</v>
      </c>
      <c r="G15" s="3169">
        <v>-1013</v>
      </c>
      <c r="H15" s="3172">
        <v>37.39</v>
      </c>
      <c r="I15" s="3173">
        <v>600000.32120000001</v>
      </c>
      <c r="J15" s="3174" t="s">
        <v>3447</v>
      </c>
      <c r="K15" s="3161"/>
      <c r="M15" s="3161"/>
    </row>
    <row r="16" spans="1:13" ht="16.5">
      <c r="A16" s="3168">
        <v>14</v>
      </c>
      <c r="B16" s="3169" t="s">
        <v>4786</v>
      </c>
      <c r="C16" s="3170" t="s">
        <v>4786</v>
      </c>
      <c r="D16" s="3171" t="s">
        <v>4814</v>
      </c>
      <c r="E16" s="3170" t="s">
        <v>4815</v>
      </c>
      <c r="F16" s="3177" t="s">
        <v>4789</v>
      </c>
      <c r="G16" s="3169">
        <v>-1014</v>
      </c>
      <c r="H16" s="3172">
        <v>35.9</v>
      </c>
      <c r="I16" s="3173">
        <v>600000.29</v>
      </c>
      <c r="J16" s="3174" t="s">
        <v>3447</v>
      </c>
      <c r="K16" s="3161"/>
      <c r="M16" s="3161"/>
    </row>
    <row r="17" spans="1:13" ht="16.5">
      <c r="A17" s="3168">
        <v>15</v>
      </c>
      <c r="B17" s="3169" t="s">
        <v>4786</v>
      </c>
      <c r="C17" s="3170" t="s">
        <v>4786</v>
      </c>
      <c r="D17" s="3171" t="s">
        <v>4816</v>
      </c>
      <c r="E17" s="3170" t="s">
        <v>4817</v>
      </c>
      <c r="F17" s="3177" t="s">
        <v>4789</v>
      </c>
      <c r="G17" s="3169">
        <v>-1015</v>
      </c>
      <c r="H17" s="3172">
        <v>35.9</v>
      </c>
      <c r="I17" s="3173">
        <v>600000.29</v>
      </c>
      <c r="J17" s="3174" t="s">
        <v>3447</v>
      </c>
      <c r="K17" s="3161"/>
      <c r="M17" s="3161"/>
    </row>
    <row r="18" spans="1:13" ht="16.5">
      <c r="A18" s="3168">
        <v>16</v>
      </c>
      <c r="B18" s="3169" t="s">
        <v>4786</v>
      </c>
      <c r="C18" s="3170" t="s">
        <v>4786</v>
      </c>
      <c r="D18" s="3171" t="s">
        <v>4818</v>
      </c>
      <c r="E18" s="3170" t="s">
        <v>4819</v>
      </c>
      <c r="F18" s="3177" t="s">
        <v>4789</v>
      </c>
      <c r="G18" s="3169">
        <v>-1016</v>
      </c>
      <c r="H18" s="3172">
        <v>35.9</v>
      </c>
      <c r="I18" s="3173">
        <v>600000.29</v>
      </c>
      <c r="J18" s="3174" t="s">
        <v>3447</v>
      </c>
      <c r="K18" s="3161"/>
      <c r="M18" s="3161"/>
    </row>
    <row r="19" spans="1:13" ht="16.5">
      <c r="A19" s="3168">
        <v>17</v>
      </c>
      <c r="B19" s="3169" t="s">
        <v>4786</v>
      </c>
      <c r="C19" s="3170" t="s">
        <v>4786</v>
      </c>
      <c r="D19" s="3171" t="s">
        <v>4820</v>
      </c>
      <c r="E19" s="3170" t="s">
        <v>4821</v>
      </c>
      <c r="F19" s="3177" t="s">
        <v>4789</v>
      </c>
      <c r="G19" s="3169">
        <v>-1017</v>
      </c>
      <c r="H19" s="3172">
        <v>35.9</v>
      </c>
      <c r="I19" s="3173">
        <v>600000.29</v>
      </c>
      <c r="J19" s="3174" t="s">
        <v>3447</v>
      </c>
      <c r="K19" s="3161"/>
      <c r="M19" s="3161"/>
    </row>
    <row r="20" spans="1:13" ht="16.5">
      <c r="A20" s="3168">
        <v>18</v>
      </c>
      <c r="B20" s="3169" t="s">
        <v>4786</v>
      </c>
      <c r="C20" s="3170" t="s">
        <v>4786</v>
      </c>
      <c r="D20" s="3171" t="s">
        <v>4822</v>
      </c>
      <c r="E20" s="3170" t="s">
        <v>4823</v>
      </c>
      <c r="F20" s="3177" t="s">
        <v>4789</v>
      </c>
      <c r="G20" s="3169">
        <v>-1018</v>
      </c>
      <c r="H20" s="3172">
        <v>37.39</v>
      </c>
      <c r="I20" s="3173">
        <v>600000.32120000001</v>
      </c>
      <c r="J20" s="3174" t="s">
        <v>3447</v>
      </c>
      <c r="K20" s="3161"/>
      <c r="M20" s="3161"/>
    </row>
    <row r="21" spans="1:13" ht="16.5">
      <c r="A21" s="3168">
        <v>19</v>
      </c>
      <c r="B21" s="3169" t="s">
        <v>4786</v>
      </c>
      <c r="C21" s="3170" t="s">
        <v>4786</v>
      </c>
      <c r="D21" s="3171" t="s">
        <v>4824</v>
      </c>
      <c r="E21" s="3170" t="s">
        <v>4825</v>
      </c>
      <c r="F21" s="3177" t="s">
        <v>4789</v>
      </c>
      <c r="G21" s="3169">
        <v>-1019</v>
      </c>
      <c r="H21" s="3172">
        <v>37.39</v>
      </c>
      <c r="I21" s="3173">
        <v>600000.32120000001</v>
      </c>
      <c r="J21" s="3174" t="s">
        <v>3447</v>
      </c>
      <c r="K21" s="3161"/>
      <c r="M21" s="3161"/>
    </row>
    <row r="22" spans="1:13" ht="16.5">
      <c r="A22" s="3168">
        <v>20</v>
      </c>
      <c r="B22" s="3169" t="s">
        <v>4786</v>
      </c>
      <c r="C22" s="3170" t="s">
        <v>4786</v>
      </c>
      <c r="D22" s="3171" t="s">
        <v>4826</v>
      </c>
      <c r="E22" s="3170" t="s">
        <v>4827</v>
      </c>
      <c r="F22" s="3177" t="s">
        <v>4789</v>
      </c>
      <c r="G22" s="3169">
        <v>-1020</v>
      </c>
      <c r="H22" s="3172">
        <v>55.34</v>
      </c>
      <c r="I22" s="3173">
        <v>600000.15379999997</v>
      </c>
      <c r="J22" s="3174" t="s">
        <v>3447</v>
      </c>
      <c r="K22" s="3161"/>
      <c r="M22" s="3161"/>
    </row>
    <row r="23" spans="1:13" ht="16.5">
      <c r="A23" s="3168">
        <v>21</v>
      </c>
      <c r="B23" s="3169" t="s">
        <v>4786</v>
      </c>
      <c r="C23" s="3170" t="s">
        <v>4786</v>
      </c>
      <c r="D23" s="3171" t="s">
        <v>4828</v>
      </c>
      <c r="E23" s="3170" t="s">
        <v>4829</v>
      </c>
      <c r="F23" s="3177" t="s">
        <v>4789</v>
      </c>
      <c r="G23" s="3169">
        <v>-1021</v>
      </c>
      <c r="H23" s="3172">
        <v>35.9</v>
      </c>
      <c r="I23" s="3173">
        <v>600000.29</v>
      </c>
      <c r="J23" s="3174" t="s">
        <v>3447</v>
      </c>
      <c r="K23" s="3161"/>
      <c r="M23" s="3161"/>
    </row>
    <row r="24" spans="1:13" ht="16.5">
      <c r="A24" s="3168">
        <v>22</v>
      </c>
      <c r="B24" s="3169" t="s">
        <v>4786</v>
      </c>
      <c r="C24" s="3170" t="s">
        <v>4786</v>
      </c>
      <c r="D24" s="3171" t="s">
        <v>4830</v>
      </c>
      <c r="E24" s="3170" t="s">
        <v>4831</v>
      </c>
      <c r="F24" s="3177" t="s">
        <v>4789</v>
      </c>
      <c r="G24" s="3169">
        <v>-1022</v>
      </c>
      <c r="H24" s="3172">
        <v>35.9</v>
      </c>
      <c r="I24" s="3173">
        <v>600000.29</v>
      </c>
      <c r="J24" s="3174" t="s">
        <v>3447</v>
      </c>
      <c r="K24" s="3161"/>
      <c r="M24" s="3161"/>
    </row>
    <row r="25" spans="1:13" ht="16.5">
      <c r="A25" s="3168">
        <v>23</v>
      </c>
      <c r="B25" s="3169" t="s">
        <v>4786</v>
      </c>
      <c r="C25" s="3170" t="s">
        <v>4786</v>
      </c>
      <c r="D25" s="3171" t="s">
        <v>4832</v>
      </c>
      <c r="E25" s="3170" t="s">
        <v>4833</v>
      </c>
      <c r="F25" s="3177" t="s">
        <v>4789</v>
      </c>
      <c r="G25" s="3169">
        <v>-1023</v>
      </c>
      <c r="H25" s="3172">
        <v>37.39</v>
      </c>
      <c r="I25" s="3173">
        <v>600000.32120000001</v>
      </c>
      <c r="J25" s="3174" t="s">
        <v>3447</v>
      </c>
      <c r="K25" s="3161"/>
      <c r="M25" s="3161"/>
    </row>
    <row r="26" spans="1:13" ht="16.5">
      <c r="A26" s="3168">
        <v>24</v>
      </c>
      <c r="B26" s="3169" t="s">
        <v>4786</v>
      </c>
      <c r="C26" s="3170" t="s">
        <v>4786</v>
      </c>
      <c r="D26" s="3171" t="s">
        <v>4834</v>
      </c>
      <c r="E26" s="3170" t="s">
        <v>4835</v>
      </c>
      <c r="F26" s="3177" t="s">
        <v>4789</v>
      </c>
      <c r="G26" s="3169">
        <v>-1024</v>
      </c>
      <c r="H26" s="3172">
        <v>37.39</v>
      </c>
      <c r="I26" s="3173">
        <v>600000.32120000001</v>
      </c>
      <c r="J26" s="3174" t="s">
        <v>3447</v>
      </c>
      <c r="K26" s="3161"/>
      <c r="M26" s="3161"/>
    </row>
    <row r="27" spans="1:13" ht="16.5">
      <c r="A27" s="3168">
        <v>25</v>
      </c>
      <c r="B27" s="3169" t="s">
        <v>4786</v>
      </c>
      <c r="C27" s="3170" t="s">
        <v>4786</v>
      </c>
      <c r="D27" s="3171" t="s">
        <v>4836</v>
      </c>
      <c r="E27" s="3170" t="s">
        <v>4837</v>
      </c>
      <c r="F27" s="3177" t="s">
        <v>4789</v>
      </c>
      <c r="G27" s="3169">
        <v>-1025</v>
      </c>
      <c r="H27" s="3172">
        <v>35.9</v>
      </c>
      <c r="I27" s="3173">
        <v>600000.29</v>
      </c>
      <c r="J27" s="3174" t="s">
        <v>3463</v>
      </c>
      <c r="K27" s="3161"/>
      <c r="M27" s="3161"/>
    </row>
    <row r="28" spans="1:13" ht="16.5">
      <c r="A28" s="3168">
        <v>26</v>
      </c>
      <c r="B28" s="3169" t="s">
        <v>4786</v>
      </c>
      <c r="C28" s="3170" t="s">
        <v>4786</v>
      </c>
      <c r="D28" s="3171" t="s">
        <v>4838</v>
      </c>
      <c r="E28" s="3170" t="s">
        <v>4839</v>
      </c>
      <c r="F28" s="3177" t="s">
        <v>4789</v>
      </c>
      <c r="G28" s="3169">
        <v>-1026</v>
      </c>
      <c r="H28" s="3172">
        <v>35.9</v>
      </c>
      <c r="I28" s="3173">
        <v>600000.29</v>
      </c>
      <c r="J28" s="3174" t="s">
        <v>3463</v>
      </c>
      <c r="K28" s="3161"/>
      <c r="M28" s="3161"/>
    </row>
    <row r="29" spans="1:13" ht="16.5">
      <c r="A29" s="3168">
        <v>27</v>
      </c>
      <c r="B29" s="3169" t="s">
        <v>4786</v>
      </c>
      <c r="C29" s="3170" t="s">
        <v>4786</v>
      </c>
      <c r="D29" s="3171" t="s">
        <v>4840</v>
      </c>
      <c r="E29" s="3170" t="s">
        <v>4841</v>
      </c>
      <c r="F29" s="3177" t="s">
        <v>4789</v>
      </c>
      <c r="G29" s="3169">
        <v>-1027</v>
      </c>
      <c r="H29" s="3172">
        <v>35.9</v>
      </c>
      <c r="I29" s="3173">
        <v>600000.29</v>
      </c>
      <c r="J29" s="3174" t="s">
        <v>3447</v>
      </c>
      <c r="K29" s="3161"/>
      <c r="M29" s="3161"/>
    </row>
    <row r="30" spans="1:13" ht="16.5">
      <c r="A30" s="3168">
        <v>28</v>
      </c>
      <c r="B30" s="3169" t="s">
        <v>4786</v>
      </c>
      <c r="C30" s="3170" t="s">
        <v>4786</v>
      </c>
      <c r="D30" s="3171" t="s">
        <v>4842</v>
      </c>
      <c r="E30" s="3170" t="s">
        <v>4843</v>
      </c>
      <c r="F30" s="3177" t="s">
        <v>4789</v>
      </c>
      <c r="G30" s="3169">
        <v>-1028</v>
      </c>
      <c r="H30" s="3172">
        <v>35.9</v>
      </c>
      <c r="I30" s="3173">
        <v>600000.29</v>
      </c>
      <c r="J30" s="3174" t="s">
        <v>3447</v>
      </c>
      <c r="K30" s="3161"/>
      <c r="M30" s="3161"/>
    </row>
    <row r="31" spans="1:13" ht="16.5">
      <c r="A31" s="3168">
        <v>29</v>
      </c>
      <c r="B31" s="3169" t="s">
        <v>4786</v>
      </c>
      <c r="C31" s="3170" t="s">
        <v>4786</v>
      </c>
      <c r="D31" s="3171" t="s">
        <v>4844</v>
      </c>
      <c r="E31" s="3170" t="s">
        <v>4845</v>
      </c>
      <c r="F31" s="3177" t="s">
        <v>4789</v>
      </c>
      <c r="G31" s="3169">
        <v>-1031</v>
      </c>
      <c r="H31" s="3172">
        <v>37.39</v>
      </c>
      <c r="I31" s="3173">
        <v>600000.32120000001</v>
      </c>
      <c r="J31" s="3174" t="s">
        <v>3447</v>
      </c>
      <c r="K31" s="3161"/>
      <c r="M31" s="3161"/>
    </row>
    <row r="32" spans="1:13" ht="16.5">
      <c r="A32" s="3168">
        <v>30</v>
      </c>
      <c r="B32" s="3169" t="s">
        <v>4786</v>
      </c>
      <c r="C32" s="3170" t="s">
        <v>4786</v>
      </c>
      <c r="D32" s="3171" t="s">
        <v>4846</v>
      </c>
      <c r="E32" s="3170" t="s">
        <v>4847</v>
      </c>
      <c r="F32" s="3177" t="s">
        <v>4789</v>
      </c>
      <c r="G32" s="3169">
        <v>-1032</v>
      </c>
      <c r="H32" s="3172">
        <v>37.39</v>
      </c>
      <c r="I32" s="3173">
        <v>600000.32120000001</v>
      </c>
      <c r="J32" s="3174" t="s">
        <v>3447</v>
      </c>
      <c r="K32" s="3161"/>
      <c r="M32" s="3161"/>
    </row>
    <row r="33" spans="1:13" ht="16.5">
      <c r="A33" s="3168">
        <v>31</v>
      </c>
      <c r="B33" s="3169" t="s">
        <v>4786</v>
      </c>
      <c r="C33" s="3170" t="s">
        <v>4786</v>
      </c>
      <c r="D33" s="3171" t="s">
        <v>4848</v>
      </c>
      <c r="E33" s="3170" t="s">
        <v>4849</v>
      </c>
      <c r="F33" s="3177" t="s">
        <v>4789</v>
      </c>
      <c r="G33" s="3169">
        <v>-1034</v>
      </c>
      <c r="H33" s="3172">
        <v>37.39</v>
      </c>
      <c r="I33" s="3173">
        <v>600000.32120000001</v>
      </c>
      <c r="J33" s="3174" t="s">
        <v>3447</v>
      </c>
      <c r="K33" s="3161"/>
      <c r="M33" s="3161"/>
    </row>
    <row r="34" spans="1:13" ht="16.5">
      <c r="A34" s="3168">
        <v>32</v>
      </c>
      <c r="B34" s="3169" t="s">
        <v>4786</v>
      </c>
      <c r="C34" s="3170" t="s">
        <v>4786</v>
      </c>
      <c r="D34" s="3171" t="s">
        <v>4850</v>
      </c>
      <c r="E34" s="3170" t="s">
        <v>4851</v>
      </c>
      <c r="F34" s="3177" t="s">
        <v>4789</v>
      </c>
      <c r="G34" s="3169">
        <v>-1035</v>
      </c>
      <c r="H34" s="3172">
        <v>37.39</v>
      </c>
      <c r="I34" s="3173">
        <v>600000.32120000001</v>
      </c>
      <c r="J34" s="3174" t="s">
        <v>3447</v>
      </c>
      <c r="K34" s="3161"/>
      <c r="M34" s="3161"/>
    </row>
    <row r="35" spans="1:13" ht="16.5">
      <c r="A35" s="3168">
        <v>33</v>
      </c>
      <c r="B35" s="3169" t="s">
        <v>4786</v>
      </c>
      <c r="C35" s="3170" t="s">
        <v>4786</v>
      </c>
      <c r="D35" s="3171" t="s">
        <v>4852</v>
      </c>
      <c r="E35" s="3170" t="s">
        <v>4853</v>
      </c>
      <c r="F35" s="3177" t="s">
        <v>4789</v>
      </c>
      <c r="G35" s="3169">
        <v>-1036</v>
      </c>
      <c r="H35" s="3172">
        <v>37.39</v>
      </c>
      <c r="I35" s="3173">
        <v>600000.32120000001</v>
      </c>
      <c r="J35" s="3174" t="s">
        <v>3447</v>
      </c>
      <c r="K35" s="3161"/>
      <c r="M35" s="3161"/>
    </row>
    <row r="36" spans="1:13" ht="16.5">
      <c r="A36" s="3168">
        <v>34</v>
      </c>
      <c r="B36" s="3169" t="s">
        <v>4786</v>
      </c>
      <c r="C36" s="3170" t="s">
        <v>4786</v>
      </c>
      <c r="D36" s="3171" t="s">
        <v>4854</v>
      </c>
      <c r="E36" s="3170" t="s">
        <v>4855</v>
      </c>
      <c r="F36" s="3177" t="s">
        <v>4789</v>
      </c>
      <c r="G36" s="3169">
        <v>-1037</v>
      </c>
      <c r="H36" s="3172">
        <v>37.39</v>
      </c>
      <c r="I36" s="3173">
        <v>600000.32120000001</v>
      </c>
      <c r="J36" s="3174" t="s">
        <v>3447</v>
      </c>
      <c r="K36" s="3161"/>
      <c r="M36" s="3161"/>
    </row>
    <row r="37" spans="1:13" ht="16.5">
      <c r="A37" s="3168">
        <v>35</v>
      </c>
      <c r="B37" s="3169" t="s">
        <v>4786</v>
      </c>
      <c r="C37" s="3170" t="s">
        <v>4786</v>
      </c>
      <c r="D37" s="3171" t="s">
        <v>4856</v>
      </c>
      <c r="E37" s="3170" t="s">
        <v>4857</v>
      </c>
      <c r="F37" s="3177" t="s">
        <v>4789</v>
      </c>
      <c r="G37" s="3169">
        <v>-1038</v>
      </c>
      <c r="H37" s="3172">
        <v>37.39</v>
      </c>
      <c r="I37" s="3173">
        <v>600000.32120000001</v>
      </c>
      <c r="J37" s="3174" t="s">
        <v>3447</v>
      </c>
      <c r="K37" s="3161"/>
      <c r="M37" s="3161"/>
    </row>
    <row r="38" spans="1:13" ht="16.5">
      <c r="A38" s="3168">
        <v>36</v>
      </c>
      <c r="B38" s="3169" t="s">
        <v>4786</v>
      </c>
      <c r="C38" s="3170" t="s">
        <v>4786</v>
      </c>
      <c r="D38" s="3171" t="s">
        <v>4858</v>
      </c>
      <c r="E38" s="3170" t="s">
        <v>4859</v>
      </c>
      <c r="F38" s="3177" t="s">
        <v>4789</v>
      </c>
      <c r="G38" s="3169">
        <v>-1040</v>
      </c>
      <c r="H38" s="3172">
        <v>37.39</v>
      </c>
      <c r="I38" s="3173">
        <v>600000.32120000001</v>
      </c>
      <c r="J38" s="3174" t="s">
        <v>3447</v>
      </c>
      <c r="K38" s="3161"/>
      <c r="M38" s="3161"/>
    </row>
    <row r="39" spans="1:13" ht="16.5">
      <c r="A39" s="3168">
        <v>37</v>
      </c>
      <c r="B39" s="3169" t="s">
        <v>4786</v>
      </c>
      <c r="C39" s="3170" t="s">
        <v>4786</v>
      </c>
      <c r="D39" s="3171" t="s">
        <v>4860</v>
      </c>
      <c r="E39" s="3170" t="s">
        <v>4861</v>
      </c>
      <c r="F39" s="3177" t="s">
        <v>4789</v>
      </c>
      <c r="G39" s="3169">
        <v>-1041</v>
      </c>
      <c r="H39" s="3172">
        <v>37.39</v>
      </c>
      <c r="I39" s="3173">
        <v>600000.32120000001</v>
      </c>
      <c r="J39" s="3174" t="s">
        <v>3447</v>
      </c>
      <c r="K39" s="3161"/>
      <c r="M39" s="3161"/>
    </row>
    <row r="40" spans="1:13" ht="16.5">
      <c r="A40" s="3168">
        <v>38</v>
      </c>
      <c r="B40" s="3169" t="s">
        <v>4786</v>
      </c>
      <c r="C40" s="3170" t="s">
        <v>4786</v>
      </c>
      <c r="D40" s="3171" t="s">
        <v>4862</v>
      </c>
      <c r="E40" s="3170" t="s">
        <v>4863</v>
      </c>
      <c r="F40" s="3177" t="s">
        <v>4789</v>
      </c>
      <c r="G40" s="3169">
        <v>-1044</v>
      </c>
      <c r="H40" s="3172">
        <v>37.39</v>
      </c>
      <c r="I40" s="3173">
        <v>600000.32120000001</v>
      </c>
      <c r="J40" s="3174" t="s">
        <v>3447</v>
      </c>
      <c r="K40" s="3161"/>
      <c r="M40" s="3161"/>
    </row>
    <row r="41" spans="1:13" ht="16.5">
      <c r="A41" s="3168">
        <v>39</v>
      </c>
      <c r="B41" s="3169" t="s">
        <v>4786</v>
      </c>
      <c r="C41" s="3170" t="s">
        <v>4786</v>
      </c>
      <c r="D41" s="3171" t="s">
        <v>4864</v>
      </c>
      <c r="E41" s="3170" t="s">
        <v>4865</v>
      </c>
      <c r="F41" s="3177" t="s">
        <v>4789</v>
      </c>
      <c r="G41" s="3169">
        <v>-1045</v>
      </c>
      <c r="H41" s="3172">
        <v>37.39</v>
      </c>
      <c r="I41" s="3173">
        <v>600000.32120000001</v>
      </c>
      <c r="J41" s="3174" t="s">
        <v>3447</v>
      </c>
      <c r="K41" s="3161"/>
      <c r="M41" s="3161"/>
    </row>
    <row r="42" spans="1:13" ht="16.5">
      <c r="A42" s="3168">
        <v>40</v>
      </c>
      <c r="B42" s="3169" t="s">
        <v>4786</v>
      </c>
      <c r="C42" s="3170" t="s">
        <v>4786</v>
      </c>
      <c r="D42" s="3171" t="s">
        <v>4866</v>
      </c>
      <c r="E42" s="3170" t="s">
        <v>4867</v>
      </c>
      <c r="F42" s="3177" t="s">
        <v>4789</v>
      </c>
      <c r="G42" s="3169">
        <v>-1046</v>
      </c>
      <c r="H42" s="3172">
        <v>37.39</v>
      </c>
      <c r="I42" s="3173">
        <v>600000.32120000001</v>
      </c>
      <c r="J42" s="3174" t="s">
        <v>3447</v>
      </c>
      <c r="K42" s="3161"/>
      <c r="M42" s="3161"/>
    </row>
    <row r="43" spans="1:13" ht="16.5">
      <c r="A43" s="3168">
        <v>41</v>
      </c>
      <c r="B43" s="3169" t="s">
        <v>4786</v>
      </c>
      <c r="C43" s="3170" t="s">
        <v>4786</v>
      </c>
      <c r="D43" s="3171" t="s">
        <v>4868</v>
      </c>
      <c r="E43" s="3170" t="s">
        <v>4869</v>
      </c>
      <c r="F43" s="3177" t="s">
        <v>4789</v>
      </c>
      <c r="G43" s="3169">
        <v>-1047</v>
      </c>
      <c r="H43" s="3172">
        <v>37.39</v>
      </c>
      <c r="I43" s="3173">
        <v>600000.32120000001</v>
      </c>
      <c r="J43" s="3174" t="s">
        <v>3447</v>
      </c>
      <c r="K43" s="3161"/>
      <c r="M43" s="3161"/>
    </row>
    <row r="44" spans="1:13" ht="16.5">
      <c r="A44" s="3168">
        <v>42</v>
      </c>
      <c r="B44" s="3169" t="s">
        <v>4786</v>
      </c>
      <c r="C44" s="3170" t="s">
        <v>4786</v>
      </c>
      <c r="D44" s="3171" t="s">
        <v>4870</v>
      </c>
      <c r="E44" s="3170" t="s">
        <v>4871</v>
      </c>
      <c r="F44" s="3177" t="s">
        <v>4789</v>
      </c>
      <c r="G44" s="3169">
        <v>-1048</v>
      </c>
      <c r="H44" s="3172">
        <v>37.39</v>
      </c>
      <c r="I44" s="3173">
        <v>600000.32120000001</v>
      </c>
      <c r="J44" s="3174" t="s">
        <v>3447</v>
      </c>
      <c r="K44" s="3161"/>
      <c r="M44" s="3161"/>
    </row>
    <row r="45" spans="1:13" ht="16.5">
      <c r="A45" s="3168">
        <v>43</v>
      </c>
      <c r="B45" s="3169" t="s">
        <v>4786</v>
      </c>
      <c r="C45" s="3170" t="s">
        <v>4786</v>
      </c>
      <c r="D45" s="3171" t="s">
        <v>4872</v>
      </c>
      <c r="E45" s="3170" t="s">
        <v>4873</v>
      </c>
      <c r="F45" s="3177" t="s">
        <v>4789</v>
      </c>
      <c r="G45" s="3169">
        <v>-1049</v>
      </c>
      <c r="H45" s="3172">
        <v>37.39</v>
      </c>
      <c r="I45" s="3173">
        <v>600000.32120000001</v>
      </c>
      <c r="J45" s="3174" t="s">
        <v>3447</v>
      </c>
      <c r="K45" s="3161"/>
      <c r="M45" s="3161"/>
    </row>
    <row r="46" spans="1:13" ht="16.5">
      <c r="A46" s="3168">
        <v>44</v>
      </c>
      <c r="B46" s="3169" t="s">
        <v>4786</v>
      </c>
      <c r="C46" s="3170" t="s">
        <v>4786</v>
      </c>
      <c r="D46" s="3171" t="s">
        <v>4874</v>
      </c>
      <c r="E46" s="3170" t="s">
        <v>4875</v>
      </c>
      <c r="F46" s="3177" t="s">
        <v>4789</v>
      </c>
      <c r="G46" s="3169">
        <v>-1050</v>
      </c>
      <c r="H46" s="3172">
        <v>37.39</v>
      </c>
      <c r="I46" s="3173">
        <v>600000.32120000001</v>
      </c>
      <c r="J46" s="3174" t="s">
        <v>3447</v>
      </c>
      <c r="K46" s="3161"/>
      <c r="M46" s="3161"/>
    </row>
    <row r="47" spans="1:13" ht="16.5">
      <c r="A47" s="3168">
        <v>45</v>
      </c>
      <c r="B47" s="3169" t="s">
        <v>4786</v>
      </c>
      <c r="C47" s="3170" t="s">
        <v>4786</v>
      </c>
      <c r="D47" s="3171" t="s">
        <v>4876</v>
      </c>
      <c r="E47" s="3170" t="s">
        <v>4877</v>
      </c>
      <c r="F47" s="3177" t="s">
        <v>4789</v>
      </c>
      <c r="G47" s="3169">
        <v>-1057</v>
      </c>
      <c r="H47" s="3172">
        <v>37.39</v>
      </c>
      <c r="I47" s="3173">
        <v>600000.32120000001</v>
      </c>
      <c r="J47" s="3174" t="s">
        <v>3447</v>
      </c>
      <c r="K47" s="3161"/>
      <c r="M47" s="3161"/>
    </row>
    <row r="48" spans="1:13" ht="16.5">
      <c r="A48" s="3168">
        <v>46</v>
      </c>
      <c r="B48" s="3169" t="s">
        <v>4786</v>
      </c>
      <c r="C48" s="3170" t="s">
        <v>4786</v>
      </c>
      <c r="D48" s="3171" t="s">
        <v>4878</v>
      </c>
      <c r="E48" s="3170" t="s">
        <v>4879</v>
      </c>
      <c r="F48" s="3177" t="s">
        <v>4789</v>
      </c>
      <c r="G48" s="3169">
        <v>-1058</v>
      </c>
      <c r="H48" s="3172">
        <v>37.39</v>
      </c>
      <c r="I48" s="3173">
        <v>600000.32120000001</v>
      </c>
      <c r="J48" s="3174" t="s">
        <v>3447</v>
      </c>
      <c r="K48" s="3161"/>
      <c r="M48" s="3161"/>
    </row>
    <row r="49" spans="1:13" ht="16.5">
      <c r="A49" s="3168">
        <v>47</v>
      </c>
      <c r="B49" s="3169" t="s">
        <v>4786</v>
      </c>
      <c r="C49" s="3170" t="s">
        <v>4786</v>
      </c>
      <c r="D49" s="3171" t="s">
        <v>4880</v>
      </c>
      <c r="E49" s="3170" t="s">
        <v>4881</v>
      </c>
      <c r="F49" s="3177" t="s">
        <v>4789</v>
      </c>
      <c r="G49" s="3169">
        <v>-1059</v>
      </c>
      <c r="H49" s="3172">
        <v>37.39</v>
      </c>
      <c r="I49" s="3173">
        <v>600000.32120000001</v>
      </c>
      <c r="J49" s="3174" t="s">
        <v>3447</v>
      </c>
      <c r="K49" s="3161"/>
      <c r="M49" s="3161"/>
    </row>
    <row r="50" spans="1:13" ht="16.5">
      <c r="A50" s="3168">
        <v>48</v>
      </c>
      <c r="B50" s="3169" t="s">
        <v>4786</v>
      </c>
      <c r="C50" s="3170" t="s">
        <v>4786</v>
      </c>
      <c r="D50" s="3171" t="s">
        <v>4882</v>
      </c>
      <c r="E50" s="3170" t="s">
        <v>4883</v>
      </c>
      <c r="F50" s="3177" t="s">
        <v>4789</v>
      </c>
      <c r="G50" s="3169">
        <v>-1060</v>
      </c>
      <c r="H50" s="3172">
        <v>37.39</v>
      </c>
      <c r="I50" s="3173">
        <v>600000.32120000001</v>
      </c>
      <c r="J50" s="3174" t="s">
        <v>3447</v>
      </c>
      <c r="K50" s="3161"/>
      <c r="M50" s="3161"/>
    </row>
    <row r="51" spans="1:13" ht="16.5">
      <c r="A51" s="3168">
        <v>49</v>
      </c>
      <c r="B51" s="3169" t="s">
        <v>4786</v>
      </c>
      <c r="C51" s="3170" t="s">
        <v>4786</v>
      </c>
      <c r="D51" s="3171" t="s">
        <v>4884</v>
      </c>
      <c r="E51" s="3170" t="s">
        <v>4885</v>
      </c>
      <c r="F51" s="3177" t="s">
        <v>4789</v>
      </c>
      <c r="G51" s="3169">
        <v>-1061</v>
      </c>
      <c r="H51" s="3172">
        <v>37.39</v>
      </c>
      <c r="I51" s="3173">
        <v>600000.32120000001</v>
      </c>
      <c r="J51" s="3174" t="s">
        <v>3447</v>
      </c>
      <c r="K51" s="3161"/>
      <c r="M51" s="3161"/>
    </row>
    <row r="52" spans="1:13" ht="16.5">
      <c r="A52" s="3168">
        <v>50</v>
      </c>
      <c r="B52" s="3169" t="s">
        <v>4786</v>
      </c>
      <c r="C52" s="3170" t="s">
        <v>4786</v>
      </c>
      <c r="D52" s="3171" t="s">
        <v>4886</v>
      </c>
      <c r="E52" s="3170" t="s">
        <v>4887</v>
      </c>
      <c r="F52" s="3177" t="s">
        <v>4789</v>
      </c>
      <c r="G52" s="3169">
        <v>-1062</v>
      </c>
      <c r="H52" s="3172">
        <v>37.39</v>
      </c>
      <c r="I52" s="3173">
        <v>600000.32120000001</v>
      </c>
      <c r="J52" s="3174" t="s">
        <v>3447</v>
      </c>
      <c r="K52" s="3161"/>
      <c r="M52" s="3161"/>
    </row>
    <row r="53" spans="1:13" ht="16.5">
      <c r="A53" s="3168">
        <v>51</v>
      </c>
      <c r="B53" s="3169" t="s">
        <v>4786</v>
      </c>
      <c r="C53" s="3170" t="s">
        <v>4786</v>
      </c>
      <c r="D53" s="3171" t="s">
        <v>4888</v>
      </c>
      <c r="E53" s="3170" t="s">
        <v>4889</v>
      </c>
      <c r="F53" s="3177" t="s">
        <v>4789</v>
      </c>
      <c r="G53" s="3169">
        <v>-1063</v>
      </c>
      <c r="H53" s="3172">
        <v>37.39</v>
      </c>
      <c r="I53" s="3173">
        <v>600000.32120000001</v>
      </c>
      <c r="J53" s="3174" t="s">
        <v>3447</v>
      </c>
      <c r="K53" s="3161"/>
      <c r="M53" s="3161"/>
    </row>
    <row r="54" spans="1:13" ht="16.5">
      <c r="A54" s="3168">
        <v>52</v>
      </c>
      <c r="B54" s="3169" t="s">
        <v>4786</v>
      </c>
      <c r="C54" s="3170" t="s">
        <v>4786</v>
      </c>
      <c r="D54" s="3171" t="s">
        <v>4890</v>
      </c>
      <c r="E54" s="3170" t="s">
        <v>4891</v>
      </c>
      <c r="F54" s="3177" t="s">
        <v>4789</v>
      </c>
      <c r="G54" s="3169">
        <v>-1064</v>
      </c>
      <c r="H54" s="3172">
        <v>37.39</v>
      </c>
      <c r="I54" s="3173">
        <v>600000.32120000001</v>
      </c>
      <c r="J54" s="3174" t="s">
        <v>3447</v>
      </c>
      <c r="K54" s="3161"/>
      <c r="M54" s="3161"/>
    </row>
    <row r="55" spans="1:13" ht="16.5">
      <c r="A55" s="3168">
        <v>53</v>
      </c>
      <c r="B55" s="3169" t="s">
        <v>4786</v>
      </c>
      <c r="C55" s="3170" t="s">
        <v>4786</v>
      </c>
      <c r="D55" s="3171" t="s">
        <v>4892</v>
      </c>
      <c r="E55" s="3170" t="s">
        <v>4893</v>
      </c>
      <c r="F55" s="3177" t="s">
        <v>4789</v>
      </c>
      <c r="G55" s="3169">
        <v>-1065</v>
      </c>
      <c r="H55" s="3172">
        <v>37.39</v>
      </c>
      <c r="I55" s="3173">
        <v>600000.32120000001</v>
      </c>
      <c r="J55" s="3174" t="s">
        <v>3447</v>
      </c>
      <c r="K55" s="3161"/>
      <c r="M55" s="3161"/>
    </row>
    <row r="56" spans="1:13" ht="16.5">
      <c r="A56" s="3168">
        <v>54</v>
      </c>
      <c r="B56" s="3169" t="s">
        <v>4786</v>
      </c>
      <c r="C56" s="3170" t="s">
        <v>4786</v>
      </c>
      <c r="D56" s="3171" t="s">
        <v>4894</v>
      </c>
      <c r="E56" s="3170" t="s">
        <v>4895</v>
      </c>
      <c r="F56" s="3177" t="s">
        <v>4789</v>
      </c>
      <c r="G56" s="3169">
        <v>-1067</v>
      </c>
      <c r="H56" s="3172">
        <v>37.39</v>
      </c>
      <c r="I56" s="3173">
        <v>600000.32120000001</v>
      </c>
      <c r="J56" s="3174" t="s">
        <v>3447</v>
      </c>
      <c r="K56" s="3161"/>
      <c r="M56" s="3161"/>
    </row>
    <row r="57" spans="1:13" ht="16.5">
      <c r="A57" s="3168">
        <v>55</v>
      </c>
      <c r="B57" s="3169" t="s">
        <v>4786</v>
      </c>
      <c r="C57" s="3170" t="s">
        <v>4786</v>
      </c>
      <c r="D57" s="3171" t="s">
        <v>4896</v>
      </c>
      <c r="E57" s="3170" t="s">
        <v>4897</v>
      </c>
      <c r="F57" s="3177" t="s">
        <v>4789</v>
      </c>
      <c r="G57" s="3169">
        <v>-1069</v>
      </c>
      <c r="H57" s="3172">
        <v>37.39</v>
      </c>
      <c r="I57" s="3173">
        <v>600000.32120000001</v>
      </c>
      <c r="J57" s="3174" t="s">
        <v>3447</v>
      </c>
      <c r="K57" s="3161"/>
      <c r="M57" s="3161"/>
    </row>
    <row r="58" spans="1:13" ht="16.5">
      <c r="A58" s="3168">
        <v>56</v>
      </c>
      <c r="B58" s="3169" t="s">
        <v>4786</v>
      </c>
      <c r="C58" s="3170" t="s">
        <v>4786</v>
      </c>
      <c r="D58" s="3171" t="s">
        <v>4898</v>
      </c>
      <c r="E58" s="3170" t="s">
        <v>4899</v>
      </c>
      <c r="F58" s="3177" t="s">
        <v>4789</v>
      </c>
      <c r="G58" s="3169">
        <v>-1070</v>
      </c>
      <c r="H58" s="3172">
        <v>37.39</v>
      </c>
      <c r="I58" s="3173">
        <v>600000.32120000001</v>
      </c>
      <c r="J58" s="3174" t="s">
        <v>3447</v>
      </c>
      <c r="K58" s="3161"/>
      <c r="M58" s="3161"/>
    </row>
    <row r="59" spans="1:13" ht="16.5">
      <c r="A59" s="3168">
        <v>57</v>
      </c>
      <c r="B59" s="3169" t="s">
        <v>4786</v>
      </c>
      <c r="C59" s="3170" t="s">
        <v>4786</v>
      </c>
      <c r="D59" s="3171" t="s">
        <v>4900</v>
      </c>
      <c r="E59" s="3170" t="s">
        <v>4901</v>
      </c>
      <c r="F59" s="3177" t="s">
        <v>4789</v>
      </c>
      <c r="G59" s="3169">
        <v>-1074</v>
      </c>
      <c r="H59" s="3172">
        <v>37.39</v>
      </c>
      <c r="I59" s="3173">
        <v>600000.32120000001</v>
      </c>
      <c r="J59" s="3174" t="s">
        <v>3447</v>
      </c>
      <c r="K59" s="3161"/>
      <c r="M59" s="3161"/>
    </row>
    <row r="60" spans="1:13" ht="16.5">
      <c r="A60" s="3168">
        <v>58</v>
      </c>
      <c r="B60" s="3169" t="s">
        <v>4786</v>
      </c>
      <c r="C60" s="3170" t="s">
        <v>4786</v>
      </c>
      <c r="D60" s="3171" t="s">
        <v>4902</v>
      </c>
      <c r="E60" s="3170" t="s">
        <v>4903</v>
      </c>
      <c r="F60" s="3177" t="s">
        <v>4789</v>
      </c>
      <c r="G60" s="3169">
        <v>-1075</v>
      </c>
      <c r="H60" s="3172">
        <v>37.39</v>
      </c>
      <c r="I60" s="3173">
        <v>600000.32120000001</v>
      </c>
      <c r="J60" s="3174" t="s">
        <v>3447</v>
      </c>
      <c r="K60" s="3161"/>
      <c r="M60" s="3161"/>
    </row>
    <row r="61" spans="1:13" ht="16.5">
      <c r="A61" s="3168">
        <v>59</v>
      </c>
      <c r="B61" s="3169" t="s">
        <v>4786</v>
      </c>
      <c r="C61" s="3170" t="s">
        <v>4786</v>
      </c>
      <c r="D61" s="3171" t="s">
        <v>4904</v>
      </c>
      <c r="E61" s="3170" t="s">
        <v>4905</v>
      </c>
      <c r="F61" s="3177" t="s">
        <v>4789</v>
      </c>
      <c r="G61" s="3169">
        <v>-1076</v>
      </c>
      <c r="H61" s="3172">
        <v>37.39</v>
      </c>
      <c r="I61" s="3173">
        <v>600000.32120000001</v>
      </c>
      <c r="J61" s="3174" t="s">
        <v>3447</v>
      </c>
      <c r="K61" s="3161"/>
      <c r="M61" s="3161"/>
    </row>
    <row r="62" spans="1:13" ht="16.5">
      <c r="A62" s="3168">
        <v>60</v>
      </c>
      <c r="B62" s="3169" t="s">
        <v>4786</v>
      </c>
      <c r="C62" s="3170" t="s">
        <v>4786</v>
      </c>
      <c r="D62" s="3171" t="s">
        <v>4906</v>
      </c>
      <c r="E62" s="3170" t="s">
        <v>4907</v>
      </c>
      <c r="F62" s="3177" t="s">
        <v>4789</v>
      </c>
      <c r="G62" s="3169">
        <v>-1077</v>
      </c>
      <c r="H62" s="3172">
        <v>37.39</v>
      </c>
      <c r="I62" s="3173">
        <v>600000.32120000001</v>
      </c>
      <c r="J62" s="3174" t="s">
        <v>3447</v>
      </c>
      <c r="K62" s="3161"/>
      <c r="M62" s="3161"/>
    </row>
    <row r="63" spans="1:13" ht="16.5">
      <c r="A63" s="3168">
        <v>61</v>
      </c>
      <c r="B63" s="3169" t="s">
        <v>4786</v>
      </c>
      <c r="C63" s="3170" t="s">
        <v>4786</v>
      </c>
      <c r="D63" s="3171" t="s">
        <v>4908</v>
      </c>
      <c r="E63" s="3170" t="s">
        <v>4909</v>
      </c>
      <c r="F63" s="3177" t="s">
        <v>4789</v>
      </c>
      <c r="G63" s="3169">
        <v>-1080</v>
      </c>
      <c r="H63" s="3172">
        <v>37.39</v>
      </c>
      <c r="I63" s="3173">
        <v>600000.32120000001</v>
      </c>
      <c r="J63" s="3174" t="s">
        <v>3447</v>
      </c>
      <c r="K63" s="3161"/>
      <c r="M63" s="3161"/>
    </row>
    <row r="64" spans="1:13" ht="16.5">
      <c r="A64" s="3168">
        <v>62</v>
      </c>
      <c r="B64" s="3169" t="s">
        <v>4786</v>
      </c>
      <c r="C64" s="3170" t="s">
        <v>4786</v>
      </c>
      <c r="D64" s="3171" t="s">
        <v>4910</v>
      </c>
      <c r="E64" s="3170" t="s">
        <v>4911</v>
      </c>
      <c r="F64" s="3177" t="s">
        <v>4789</v>
      </c>
      <c r="G64" s="3169">
        <v>-1081</v>
      </c>
      <c r="H64" s="3172">
        <v>37.39</v>
      </c>
      <c r="I64" s="3173">
        <v>600000.32120000001</v>
      </c>
      <c r="J64" s="3174" t="s">
        <v>3447</v>
      </c>
      <c r="K64" s="3161"/>
      <c r="M64" s="3161"/>
    </row>
    <row r="65" spans="1:13" ht="16.5">
      <c r="A65" s="3168">
        <v>63</v>
      </c>
      <c r="B65" s="3169" t="s">
        <v>4786</v>
      </c>
      <c r="C65" s="3170" t="s">
        <v>4786</v>
      </c>
      <c r="D65" s="3171" t="s">
        <v>4912</v>
      </c>
      <c r="E65" s="3170" t="s">
        <v>4913</v>
      </c>
      <c r="F65" s="3177" t="s">
        <v>4789</v>
      </c>
      <c r="G65" s="3169">
        <v>-1082</v>
      </c>
      <c r="H65" s="3172">
        <v>37.39</v>
      </c>
      <c r="I65" s="3173">
        <v>600000.32120000001</v>
      </c>
      <c r="J65" s="3174" t="s">
        <v>3447</v>
      </c>
      <c r="K65" s="3161"/>
      <c r="M65" s="3161"/>
    </row>
    <row r="66" spans="1:13" ht="16.5">
      <c r="A66" s="3168">
        <v>64</v>
      </c>
      <c r="B66" s="3169" t="s">
        <v>4786</v>
      </c>
      <c r="C66" s="3170" t="s">
        <v>4786</v>
      </c>
      <c r="D66" s="3171" t="s">
        <v>4914</v>
      </c>
      <c r="E66" s="3170" t="s">
        <v>4915</v>
      </c>
      <c r="F66" s="3177" t="s">
        <v>4789</v>
      </c>
      <c r="G66" s="3169">
        <v>-1083</v>
      </c>
      <c r="H66" s="3172">
        <v>37.39</v>
      </c>
      <c r="I66" s="3173">
        <v>600000.32120000001</v>
      </c>
      <c r="J66" s="3174" t="s">
        <v>3447</v>
      </c>
      <c r="K66" s="3161"/>
      <c r="M66" s="3161"/>
    </row>
    <row r="67" spans="1:13" ht="16.5">
      <c r="A67" s="3168">
        <v>65</v>
      </c>
      <c r="B67" s="3169" t="s">
        <v>4786</v>
      </c>
      <c r="C67" s="3170" t="s">
        <v>4786</v>
      </c>
      <c r="D67" s="3171" t="s">
        <v>4916</v>
      </c>
      <c r="E67" s="3170" t="s">
        <v>4917</v>
      </c>
      <c r="F67" s="3177" t="s">
        <v>4789</v>
      </c>
      <c r="G67" s="3169">
        <v>-1084</v>
      </c>
      <c r="H67" s="3172">
        <v>37.39</v>
      </c>
      <c r="I67" s="3173">
        <v>600000.32120000001</v>
      </c>
      <c r="J67" s="3174" t="s">
        <v>3447</v>
      </c>
      <c r="K67" s="3161"/>
      <c r="M67" s="3161"/>
    </row>
    <row r="68" spans="1:13" ht="16.5">
      <c r="A68" s="3168">
        <v>66</v>
      </c>
      <c r="B68" s="3169" t="s">
        <v>4786</v>
      </c>
      <c r="C68" s="3170" t="s">
        <v>4786</v>
      </c>
      <c r="D68" s="3171" t="s">
        <v>4918</v>
      </c>
      <c r="E68" s="3170" t="s">
        <v>4919</v>
      </c>
      <c r="F68" s="3177" t="s">
        <v>4789</v>
      </c>
      <c r="G68" s="3169">
        <v>-1086</v>
      </c>
      <c r="H68" s="3172">
        <v>37.39</v>
      </c>
      <c r="I68" s="3173">
        <v>600000.32120000001</v>
      </c>
      <c r="J68" s="3174" t="s">
        <v>3447</v>
      </c>
      <c r="K68" s="3161"/>
      <c r="M68" s="3161"/>
    </row>
    <row r="69" spans="1:13" ht="16.5">
      <c r="A69" s="3168">
        <v>67</v>
      </c>
      <c r="B69" s="3169" t="s">
        <v>4786</v>
      </c>
      <c r="C69" s="3170" t="s">
        <v>4786</v>
      </c>
      <c r="D69" s="3171" t="s">
        <v>4920</v>
      </c>
      <c r="E69" s="3170" t="s">
        <v>4921</v>
      </c>
      <c r="F69" s="3177" t="s">
        <v>4789</v>
      </c>
      <c r="G69" s="3169">
        <v>-1087</v>
      </c>
      <c r="H69" s="3172">
        <v>35.9</v>
      </c>
      <c r="I69" s="3173">
        <v>600000.29</v>
      </c>
      <c r="J69" s="3174" t="s">
        <v>3447</v>
      </c>
      <c r="K69" s="3161"/>
      <c r="M69" s="3161"/>
    </row>
    <row r="70" spans="1:13" ht="16.5">
      <c r="A70" s="3168">
        <v>68</v>
      </c>
      <c r="B70" s="3169" t="s">
        <v>4786</v>
      </c>
      <c r="C70" s="3170" t="s">
        <v>4786</v>
      </c>
      <c r="D70" s="3171" t="s">
        <v>4922</v>
      </c>
      <c r="E70" s="3170" t="s">
        <v>4923</v>
      </c>
      <c r="F70" s="3177" t="s">
        <v>4789</v>
      </c>
      <c r="G70" s="3169">
        <v>-1088</v>
      </c>
      <c r="H70" s="3172">
        <v>35.9</v>
      </c>
      <c r="I70" s="3173">
        <v>600000.29</v>
      </c>
      <c r="J70" s="3174" t="s">
        <v>3447</v>
      </c>
      <c r="K70" s="3161"/>
      <c r="M70" s="3161"/>
    </row>
    <row r="71" spans="1:13" ht="16.5">
      <c r="A71" s="3168">
        <v>69</v>
      </c>
      <c r="B71" s="3169" t="s">
        <v>4786</v>
      </c>
      <c r="C71" s="3170" t="s">
        <v>4786</v>
      </c>
      <c r="D71" s="3171" t="s">
        <v>4924</v>
      </c>
      <c r="E71" s="3170" t="s">
        <v>4925</v>
      </c>
      <c r="F71" s="3177" t="s">
        <v>4789</v>
      </c>
      <c r="G71" s="3169">
        <v>-1089</v>
      </c>
      <c r="H71" s="3172">
        <v>35.9</v>
      </c>
      <c r="I71" s="3173">
        <v>600000.29</v>
      </c>
      <c r="J71" s="3174" t="s">
        <v>3447</v>
      </c>
      <c r="K71" s="3161"/>
      <c r="M71" s="3161"/>
    </row>
    <row r="72" spans="1:13" ht="16.5">
      <c r="A72" s="3168">
        <v>70</v>
      </c>
      <c r="B72" s="3169" t="s">
        <v>4786</v>
      </c>
      <c r="C72" s="3170" t="s">
        <v>4786</v>
      </c>
      <c r="D72" s="3171" t="s">
        <v>4926</v>
      </c>
      <c r="E72" s="3170" t="s">
        <v>4927</v>
      </c>
      <c r="F72" s="3177" t="s">
        <v>4789</v>
      </c>
      <c r="G72" s="3169">
        <v>-1090</v>
      </c>
      <c r="H72" s="3172">
        <v>35.9</v>
      </c>
      <c r="I72" s="3173">
        <v>600000.29</v>
      </c>
      <c r="J72" s="3174" t="s">
        <v>3447</v>
      </c>
      <c r="K72" s="3161"/>
      <c r="M72" s="3161"/>
    </row>
    <row r="73" spans="1:13" ht="16.5">
      <c r="A73" s="3168">
        <v>71</v>
      </c>
      <c r="B73" s="3169" t="s">
        <v>4786</v>
      </c>
      <c r="C73" s="3170" t="s">
        <v>4786</v>
      </c>
      <c r="D73" s="3171" t="s">
        <v>4928</v>
      </c>
      <c r="E73" s="3170" t="s">
        <v>4929</v>
      </c>
      <c r="F73" s="3177" t="s">
        <v>4789</v>
      </c>
      <c r="G73" s="3169">
        <v>-1091</v>
      </c>
      <c r="H73" s="3172">
        <v>37.39</v>
      </c>
      <c r="I73" s="3173">
        <v>600000.32120000001</v>
      </c>
      <c r="J73" s="3174" t="s">
        <v>3447</v>
      </c>
      <c r="K73" s="3161"/>
      <c r="M73" s="3161"/>
    </row>
    <row r="74" spans="1:13" ht="16.5">
      <c r="A74" s="3168">
        <v>72</v>
      </c>
      <c r="B74" s="3169" t="s">
        <v>4786</v>
      </c>
      <c r="C74" s="3170" t="s">
        <v>4786</v>
      </c>
      <c r="D74" s="3171" t="s">
        <v>4930</v>
      </c>
      <c r="E74" s="3170" t="s">
        <v>4931</v>
      </c>
      <c r="F74" s="3177" t="s">
        <v>4789</v>
      </c>
      <c r="G74" s="3169">
        <v>-1092</v>
      </c>
      <c r="H74" s="3172">
        <v>37.39</v>
      </c>
      <c r="I74" s="3173">
        <v>600000.32120000001</v>
      </c>
      <c r="J74" s="3174" t="s">
        <v>3447</v>
      </c>
      <c r="K74" s="3161"/>
      <c r="M74" s="3161"/>
    </row>
    <row r="75" spans="1:13" ht="16.5">
      <c r="A75" s="3168">
        <v>73</v>
      </c>
      <c r="B75" s="3169" t="s">
        <v>4786</v>
      </c>
      <c r="C75" s="3170" t="s">
        <v>4786</v>
      </c>
      <c r="D75" s="3171" t="s">
        <v>4932</v>
      </c>
      <c r="E75" s="3170" t="s">
        <v>4933</v>
      </c>
      <c r="F75" s="3177" t="s">
        <v>4789</v>
      </c>
      <c r="G75" s="3169">
        <v>-1093</v>
      </c>
      <c r="H75" s="3172">
        <v>37.39</v>
      </c>
      <c r="I75" s="3173">
        <v>600000.32120000001</v>
      </c>
      <c r="J75" s="3174" t="s">
        <v>3447</v>
      </c>
      <c r="K75" s="3161"/>
      <c r="M75" s="3161"/>
    </row>
    <row r="76" spans="1:13" ht="16.5">
      <c r="A76" s="3168">
        <v>74</v>
      </c>
      <c r="B76" s="3169" t="s">
        <v>4786</v>
      </c>
      <c r="C76" s="3170" t="s">
        <v>4786</v>
      </c>
      <c r="D76" s="3171" t="s">
        <v>4934</v>
      </c>
      <c r="E76" s="3170" t="s">
        <v>4935</v>
      </c>
      <c r="F76" s="3177" t="s">
        <v>4789</v>
      </c>
      <c r="G76" s="3169">
        <v>-1094</v>
      </c>
      <c r="H76" s="3172">
        <v>35.9</v>
      </c>
      <c r="I76" s="3173">
        <v>600000.29</v>
      </c>
      <c r="J76" s="3174" t="s">
        <v>3447</v>
      </c>
      <c r="K76" s="3161"/>
      <c r="M76" s="3161"/>
    </row>
    <row r="77" spans="1:13" ht="16.5">
      <c r="A77" s="3168">
        <v>75</v>
      </c>
      <c r="B77" s="3169" t="s">
        <v>4786</v>
      </c>
      <c r="C77" s="3170" t="s">
        <v>4786</v>
      </c>
      <c r="D77" s="3171" t="s">
        <v>4936</v>
      </c>
      <c r="E77" s="3170" t="s">
        <v>4937</v>
      </c>
      <c r="F77" s="3177" t="s">
        <v>4789</v>
      </c>
      <c r="G77" s="3169">
        <v>-1095</v>
      </c>
      <c r="H77" s="3172">
        <v>35.9</v>
      </c>
      <c r="I77" s="3173">
        <v>600000.29</v>
      </c>
      <c r="J77" s="3174" t="s">
        <v>3447</v>
      </c>
      <c r="K77" s="3161"/>
      <c r="M77" s="3161"/>
    </row>
    <row r="78" spans="1:13" ht="16.5">
      <c r="A78" s="3168">
        <v>76</v>
      </c>
      <c r="B78" s="3169" t="s">
        <v>4786</v>
      </c>
      <c r="C78" s="3170" t="s">
        <v>4786</v>
      </c>
      <c r="D78" s="3171" t="s">
        <v>4938</v>
      </c>
      <c r="E78" s="3170" t="s">
        <v>4939</v>
      </c>
      <c r="F78" s="3177" t="s">
        <v>4789</v>
      </c>
      <c r="G78" s="3169">
        <v>-1096</v>
      </c>
      <c r="H78" s="3172">
        <v>37.39</v>
      </c>
      <c r="I78" s="3173">
        <v>600000.32120000001</v>
      </c>
      <c r="J78" s="3174" t="s">
        <v>3447</v>
      </c>
      <c r="K78" s="3161"/>
      <c r="M78" s="3161"/>
    </row>
    <row r="79" spans="1:13" ht="16.5">
      <c r="A79" s="3168">
        <v>77</v>
      </c>
      <c r="B79" s="3169" t="s">
        <v>4786</v>
      </c>
      <c r="C79" s="3170" t="s">
        <v>4786</v>
      </c>
      <c r="D79" s="3171" t="s">
        <v>4940</v>
      </c>
      <c r="E79" s="3170" t="s">
        <v>4941</v>
      </c>
      <c r="F79" s="3177" t="s">
        <v>4789</v>
      </c>
      <c r="G79" s="3169">
        <v>-1097</v>
      </c>
      <c r="H79" s="3172">
        <v>37.39</v>
      </c>
      <c r="I79" s="3173">
        <v>600000.32120000001</v>
      </c>
      <c r="J79" s="3174" t="s">
        <v>3447</v>
      </c>
      <c r="K79" s="3161"/>
      <c r="M79" s="3161"/>
    </row>
    <row r="80" spans="1:13" ht="16.5">
      <c r="A80" s="3168">
        <v>78</v>
      </c>
      <c r="B80" s="3169" t="s">
        <v>4786</v>
      </c>
      <c r="C80" s="3170" t="s">
        <v>4786</v>
      </c>
      <c r="D80" s="3171" t="s">
        <v>4942</v>
      </c>
      <c r="E80" s="3170" t="s">
        <v>4943</v>
      </c>
      <c r="F80" s="3177" t="s">
        <v>4789</v>
      </c>
      <c r="G80" s="3169">
        <v>-1098</v>
      </c>
      <c r="H80" s="3172">
        <v>35.9</v>
      </c>
      <c r="I80" s="3173">
        <v>600000.29</v>
      </c>
      <c r="J80" s="3174" t="s">
        <v>3463</v>
      </c>
      <c r="K80" s="3161"/>
      <c r="M80" s="3161"/>
    </row>
    <row r="81" spans="1:13" ht="16.5">
      <c r="A81" s="3168">
        <v>79</v>
      </c>
      <c r="B81" s="3169" t="s">
        <v>4786</v>
      </c>
      <c r="C81" s="3170" t="s">
        <v>4786</v>
      </c>
      <c r="D81" s="3171" t="s">
        <v>4944</v>
      </c>
      <c r="E81" s="3170" t="s">
        <v>4945</v>
      </c>
      <c r="F81" s="3177" t="s">
        <v>4789</v>
      </c>
      <c r="G81" s="3169">
        <v>-1099</v>
      </c>
      <c r="H81" s="3172">
        <v>35.9</v>
      </c>
      <c r="I81" s="3173">
        <v>600000.29</v>
      </c>
      <c r="J81" s="3174" t="s">
        <v>3463</v>
      </c>
      <c r="K81" s="3161"/>
      <c r="M81" s="3161"/>
    </row>
    <row r="82" spans="1:13" ht="16.5">
      <c r="A82" s="3168">
        <v>80</v>
      </c>
      <c r="B82" s="3169" t="s">
        <v>4786</v>
      </c>
      <c r="C82" s="3170" t="s">
        <v>4786</v>
      </c>
      <c r="D82" s="3171" t="s">
        <v>4946</v>
      </c>
      <c r="E82" s="3170" t="s">
        <v>4947</v>
      </c>
      <c r="F82" s="3177" t="s">
        <v>4789</v>
      </c>
      <c r="G82" s="3169">
        <v>-1100</v>
      </c>
      <c r="H82" s="3172">
        <v>35.9</v>
      </c>
      <c r="I82" s="3173">
        <v>600000.29</v>
      </c>
      <c r="J82" s="3174" t="s">
        <v>3447</v>
      </c>
      <c r="K82" s="3161"/>
      <c r="M82" s="3161"/>
    </row>
    <row r="83" spans="1:13" ht="16.5">
      <c r="A83" s="3168">
        <v>81</v>
      </c>
      <c r="B83" s="3169" t="s">
        <v>4786</v>
      </c>
      <c r="C83" s="3170" t="s">
        <v>4786</v>
      </c>
      <c r="D83" s="3171" t="s">
        <v>4948</v>
      </c>
      <c r="E83" s="3170" t="s">
        <v>4949</v>
      </c>
      <c r="F83" s="3177" t="s">
        <v>4789</v>
      </c>
      <c r="G83" s="3169">
        <v>-1101</v>
      </c>
      <c r="H83" s="3172">
        <v>35.9</v>
      </c>
      <c r="I83" s="3173">
        <v>600000.29</v>
      </c>
      <c r="J83" s="3174" t="s">
        <v>3447</v>
      </c>
      <c r="K83" s="3161"/>
      <c r="M83" s="3161"/>
    </row>
    <row r="84" spans="1:13" ht="16.5">
      <c r="A84" s="3168">
        <v>82</v>
      </c>
      <c r="B84" s="3169" t="s">
        <v>4786</v>
      </c>
      <c r="C84" s="3170" t="s">
        <v>4786</v>
      </c>
      <c r="D84" s="3171" t="s">
        <v>4950</v>
      </c>
      <c r="E84" s="3170" t="s">
        <v>4951</v>
      </c>
      <c r="F84" s="3177" t="s">
        <v>4789</v>
      </c>
      <c r="G84" s="3169">
        <v>-1102</v>
      </c>
      <c r="H84" s="3172">
        <v>37.39</v>
      </c>
      <c r="I84" s="3173">
        <v>600000.32120000001</v>
      </c>
      <c r="J84" s="3174" t="s">
        <v>3447</v>
      </c>
      <c r="K84" s="3161"/>
      <c r="M84" s="3161"/>
    </row>
    <row r="85" spans="1:13" ht="16.5">
      <c r="A85" s="3168">
        <v>83</v>
      </c>
      <c r="B85" s="3169" t="s">
        <v>4786</v>
      </c>
      <c r="C85" s="3170" t="s">
        <v>4786</v>
      </c>
      <c r="D85" s="3171" t="s">
        <v>4952</v>
      </c>
      <c r="E85" s="3170" t="s">
        <v>4953</v>
      </c>
      <c r="F85" s="3177" t="s">
        <v>4789</v>
      </c>
      <c r="G85" s="3169">
        <v>-1103</v>
      </c>
      <c r="H85" s="3172">
        <v>37.39</v>
      </c>
      <c r="I85" s="3173">
        <v>600000.32120000001</v>
      </c>
      <c r="J85" s="3174" t="s">
        <v>3447</v>
      </c>
      <c r="K85" s="3161"/>
      <c r="M85" s="3161"/>
    </row>
    <row r="86" spans="1:13" ht="16.5">
      <c r="A86" s="3168">
        <v>84</v>
      </c>
      <c r="B86" s="3169" t="s">
        <v>4786</v>
      </c>
      <c r="C86" s="3170" t="s">
        <v>4786</v>
      </c>
      <c r="D86" s="3171" t="s">
        <v>4954</v>
      </c>
      <c r="E86" s="3170" t="s">
        <v>4955</v>
      </c>
      <c r="F86" s="3177" t="s">
        <v>4789</v>
      </c>
      <c r="G86" s="3169">
        <v>-1104</v>
      </c>
      <c r="H86" s="3172">
        <v>55.34</v>
      </c>
      <c r="I86" s="3173">
        <v>600000.15379999997</v>
      </c>
      <c r="J86" s="3174" t="s">
        <v>3447</v>
      </c>
      <c r="K86" s="3161"/>
      <c r="M86" s="3161"/>
    </row>
    <row r="87" spans="1:13" ht="16.5">
      <c r="A87" s="3168">
        <v>85</v>
      </c>
      <c r="B87" s="3169" t="s">
        <v>4786</v>
      </c>
      <c r="C87" s="3170" t="s">
        <v>4786</v>
      </c>
      <c r="D87" s="3171" t="s">
        <v>4956</v>
      </c>
      <c r="E87" s="3170" t="s">
        <v>4957</v>
      </c>
      <c r="F87" s="3177" t="s">
        <v>4789</v>
      </c>
      <c r="G87" s="3169">
        <v>-1105</v>
      </c>
      <c r="H87" s="3172">
        <v>35.9</v>
      </c>
      <c r="I87" s="3173">
        <v>600000.29</v>
      </c>
      <c r="J87" s="3174" t="s">
        <v>3447</v>
      </c>
      <c r="K87" s="3161"/>
      <c r="M87" s="3161"/>
    </row>
    <row r="88" spans="1:13" ht="16.5">
      <c r="A88" s="3168">
        <v>86</v>
      </c>
      <c r="B88" s="3169" t="s">
        <v>4786</v>
      </c>
      <c r="C88" s="3170" t="s">
        <v>4786</v>
      </c>
      <c r="D88" s="3171" t="s">
        <v>4958</v>
      </c>
      <c r="E88" s="3170" t="s">
        <v>4959</v>
      </c>
      <c r="F88" s="3177" t="s">
        <v>4789</v>
      </c>
      <c r="G88" s="3169">
        <v>-1106</v>
      </c>
      <c r="H88" s="3172">
        <v>35.9</v>
      </c>
      <c r="I88" s="3173">
        <v>600000.29</v>
      </c>
      <c r="J88" s="3174" t="s">
        <v>3447</v>
      </c>
      <c r="K88" s="3161"/>
      <c r="M88" s="3161"/>
    </row>
    <row r="89" spans="1:13" ht="16.5">
      <c r="A89" s="3168">
        <v>87</v>
      </c>
      <c r="B89" s="3169" t="s">
        <v>4786</v>
      </c>
      <c r="C89" s="3170" t="s">
        <v>4786</v>
      </c>
      <c r="D89" s="3171" t="s">
        <v>4960</v>
      </c>
      <c r="E89" s="3170" t="s">
        <v>4961</v>
      </c>
      <c r="F89" s="3177" t="s">
        <v>4789</v>
      </c>
      <c r="G89" s="3169">
        <v>-1107</v>
      </c>
      <c r="H89" s="3172">
        <v>37.39</v>
      </c>
      <c r="I89" s="3173">
        <v>600000.32120000001</v>
      </c>
      <c r="J89" s="3174" t="s">
        <v>3447</v>
      </c>
      <c r="K89" s="3161"/>
      <c r="M89" s="3161"/>
    </row>
    <row r="90" spans="1:13" ht="16.5">
      <c r="A90" s="3168">
        <v>88</v>
      </c>
      <c r="B90" s="3169" t="s">
        <v>4786</v>
      </c>
      <c r="C90" s="3170" t="s">
        <v>4786</v>
      </c>
      <c r="D90" s="3171" t="s">
        <v>4962</v>
      </c>
      <c r="E90" s="3170" t="s">
        <v>4963</v>
      </c>
      <c r="F90" s="3177" t="s">
        <v>4789</v>
      </c>
      <c r="G90" s="3169">
        <v>-1108</v>
      </c>
      <c r="H90" s="3172">
        <v>37.39</v>
      </c>
      <c r="I90" s="3173">
        <v>600000.32120000001</v>
      </c>
      <c r="J90" s="3174" t="s">
        <v>3447</v>
      </c>
      <c r="K90" s="3161"/>
      <c r="M90" s="3161"/>
    </row>
    <row r="91" spans="1:13" ht="16.5">
      <c r="A91" s="3168">
        <v>89</v>
      </c>
      <c r="B91" s="3169" t="s">
        <v>4786</v>
      </c>
      <c r="C91" s="3170" t="s">
        <v>4786</v>
      </c>
      <c r="D91" s="3171" t="s">
        <v>4964</v>
      </c>
      <c r="E91" s="3170" t="s">
        <v>4965</v>
      </c>
      <c r="F91" s="3177" t="s">
        <v>4789</v>
      </c>
      <c r="G91" s="3169">
        <v>-1109</v>
      </c>
      <c r="H91" s="3172">
        <v>35.9</v>
      </c>
      <c r="I91" s="3173">
        <v>600000.29</v>
      </c>
      <c r="J91" s="3174" t="s">
        <v>3447</v>
      </c>
      <c r="K91" s="3161"/>
      <c r="M91" s="3161"/>
    </row>
    <row r="92" spans="1:13" ht="16.5">
      <c r="A92" s="3168">
        <v>90</v>
      </c>
      <c r="B92" s="3169" t="s">
        <v>4786</v>
      </c>
      <c r="C92" s="3170" t="s">
        <v>4786</v>
      </c>
      <c r="D92" s="3171" t="s">
        <v>4966</v>
      </c>
      <c r="E92" s="3170" t="s">
        <v>4967</v>
      </c>
      <c r="F92" s="3177" t="s">
        <v>4789</v>
      </c>
      <c r="G92" s="3169">
        <v>-1110</v>
      </c>
      <c r="H92" s="3172">
        <v>35.9</v>
      </c>
      <c r="I92" s="3173">
        <v>600000.29</v>
      </c>
      <c r="J92" s="3174" t="s">
        <v>3447</v>
      </c>
      <c r="K92" s="3161"/>
      <c r="M92" s="3161"/>
    </row>
    <row r="93" spans="1:13" ht="16.5">
      <c r="A93" s="3168">
        <v>91</v>
      </c>
      <c r="B93" s="3169" t="s">
        <v>4786</v>
      </c>
      <c r="C93" s="3170" t="s">
        <v>4786</v>
      </c>
      <c r="D93" s="3171" t="s">
        <v>4968</v>
      </c>
      <c r="E93" s="3170" t="s">
        <v>4969</v>
      </c>
      <c r="F93" s="3177" t="s">
        <v>4789</v>
      </c>
      <c r="G93" s="3169">
        <v>-1111</v>
      </c>
      <c r="H93" s="3172">
        <v>35.9</v>
      </c>
      <c r="I93" s="3173">
        <v>600000.29</v>
      </c>
      <c r="J93" s="3174" t="s">
        <v>3447</v>
      </c>
      <c r="K93" s="3161"/>
      <c r="M93" s="3161"/>
    </row>
    <row r="94" spans="1:13" ht="16.5">
      <c r="A94" s="3168">
        <v>92</v>
      </c>
      <c r="B94" s="3169" t="s">
        <v>4786</v>
      </c>
      <c r="C94" s="3170" t="s">
        <v>4786</v>
      </c>
      <c r="D94" s="3171" t="s">
        <v>4970</v>
      </c>
      <c r="E94" s="3170" t="s">
        <v>4971</v>
      </c>
      <c r="F94" s="3177" t="s">
        <v>4789</v>
      </c>
      <c r="G94" s="3169">
        <v>-1112</v>
      </c>
      <c r="H94" s="3172">
        <v>35.9</v>
      </c>
      <c r="I94" s="3173">
        <v>600000.29</v>
      </c>
      <c r="J94" s="3174" t="s">
        <v>3447</v>
      </c>
      <c r="K94" s="3161"/>
      <c r="M94" s="3161"/>
    </row>
    <row r="95" spans="1:13" ht="16.5">
      <c r="A95" s="3168">
        <v>93</v>
      </c>
      <c r="B95" s="3169" t="s">
        <v>4786</v>
      </c>
      <c r="C95" s="3170" t="s">
        <v>4786</v>
      </c>
      <c r="D95" s="3171" t="s">
        <v>4972</v>
      </c>
      <c r="E95" s="3170" t="s">
        <v>4973</v>
      </c>
      <c r="F95" s="3177" t="s">
        <v>4789</v>
      </c>
      <c r="G95" s="3169">
        <v>-1115</v>
      </c>
      <c r="H95" s="3172">
        <v>37.39</v>
      </c>
      <c r="I95" s="3173">
        <v>600000.32120000001</v>
      </c>
      <c r="J95" s="3174" t="s">
        <v>3447</v>
      </c>
      <c r="K95" s="3161"/>
      <c r="M95" s="3161"/>
    </row>
    <row r="96" spans="1:13" ht="16.5">
      <c r="A96" s="3168">
        <v>94</v>
      </c>
      <c r="B96" s="3169" t="s">
        <v>4786</v>
      </c>
      <c r="C96" s="3170" t="s">
        <v>4786</v>
      </c>
      <c r="D96" s="3171" t="s">
        <v>4974</v>
      </c>
      <c r="E96" s="3170" t="s">
        <v>4975</v>
      </c>
      <c r="F96" s="3177" t="s">
        <v>4789</v>
      </c>
      <c r="G96" s="3169">
        <v>-1116</v>
      </c>
      <c r="H96" s="3172">
        <v>37.39</v>
      </c>
      <c r="I96" s="3173">
        <v>600000.32120000001</v>
      </c>
      <c r="J96" s="3174" t="s">
        <v>3447</v>
      </c>
      <c r="K96" s="3161"/>
      <c r="M96" s="3161"/>
    </row>
    <row r="97" spans="1:13" ht="16.5">
      <c r="A97" s="3168">
        <v>95</v>
      </c>
      <c r="B97" s="3169" t="s">
        <v>4786</v>
      </c>
      <c r="C97" s="3170" t="s">
        <v>4786</v>
      </c>
      <c r="D97" s="3171" t="s">
        <v>4976</v>
      </c>
      <c r="E97" s="3170" t="s">
        <v>4977</v>
      </c>
      <c r="F97" s="3177" t="s">
        <v>4789</v>
      </c>
      <c r="G97" s="3169">
        <v>-1119</v>
      </c>
      <c r="H97" s="3172">
        <v>37.39</v>
      </c>
      <c r="I97" s="3173">
        <v>600000.32120000001</v>
      </c>
      <c r="J97" s="3174" t="s">
        <v>3447</v>
      </c>
      <c r="K97" s="3161"/>
      <c r="M97" s="3161"/>
    </row>
    <row r="98" spans="1:13" ht="16.5">
      <c r="A98" s="3168">
        <v>96</v>
      </c>
      <c r="B98" s="3169" t="s">
        <v>4786</v>
      </c>
      <c r="C98" s="3170" t="s">
        <v>4786</v>
      </c>
      <c r="D98" s="3171" t="s">
        <v>4978</v>
      </c>
      <c r="E98" s="3170" t="s">
        <v>4979</v>
      </c>
      <c r="F98" s="3177" t="s">
        <v>4789</v>
      </c>
      <c r="G98" s="3169">
        <v>-1120</v>
      </c>
      <c r="H98" s="3172">
        <v>37.39</v>
      </c>
      <c r="I98" s="3173">
        <v>600000.32120000001</v>
      </c>
      <c r="J98" s="3174" t="s">
        <v>3447</v>
      </c>
      <c r="K98" s="3161"/>
      <c r="M98" s="3161"/>
    </row>
    <row r="99" spans="1:13" ht="16.5">
      <c r="A99" s="3168">
        <v>97</v>
      </c>
      <c r="B99" s="3169" t="s">
        <v>4786</v>
      </c>
      <c r="C99" s="3170" t="s">
        <v>4786</v>
      </c>
      <c r="D99" s="3171" t="s">
        <v>4980</v>
      </c>
      <c r="E99" s="3170" t="s">
        <v>4981</v>
      </c>
      <c r="F99" s="3177" t="s">
        <v>4789</v>
      </c>
      <c r="G99" s="3169">
        <v>-1121</v>
      </c>
      <c r="H99" s="3172">
        <v>37.39</v>
      </c>
      <c r="I99" s="3173">
        <v>600000.32120000001</v>
      </c>
      <c r="J99" s="3174" t="s">
        <v>3447</v>
      </c>
      <c r="K99" s="3161"/>
      <c r="M99" s="3161"/>
    </row>
    <row r="100" spans="1:13" ht="16.5">
      <c r="A100" s="3168">
        <v>98</v>
      </c>
      <c r="B100" s="3169" t="s">
        <v>4786</v>
      </c>
      <c r="C100" s="3170" t="s">
        <v>4786</v>
      </c>
      <c r="D100" s="3171" t="s">
        <v>4982</v>
      </c>
      <c r="E100" s="3170" t="s">
        <v>4983</v>
      </c>
      <c r="F100" s="3177" t="s">
        <v>4789</v>
      </c>
      <c r="G100" s="3169">
        <v>-1123</v>
      </c>
      <c r="H100" s="3172">
        <v>37.39</v>
      </c>
      <c r="I100" s="3173">
        <v>600000.32120000001</v>
      </c>
      <c r="J100" s="3174" t="s">
        <v>3447</v>
      </c>
      <c r="K100" s="3161"/>
      <c r="M100" s="3161"/>
    </row>
    <row r="101" spans="1:13" ht="16.5">
      <c r="A101" s="3168">
        <v>99</v>
      </c>
      <c r="B101" s="3169" t="s">
        <v>4786</v>
      </c>
      <c r="C101" s="3170" t="s">
        <v>4786</v>
      </c>
      <c r="D101" s="3171" t="s">
        <v>4984</v>
      </c>
      <c r="E101" s="3170" t="s">
        <v>4985</v>
      </c>
      <c r="F101" s="3177" t="s">
        <v>4789</v>
      </c>
      <c r="G101" s="3169">
        <v>-1124</v>
      </c>
      <c r="H101" s="3172">
        <v>37.39</v>
      </c>
      <c r="I101" s="3173">
        <v>600000.32120000001</v>
      </c>
      <c r="J101" s="3174" t="s">
        <v>3447</v>
      </c>
      <c r="K101" s="3161"/>
      <c r="M101" s="3161"/>
    </row>
    <row r="102" spans="1:13" ht="16.5">
      <c r="A102" s="3168">
        <v>100</v>
      </c>
      <c r="B102" s="3169" t="s">
        <v>4786</v>
      </c>
      <c r="C102" s="3170" t="s">
        <v>4786</v>
      </c>
      <c r="D102" s="3171" t="s">
        <v>4986</v>
      </c>
      <c r="E102" s="3170" t="s">
        <v>4987</v>
      </c>
      <c r="F102" s="3177" t="s">
        <v>4789</v>
      </c>
      <c r="G102" s="3169">
        <v>-1127</v>
      </c>
      <c r="H102" s="3172">
        <v>37.39</v>
      </c>
      <c r="I102" s="3173">
        <v>600000.32120000001</v>
      </c>
      <c r="J102" s="3174" t="s">
        <v>3447</v>
      </c>
      <c r="K102" s="3161"/>
      <c r="M102" s="3161"/>
    </row>
    <row r="103" spans="1:13" ht="16.5">
      <c r="A103" s="3168">
        <v>101</v>
      </c>
      <c r="B103" s="3169" t="s">
        <v>4786</v>
      </c>
      <c r="C103" s="3170" t="s">
        <v>4786</v>
      </c>
      <c r="D103" s="3171" t="s">
        <v>4988</v>
      </c>
      <c r="E103" s="3170" t="s">
        <v>4989</v>
      </c>
      <c r="F103" s="3177" t="s">
        <v>4789</v>
      </c>
      <c r="G103" s="3169">
        <v>-1128</v>
      </c>
      <c r="H103" s="3172">
        <v>37.39</v>
      </c>
      <c r="I103" s="3173">
        <v>600000.32120000001</v>
      </c>
      <c r="J103" s="3174" t="s">
        <v>3447</v>
      </c>
      <c r="K103" s="3161"/>
      <c r="M103" s="3161"/>
    </row>
    <row r="104" spans="1:13" ht="16.5">
      <c r="A104" s="3168">
        <v>102</v>
      </c>
      <c r="B104" s="3169" t="s">
        <v>4786</v>
      </c>
      <c r="C104" s="3170" t="s">
        <v>4786</v>
      </c>
      <c r="D104" s="3171" t="s">
        <v>4990</v>
      </c>
      <c r="E104" s="3170" t="s">
        <v>4991</v>
      </c>
      <c r="F104" s="3177" t="s">
        <v>4789</v>
      </c>
      <c r="G104" s="3169">
        <v>-1129</v>
      </c>
      <c r="H104" s="3172">
        <v>37.39</v>
      </c>
      <c r="I104" s="3173">
        <v>600000.32120000001</v>
      </c>
      <c r="J104" s="3174" t="s">
        <v>3447</v>
      </c>
      <c r="K104" s="3161"/>
      <c r="M104" s="3161"/>
    </row>
    <row r="105" spans="1:13" ht="16.5">
      <c r="A105" s="3168">
        <v>103</v>
      </c>
      <c r="B105" s="3169" t="s">
        <v>4786</v>
      </c>
      <c r="C105" s="3170" t="s">
        <v>4786</v>
      </c>
      <c r="D105" s="3171" t="s">
        <v>4992</v>
      </c>
      <c r="E105" s="3170" t="s">
        <v>4993</v>
      </c>
      <c r="F105" s="3177" t="s">
        <v>4789</v>
      </c>
      <c r="G105" s="3169">
        <v>-1130</v>
      </c>
      <c r="H105" s="3172">
        <v>37.39</v>
      </c>
      <c r="I105" s="3173">
        <v>600000.32120000001</v>
      </c>
      <c r="J105" s="3174" t="s">
        <v>3447</v>
      </c>
      <c r="K105" s="3161"/>
      <c r="M105" s="3161"/>
    </row>
    <row r="106" spans="1:13" ht="16.5">
      <c r="A106" s="3168">
        <v>104</v>
      </c>
      <c r="B106" s="3169" t="s">
        <v>4786</v>
      </c>
      <c r="C106" s="3170" t="s">
        <v>4786</v>
      </c>
      <c r="D106" s="3171" t="s">
        <v>4994</v>
      </c>
      <c r="E106" s="3170" t="s">
        <v>4995</v>
      </c>
      <c r="F106" s="3177" t="s">
        <v>4789</v>
      </c>
      <c r="G106" s="3169">
        <v>-1131</v>
      </c>
      <c r="H106" s="3172">
        <v>37.39</v>
      </c>
      <c r="I106" s="3173">
        <v>600000.32120000001</v>
      </c>
      <c r="J106" s="3174" t="s">
        <v>3447</v>
      </c>
      <c r="K106" s="3161"/>
      <c r="M106" s="3161"/>
    </row>
    <row r="107" spans="1:13" ht="16.5">
      <c r="A107" s="3168">
        <v>105</v>
      </c>
      <c r="B107" s="3169" t="s">
        <v>4786</v>
      </c>
      <c r="C107" s="3170" t="s">
        <v>4786</v>
      </c>
      <c r="D107" s="3171" t="s">
        <v>4996</v>
      </c>
      <c r="E107" s="3170" t="s">
        <v>4997</v>
      </c>
      <c r="F107" s="3177" t="s">
        <v>4789</v>
      </c>
      <c r="G107" s="3169">
        <v>-1134</v>
      </c>
      <c r="H107" s="3172">
        <v>37.39</v>
      </c>
      <c r="I107" s="3173">
        <v>600000.32120000001</v>
      </c>
      <c r="J107" s="3174" t="s">
        <v>3447</v>
      </c>
      <c r="K107" s="3161"/>
      <c r="M107" s="3161"/>
    </row>
    <row r="108" spans="1:13" ht="16.5">
      <c r="A108" s="3168">
        <v>106</v>
      </c>
      <c r="B108" s="3169" t="s">
        <v>4786</v>
      </c>
      <c r="C108" s="3170" t="s">
        <v>4786</v>
      </c>
      <c r="D108" s="3171" t="s">
        <v>4998</v>
      </c>
      <c r="E108" s="3170" t="s">
        <v>4999</v>
      </c>
      <c r="F108" s="3177" t="s">
        <v>4789</v>
      </c>
      <c r="G108" s="3169">
        <v>-1137</v>
      </c>
      <c r="H108" s="3172">
        <v>37.39</v>
      </c>
      <c r="I108" s="3173">
        <v>600000.32120000001</v>
      </c>
      <c r="J108" s="3174" t="s">
        <v>3463</v>
      </c>
      <c r="K108" s="3161"/>
      <c r="M108" s="3161"/>
    </row>
    <row r="109" spans="1:13" ht="16.5">
      <c r="A109" s="3168">
        <v>107</v>
      </c>
      <c r="B109" s="3169" t="s">
        <v>4786</v>
      </c>
      <c r="C109" s="3170" t="s">
        <v>4786</v>
      </c>
      <c r="D109" s="3171" t="s">
        <v>5000</v>
      </c>
      <c r="E109" s="3170" t="s">
        <v>5001</v>
      </c>
      <c r="F109" s="3177" t="s">
        <v>4789</v>
      </c>
      <c r="G109" s="3169">
        <v>-1141</v>
      </c>
      <c r="H109" s="3172">
        <v>37.39</v>
      </c>
      <c r="I109" s="3173">
        <v>600000.32120000001</v>
      </c>
      <c r="J109" s="3174" t="s">
        <v>3447</v>
      </c>
      <c r="K109" s="3161"/>
      <c r="M109" s="3161"/>
    </row>
    <row r="110" spans="1:13" ht="16.5">
      <c r="A110" s="3168">
        <v>108</v>
      </c>
      <c r="B110" s="3169" t="s">
        <v>4786</v>
      </c>
      <c r="C110" s="3170" t="s">
        <v>4786</v>
      </c>
      <c r="D110" s="3171" t="s">
        <v>5002</v>
      </c>
      <c r="E110" s="3170" t="s">
        <v>5003</v>
      </c>
      <c r="F110" s="3177" t="s">
        <v>4789</v>
      </c>
      <c r="G110" s="3169">
        <v>-1142</v>
      </c>
      <c r="H110" s="3172">
        <v>37.39</v>
      </c>
      <c r="I110" s="3173">
        <v>600000.32120000001</v>
      </c>
      <c r="J110" s="3174" t="s">
        <v>3447</v>
      </c>
      <c r="K110" s="3161"/>
      <c r="M110" s="3161"/>
    </row>
    <row r="111" spans="1:13" ht="16.5">
      <c r="A111" s="3168">
        <v>109</v>
      </c>
      <c r="B111" s="3169" t="s">
        <v>4786</v>
      </c>
      <c r="C111" s="3170" t="s">
        <v>4786</v>
      </c>
      <c r="D111" s="3171" t="s">
        <v>5004</v>
      </c>
      <c r="E111" s="3170" t="s">
        <v>5005</v>
      </c>
      <c r="F111" s="3177" t="s">
        <v>4789</v>
      </c>
      <c r="G111" s="3169">
        <v>-1146</v>
      </c>
      <c r="H111" s="3172">
        <v>37.39</v>
      </c>
      <c r="I111" s="3173">
        <v>600000.32120000001</v>
      </c>
      <c r="J111" s="3174" t="s">
        <v>3447</v>
      </c>
      <c r="K111" s="3161"/>
      <c r="M111" s="3161"/>
    </row>
    <row r="112" spans="1:13" ht="16.5">
      <c r="A112" s="3168">
        <v>110</v>
      </c>
      <c r="B112" s="3169" t="s">
        <v>4786</v>
      </c>
      <c r="C112" s="3170" t="s">
        <v>4786</v>
      </c>
      <c r="D112" s="3171" t="s">
        <v>5006</v>
      </c>
      <c r="E112" s="3170" t="s">
        <v>5007</v>
      </c>
      <c r="F112" s="3177" t="s">
        <v>4789</v>
      </c>
      <c r="G112" s="3169">
        <v>-1147</v>
      </c>
      <c r="H112" s="3172">
        <v>37.39</v>
      </c>
      <c r="I112" s="3173">
        <v>600000.32120000001</v>
      </c>
      <c r="J112" s="3174" t="s">
        <v>3447</v>
      </c>
      <c r="K112" s="3161"/>
      <c r="M112" s="3161"/>
    </row>
    <row r="113" spans="1:13" ht="16.5">
      <c r="A113" s="3168">
        <v>111</v>
      </c>
      <c r="B113" s="3169" t="s">
        <v>4786</v>
      </c>
      <c r="C113" s="3170" t="s">
        <v>4786</v>
      </c>
      <c r="D113" s="3171" t="s">
        <v>5008</v>
      </c>
      <c r="E113" s="3170" t="s">
        <v>5009</v>
      </c>
      <c r="F113" s="3177" t="s">
        <v>4789</v>
      </c>
      <c r="G113" s="3169">
        <v>-1148</v>
      </c>
      <c r="H113" s="3172">
        <v>37.39</v>
      </c>
      <c r="I113" s="3173">
        <v>600000.32120000001</v>
      </c>
      <c r="J113" s="3174" t="s">
        <v>3447</v>
      </c>
      <c r="K113" s="3161"/>
      <c r="M113" s="3161"/>
    </row>
    <row r="114" spans="1:13" ht="16.5">
      <c r="A114" s="3168">
        <v>112</v>
      </c>
      <c r="B114" s="3169" t="s">
        <v>4786</v>
      </c>
      <c r="C114" s="3170" t="s">
        <v>4786</v>
      </c>
      <c r="D114" s="3171" t="s">
        <v>5010</v>
      </c>
      <c r="E114" s="3170" t="s">
        <v>5011</v>
      </c>
      <c r="F114" s="3177" t="s">
        <v>4789</v>
      </c>
      <c r="G114" s="3169">
        <v>-1150</v>
      </c>
      <c r="H114" s="3172">
        <v>37.39</v>
      </c>
      <c r="I114" s="3173">
        <v>600000.32120000001</v>
      </c>
      <c r="J114" s="3174" t="s">
        <v>3463</v>
      </c>
      <c r="K114" s="3161"/>
      <c r="M114" s="3161"/>
    </row>
    <row r="115" spans="1:13" ht="16.5">
      <c r="A115" s="3168">
        <v>113</v>
      </c>
      <c r="B115" s="3169" t="s">
        <v>4786</v>
      </c>
      <c r="C115" s="3170" t="s">
        <v>4786</v>
      </c>
      <c r="D115" s="3171" t="s">
        <v>5012</v>
      </c>
      <c r="E115" s="3170" t="s">
        <v>5013</v>
      </c>
      <c r="F115" s="3177" t="s">
        <v>4789</v>
      </c>
      <c r="G115" s="3169">
        <v>-1152</v>
      </c>
      <c r="H115" s="3172">
        <v>37.39</v>
      </c>
      <c r="I115" s="3173">
        <v>600000.32120000001</v>
      </c>
      <c r="J115" s="3174" t="s">
        <v>3447</v>
      </c>
      <c r="K115" s="3161"/>
      <c r="M115" s="3161"/>
    </row>
    <row r="116" spans="1:13" ht="16.5">
      <c r="A116" s="3168">
        <v>114</v>
      </c>
      <c r="B116" s="3169" t="s">
        <v>4786</v>
      </c>
      <c r="C116" s="3170" t="s">
        <v>4786</v>
      </c>
      <c r="D116" s="3171" t="s">
        <v>5014</v>
      </c>
      <c r="E116" s="3170" t="s">
        <v>5015</v>
      </c>
      <c r="F116" s="3177" t="s">
        <v>4789</v>
      </c>
      <c r="G116" s="3169">
        <v>-1153</v>
      </c>
      <c r="H116" s="3172">
        <v>37.39</v>
      </c>
      <c r="I116" s="3173">
        <v>600000.32120000001</v>
      </c>
      <c r="J116" s="3174" t="s">
        <v>3463</v>
      </c>
      <c r="K116" s="3161"/>
      <c r="M116" s="3161"/>
    </row>
    <row r="117" spans="1:13" ht="16.5">
      <c r="A117" s="3168">
        <v>115</v>
      </c>
      <c r="B117" s="3169" t="s">
        <v>4786</v>
      </c>
      <c r="C117" s="3170" t="s">
        <v>4786</v>
      </c>
      <c r="D117" s="3171" t="s">
        <v>5016</v>
      </c>
      <c r="E117" s="3170" t="s">
        <v>5017</v>
      </c>
      <c r="F117" s="3177" t="s">
        <v>4789</v>
      </c>
      <c r="G117" s="3169">
        <v>-1154</v>
      </c>
      <c r="H117" s="3172">
        <v>37.39</v>
      </c>
      <c r="I117" s="3173">
        <v>600000.32120000001</v>
      </c>
      <c r="J117" s="3174" t="s">
        <v>3447</v>
      </c>
      <c r="K117" s="3161"/>
      <c r="M117" s="3161"/>
    </row>
    <row r="118" spans="1:13" ht="16.5">
      <c r="A118" s="3168">
        <v>116</v>
      </c>
      <c r="B118" s="3169" t="s">
        <v>4786</v>
      </c>
      <c r="C118" s="3170" t="s">
        <v>4786</v>
      </c>
      <c r="D118" s="3171" t="s">
        <v>5018</v>
      </c>
      <c r="E118" s="3170" t="s">
        <v>5019</v>
      </c>
      <c r="F118" s="3177" t="s">
        <v>4789</v>
      </c>
      <c r="G118" s="3169">
        <v>-1155</v>
      </c>
      <c r="H118" s="3172">
        <v>37.39</v>
      </c>
      <c r="I118" s="3173">
        <v>600000.32120000001</v>
      </c>
      <c r="J118" s="3174" t="s">
        <v>3447</v>
      </c>
      <c r="K118" s="3161"/>
      <c r="M118" s="3161"/>
    </row>
    <row r="119" spans="1:13" ht="16.5">
      <c r="A119" s="3168">
        <v>117</v>
      </c>
      <c r="B119" s="3169" t="s">
        <v>4786</v>
      </c>
      <c r="C119" s="3170" t="s">
        <v>4786</v>
      </c>
      <c r="D119" s="3171" t="s">
        <v>5020</v>
      </c>
      <c r="E119" s="3170" t="s">
        <v>5021</v>
      </c>
      <c r="F119" s="3177" t="s">
        <v>4789</v>
      </c>
      <c r="G119" s="3169">
        <v>-1157</v>
      </c>
      <c r="H119" s="3172">
        <v>37.39</v>
      </c>
      <c r="I119" s="3173">
        <v>600000.32120000001</v>
      </c>
      <c r="J119" s="3174" t="s">
        <v>3447</v>
      </c>
      <c r="K119" s="3161"/>
      <c r="M119" s="3161"/>
    </row>
    <row r="120" spans="1:13" ht="16.5">
      <c r="A120" s="3168">
        <v>118</v>
      </c>
      <c r="B120" s="3169" t="s">
        <v>4786</v>
      </c>
      <c r="C120" s="3170" t="s">
        <v>4786</v>
      </c>
      <c r="D120" s="3171" t="s">
        <v>5022</v>
      </c>
      <c r="E120" s="3170" t="s">
        <v>5023</v>
      </c>
      <c r="F120" s="3177" t="s">
        <v>4789</v>
      </c>
      <c r="G120" s="3169">
        <v>-1158</v>
      </c>
      <c r="H120" s="3172">
        <v>37.39</v>
      </c>
      <c r="I120" s="3173">
        <v>600000.32120000001</v>
      </c>
      <c r="J120" s="3174" t="s">
        <v>3447</v>
      </c>
      <c r="K120" s="3161"/>
      <c r="M120" s="3161"/>
    </row>
    <row r="121" spans="1:13" ht="16.5">
      <c r="A121" s="3168">
        <v>119</v>
      </c>
      <c r="B121" s="3169" t="s">
        <v>4786</v>
      </c>
      <c r="C121" s="3170" t="s">
        <v>4786</v>
      </c>
      <c r="D121" s="3171" t="s">
        <v>5024</v>
      </c>
      <c r="E121" s="3170" t="s">
        <v>5025</v>
      </c>
      <c r="F121" s="3177" t="s">
        <v>4789</v>
      </c>
      <c r="G121" s="3169">
        <v>-1159</v>
      </c>
      <c r="H121" s="3172">
        <v>37.39</v>
      </c>
      <c r="I121" s="3173">
        <v>600000.32120000001</v>
      </c>
      <c r="J121" s="3174" t="s">
        <v>3447</v>
      </c>
      <c r="K121" s="3161"/>
      <c r="M121" s="3161"/>
    </row>
    <row r="122" spans="1:13" ht="16.5">
      <c r="A122" s="3168">
        <v>120</v>
      </c>
      <c r="B122" s="3169" t="s">
        <v>4786</v>
      </c>
      <c r="C122" s="3170" t="s">
        <v>4786</v>
      </c>
      <c r="D122" s="3171" t="s">
        <v>5026</v>
      </c>
      <c r="E122" s="3170" t="s">
        <v>5027</v>
      </c>
      <c r="F122" s="3177" t="s">
        <v>4789</v>
      </c>
      <c r="G122" s="3169">
        <v>-1160</v>
      </c>
      <c r="H122" s="3172">
        <v>35.9</v>
      </c>
      <c r="I122" s="3173">
        <v>600000.29</v>
      </c>
      <c r="J122" s="3174" t="s">
        <v>3447</v>
      </c>
      <c r="K122" s="3161"/>
      <c r="M122" s="3161"/>
    </row>
    <row r="123" spans="1:13" ht="16.5">
      <c r="A123" s="3168">
        <v>121</v>
      </c>
      <c r="B123" s="3169" t="s">
        <v>4786</v>
      </c>
      <c r="C123" s="3170" t="s">
        <v>4786</v>
      </c>
      <c r="D123" s="3171" t="s">
        <v>5028</v>
      </c>
      <c r="E123" s="3170" t="s">
        <v>5029</v>
      </c>
      <c r="F123" s="3177" t="s">
        <v>4789</v>
      </c>
      <c r="G123" s="3169">
        <v>-1161</v>
      </c>
      <c r="H123" s="3172">
        <v>35.9</v>
      </c>
      <c r="I123" s="3173">
        <v>600000.29</v>
      </c>
      <c r="J123" s="3174" t="s">
        <v>3447</v>
      </c>
      <c r="K123" s="3161"/>
      <c r="M123" s="3161"/>
    </row>
    <row r="124" spans="1:13" ht="16.5">
      <c r="A124" s="3168">
        <v>122</v>
      </c>
      <c r="B124" s="3169" t="s">
        <v>4786</v>
      </c>
      <c r="C124" s="3170" t="s">
        <v>4786</v>
      </c>
      <c r="D124" s="3171" t="s">
        <v>5030</v>
      </c>
      <c r="E124" s="3170" t="s">
        <v>5031</v>
      </c>
      <c r="F124" s="3177" t="s">
        <v>4789</v>
      </c>
      <c r="G124" s="3169">
        <v>-1162</v>
      </c>
      <c r="H124" s="3172">
        <v>37.39</v>
      </c>
      <c r="I124" s="3173">
        <v>600000.32120000001</v>
      </c>
      <c r="J124" s="3174" t="s">
        <v>3447</v>
      </c>
      <c r="K124" s="3161"/>
      <c r="M124" s="3161"/>
    </row>
    <row r="125" spans="1:13" ht="16.5">
      <c r="A125" s="3168">
        <v>123</v>
      </c>
      <c r="B125" s="3169" t="s">
        <v>4786</v>
      </c>
      <c r="C125" s="3170" t="s">
        <v>4786</v>
      </c>
      <c r="D125" s="3171" t="s">
        <v>5032</v>
      </c>
      <c r="E125" s="3170" t="s">
        <v>5033</v>
      </c>
      <c r="F125" s="3177" t="s">
        <v>4789</v>
      </c>
      <c r="G125" s="3169">
        <v>-1163</v>
      </c>
      <c r="H125" s="3172">
        <v>37.39</v>
      </c>
      <c r="I125" s="3173">
        <v>600000.32120000001</v>
      </c>
      <c r="J125" s="3174" t="s">
        <v>3447</v>
      </c>
      <c r="K125" s="3161"/>
      <c r="M125" s="3161"/>
    </row>
    <row r="126" spans="1:13" ht="16.5">
      <c r="A126" s="3168">
        <v>124</v>
      </c>
      <c r="B126" s="3169" t="s">
        <v>4786</v>
      </c>
      <c r="C126" s="3170" t="s">
        <v>4786</v>
      </c>
      <c r="D126" s="3171" t="s">
        <v>5034</v>
      </c>
      <c r="E126" s="3170" t="s">
        <v>5035</v>
      </c>
      <c r="F126" s="3177" t="s">
        <v>4789</v>
      </c>
      <c r="G126" s="3169">
        <v>-1164</v>
      </c>
      <c r="H126" s="3172">
        <v>55.34</v>
      </c>
      <c r="I126" s="3173">
        <v>600000.15379999997</v>
      </c>
      <c r="J126" s="3174" t="s">
        <v>3447</v>
      </c>
      <c r="K126" s="3161"/>
      <c r="M126" s="3161"/>
    </row>
    <row r="127" spans="1:13" ht="16.5">
      <c r="A127" s="3168">
        <v>125</v>
      </c>
      <c r="B127" s="3169" t="s">
        <v>4786</v>
      </c>
      <c r="C127" s="3170" t="s">
        <v>4786</v>
      </c>
      <c r="D127" s="3171" t="s">
        <v>5036</v>
      </c>
      <c r="E127" s="3170" t="s">
        <v>5037</v>
      </c>
      <c r="F127" s="3177" t="s">
        <v>4789</v>
      </c>
      <c r="G127" s="3169">
        <v>-1165</v>
      </c>
      <c r="H127" s="3172">
        <v>35.9</v>
      </c>
      <c r="I127" s="3173">
        <v>600000.29</v>
      </c>
      <c r="J127" s="3174" t="s">
        <v>3447</v>
      </c>
      <c r="K127" s="3161"/>
      <c r="M127" s="3161"/>
    </row>
    <row r="128" spans="1:13" ht="16.5">
      <c r="A128" s="3168">
        <v>126</v>
      </c>
      <c r="B128" s="3169" t="s">
        <v>4786</v>
      </c>
      <c r="C128" s="3170" t="s">
        <v>4786</v>
      </c>
      <c r="D128" s="3171" t="s">
        <v>5038</v>
      </c>
      <c r="E128" s="3170" t="s">
        <v>5039</v>
      </c>
      <c r="F128" s="3177" t="s">
        <v>4789</v>
      </c>
      <c r="G128" s="3169">
        <v>-1166</v>
      </c>
      <c r="H128" s="3172">
        <v>35.9</v>
      </c>
      <c r="I128" s="3173">
        <v>600000.29</v>
      </c>
      <c r="J128" s="3174" t="s">
        <v>3447</v>
      </c>
      <c r="K128" s="3161"/>
      <c r="M128" s="3161"/>
    </row>
    <row r="129" spans="1:13" ht="16.5">
      <c r="A129" s="3168">
        <v>127</v>
      </c>
      <c r="B129" s="3169" t="s">
        <v>4786</v>
      </c>
      <c r="C129" s="3170" t="s">
        <v>4786</v>
      </c>
      <c r="D129" s="3171" t="s">
        <v>5040</v>
      </c>
      <c r="E129" s="3170" t="s">
        <v>5041</v>
      </c>
      <c r="F129" s="3177" t="s">
        <v>4789</v>
      </c>
      <c r="G129" s="3169">
        <v>-1168</v>
      </c>
      <c r="H129" s="3172">
        <v>37.39</v>
      </c>
      <c r="I129" s="3173">
        <v>600000.32120000001</v>
      </c>
      <c r="J129" s="3174" t="s">
        <v>3447</v>
      </c>
      <c r="K129" s="3161"/>
      <c r="M129" s="3161"/>
    </row>
    <row r="130" spans="1:13" ht="16.5">
      <c r="A130" s="3168">
        <v>128</v>
      </c>
      <c r="B130" s="3169" t="s">
        <v>4786</v>
      </c>
      <c r="C130" s="3170" t="s">
        <v>4786</v>
      </c>
      <c r="D130" s="3171" t="s">
        <v>5042</v>
      </c>
      <c r="E130" s="3170" t="s">
        <v>5043</v>
      </c>
      <c r="F130" s="3177" t="s">
        <v>4789</v>
      </c>
      <c r="G130" s="3169">
        <v>-1169</v>
      </c>
      <c r="H130" s="3172">
        <v>37.39</v>
      </c>
      <c r="I130" s="3173">
        <v>600000.32120000001</v>
      </c>
      <c r="J130" s="3174" t="s">
        <v>3447</v>
      </c>
      <c r="K130" s="3161"/>
      <c r="M130" s="3161"/>
    </row>
    <row r="131" spans="1:13" ht="16.5">
      <c r="A131" s="3168">
        <v>129</v>
      </c>
      <c r="B131" s="3169" t="s">
        <v>4786</v>
      </c>
      <c r="C131" s="3170" t="s">
        <v>4786</v>
      </c>
      <c r="D131" s="3171" t="s">
        <v>5044</v>
      </c>
      <c r="E131" s="3170" t="s">
        <v>5045</v>
      </c>
      <c r="F131" s="3177" t="s">
        <v>4789</v>
      </c>
      <c r="G131" s="3169">
        <v>-1170</v>
      </c>
      <c r="H131" s="3172">
        <v>35.9</v>
      </c>
      <c r="I131" s="3173">
        <v>600000.29</v>
      </c>
      <c r="J131" s="3174" t="s">
        <v>3447</v>
      </c>
      <c r="K131" s="3161"/>
      <c r="M131" s="3161"/>
    </row>
    <row r="132" spans="1:13" ht="16.5">
      <c r="A132" s="3168">
        <v>130</v>
      </c>
      <c r="B132" s="3169" t="s">
        <v>4786</v>
      </c>
      <c r="C132" s="3170" t="s">
        <v>4786</v>
      </c>
      <c r="D132" s="3171" t="s">
        <v>5046</v>
      </c>
      <c r="E132" s="3170" t="s">
        <v>5047</v>
      </c>
      <c r="F132" s="3177" t="s">
        <v>4789</v>
      </c>
      <c r="G132" s="3169">
        <v>-1171</v>
      </c>
      <c r="H132" s="3172">
        <v>35.9</v>
      </c>
      <c r="I132" s="3173">
        <v>600000.29</v>
      </c>
      <c r="J132" s="3174" t="s">
        <v>3447</v>
      </c>
      <c r="K132" s="3161"/>
      <c r="M132" s="3161"/>
    </row>
    <row r="133" spans="1:13" ht="16.5">
      <c r="A133" s="3168">
        <v>131</v>
      </c>
      <c r="B133" s="3169" t="s">
        <v>4786</v>
      </c>
      <c r="C133" s="3170" t="s">
        <v>4786</v>
      </c>
      <c r="D133" s="3171" t="s">
        <v>5048</v>
      </c>
      <c r="E133" s="3170" t="s">
        <v>5049</v>
      </c>
      <c r="F133" s="3177" t="s">
        <v>4789</v>
      </c>
      <c r="G133" s="3169">
        <v>-1174</v>
      </c>
      <c r="H133" s="3172">
        <v>37.39</v>
      </c>
      <c r="I133" s="3173">
        <v>600000.32120000001</v>
      </c>
      <c r="J133" s="3174" t="s">
        <v>3447</v>
      </c>
      <c r="K133" s="3161"/>
      <c r="M133" s="3161"/>
    </row>
    <row r="134" spans="1:13" ht="16.5">
      <c r="A134" s="3168">
        <v>132</v>
      </c>
      <c r="B134" s="3169" t="s">
        <v>4786</v>
      </c>
      <c r="C134" s="3170" t="s">
        <v>4786</v>
      </c>
      <c r="D134" s="3171" t="s">
        <v>5050</v>
      </c>
      <c r="E134" s="3170" t="s">
        <v>5051</v>
      </c>
      <c r="F134" s="3177" t="s">
        <v>4789</v>
      </c>
      <c r="G134" s="3169">
        <v>-1175</v>
      </c>
      <c r="H134" s="3172">
        <v>37.39</v>
      </c>
      <c r="I134" s="3173">
        <v>600000.32120000001</v>
      </c>
      <c r="J134" s="3174" t="s">
        <v>3447</v>
      </c>
      <c r="K134" s="3161"/>
      <c r="M134" s="3161"/>
    </row>
    <row r="135" spans="1:13" ht="16.5">
      <c r="A135" s="3168">
        <v>133</v>
      </c>
      <c r="B135" s="3169" t="s">
        <v>4786</v>
      </c>
      <c r="C135" s="3170" t="s">
        <v>4786</v>
      </c>
      <c r="D135" s="3171" t="s">
        <v>5052</v>
      </c>
      <c r="E135" s="3170" t="s">
        <v>5053</v>
      </c>
      <c r="F135" s="3177" t="s">
        <v>4789</v>
      </c>
      <c r="G135" s="3169">
        <v>-1177</v>
      </c>
      <c r="H135" s="3172">
        <v>37.39</v>
      </c>
      <c r="I135" s="3173">
        <v>600000.32120000001</v>
      </c>
      <c r="J135" s="3174" t="s">
        <v>3447</v>
      </c>
      <c r="K135" s="3161"/>
      <c r="M135" s="3161"/>
    </row>
    <row r="136" spans="1:13" ht="16.5">
      <c r="A136" s="3168">
        <v>134</v>
      </c>
      <c r="B136" s="3169" t="s">
        <v>4786</v>
      </c>
      <c r="C136" s="3170" t="s">
        <v>4786</v>
      </c>
      <c r="D136" s="3171" t="s">
        <v>5054</v>
      </c>
      <c r="E136" s="3170" t="s">
        <v>5055</v>
      </c>
      <c r="F136" s="3177" t="s">
        <v>4789</v>
      </c>
      <c r="G136" s="3169">
        <v>-1178</v>
      </c>
      <c r="H136" s="3172">
        <v>37.39</v>
      </c>
      <c r="I136" s="3173">
        <v>600000.32120000001</v>
      </c>
      <c r="J136" s="3174" t="s">
        <v>3447</v>
      </c>
      <c r="K136" s="3161"/>
      <c r="M136" s="3161"/>
    </row>
    <row r="137" spans="1:13" ht="16.5">
      <c r="A137" s="3168">
        <v>135</v>
      </c>
      <c r="B137" s="3169" t="s">
        <v>4786</v>
      </c>
      <c r="C137" s="3170" t="s">
        <v>4786</v>
      </c>
      <c r="D137" s="3171" t="s">
        <v>5056</v>
      </c>
      <c r="E137" s="3170" t="s">
        <v>5057</v>
      </c>
      <c r="F137" s="3177" t="s">
        <v>4789</v>
      </c>
      <c r="G137" s="3169">
        <v>-1179</v>
      </c>
      <c r="H137" s="3172">
        <v>37.39</v>
      </c>
      <c r="I137" s="3173">
        <v>600000.32120000001</v>
      </c>
      <c r="J137" s="3174" t="s">
        <v>3447</v>
      </c>
      <c r="K137" s="3161"/>
      <c r="M137" s="3161"/>
    </row>
    <row r="138" spans="1:13" ht="16.5">
      <c r="A138" s="3168">
        <v>136</v>
      </c>
      <c r="B138" s="3169" t="s">
        <v>4786</v>
      </c>
      <c r="C138" s="3170" t="s">
        <v>4786</v>
      </c>
      <c r="D138" s="3171" t="s">
        <v>5058</v>
      </c>
      <c r="E138" s="3170" t="s">
        <v>5059</v>
      </c>
      <c r="F138" s="3177" t="s">
        <v>4789</v>
      </c>
      <c r="G138" s="3169">
        <v>-1180</v>
      </c>
      <c r="H138" s="3172">
        <v>37.39</v>
      </c>
      <c r="I138" s="3173">
        <v>600000.32120000001</v>
      </c>
      <c r="J138" s="3174" t="s">
        <v>3447</v>
      </c>
      <c r="K138" s="3161"/>
      <c r="M138" s="3161"/>
    </row>
    <row r="139" spans="1:13" ht="16.5">
      <c r="A139" s="3168">
        <v>137</v>
      </c>
      <c r="B139" s="3169" t="s">
        <v>4786</v>
      </c>
      <c r="C139" s="3170" t="s">
        <v>4786</v>
      </c>
      <c r="D139" s="3171" t="s">
        <v>5060</v>
      </c>
      <c r="E139" s="3170" t="s">
        <v>5061</v>
      </c>
      <c r="F139" s="3177" t="s">
        <v>4789</v>
      </c>
      <c r="G139" s="3169">
        <v>-1181</v>
      </c>
      <c r="H139" s="3172">
        <v>37.39</v>
      </c>
      <c r="I139" s="3173">
        <v>600000.32120000001</v>
      </c>
      <c r="J139" s="3174" t="s">
        <v>3447</v>
      </c>
      <c r="K139" s="3161"/>
      <c r="M139" s="3161"/>
    </row>
    <row r="140" spans="1:13" ht="16.5">
      <c r="A140" s="3168">
        <v>138</v>
      </c>
      <c r="B140" s="3169" t="s">
        <v>4786</v>
      </c>
      <c r="C140" s="3170" t="s">
        <v>4786</v>
      </c>
      <c r="D140" s="3171" t="s">
        <v>5062</v>
      </c>
      <c r="E140" s="3170" t="s">
        <v>5063</v>
      </c>
      <c r="F140" s="3177" t="s">
        <v>4789</v>
      </c>
      <c r="G140" s="3169">
        <v>-1182</v>
      </c>
      <c r="H140" s="3172">
        <v>37.39</v>
      </c>
      <c r="I140" s="3173">
        <v>600000.32120000001</v>
      </c>
      <c r="J140" s="3174" t="s">
        <v>3447</v>
      </c>
      <c r="K140" s="3161"/>
      <c r="M140" s="3161"/>
    </row>
    <row r="141" spans="1:13" ht="16.5">
      <c r="A141" s="3168">
        <v>139</v>
      </c>
      <c r="B141" s="3169" t="s">
        <v>4786</v>
      </c>
      <c r="C141" s="3170" t="s">
        <v>4786</v>
      </c>
      <c r="D141" s="3171" t="s">
        <v>5064</v>
      </c>
      <c r="E141" s="3170" t="s">
        <v>5065</v>
      </c>
      <c r="F141" s="3177" t="s">
        <v>4789</v>
      </c>
      <c r="G141" s="3169">
        <v>-1183</v>
      </c>
      <c r="H141" s="3172">
        <v>37.39</v>
      </c>
      <c r="I141" s="3173">
        <v>600000.32120000001</v>
      </c>
      <c r="J141" s="3174" t="s">
        <v>3447</v>
      </c>
      <c r="K141" s="3161"/>
      <c r="M141" s="3161"/>
    </row>
    <row r="142" spans="1:13" ht="16.5">
      <c r="A142" s="3168">
        <v>140</v>
      </c>
      <c r="B142" s="3169" t="s">
        <v>4786</v>
      </c>
      <c r="C142" s="3170" t="s">
        <v>4786</v>
      </c>
      <c r="D142" s="3171" t="s">
        <v>5066</v>
      </c>
      <c r="E142" s="3170" t="s">
        <v>5067</v>
      </c>
      <c r="F142" s="3177" t="s">
        <v>4789</v>
      </c>
      <c r="G142" s="3169">
        <v>-1184</v>
      </c>
      <c r="H142" s="3172">
        <v>37.39</v>
      </c>
      <c r="I142" s="3173">
        <v>600000.32120000001</v>
      </c>
      <c r="J142" s="3174" t="s">
        <v>3447</v>
      </c>
      <c r="K142" s="3161"/>
      <c r="M142" s="3161"/>
    </row>
    <row r="143" spans="1:13" ht="16.5">
      <c r="A143" s="3168">
        <v>141</v>
      </c>
      <c r="B143" s="3169" t="s">
        <v>4786</v>
      </c>
      <c r="C143" s="3170" t="s">
        <v>4786</v>
      </c>
      <c r="D143" s="3171" t="s">
        <v>5068</v>
      </c>
      <c r="E143" s="3170" t="s">
        <v>5069</v>
      </c>
      <c r="F143" s="3177" t="s">
        <v>4789</v>
      </c>
      <c r="G143" s="3169">
        <v>-1186</v>
      </c>
      <c r="H143" s="3172">
        <v>37.39</v>
      </c>
      <c r="I143" s="3173">
        <v>600000.32120000001</v>
      </c>
      <c r="J143" s="3174" t="s">
        <v>3447</v>
      </c>
      <c r="K143" s="3161"/>
      <c r="M143" s="3161"/>
    </row>
    <row r="144" spans="1:13" ht="16.5">
      <c r="A144" s="3168">
        <v>142</v>
      </c>
      <c r="B144" s="3169" t="s">
        <v>4786</v>
      </c>
      <c r="C144" s="3170" t="s">
        <v>4786</v>
      </c>
      <c r="D144" s="3171" t="s">
        <v>5070</v>
      </c>
      <c r="E144" s="3170" t="s">
        <v>5071</v>
      </c>
      <c r="F144" s="3177" t="s">
        <v>4789</v>
      </c>
      <c r="G144" s="3169">
        <v>-1187</v>
      </c>
      <c r="H144" s="3172">
        <v>37.39</v>
      </c>
      <c r="I144" s="3173">
        <v>600000.32120000001</v>
      </c>
      <c r="J144" s="3174" t="s">
        <v>3447</v>
      </c>
      <c r="K144" s="3161"/>
      <c r="M144" s="3161"/>
    </row>
    <row r="145" spans="1:13" ht="16.5">
      <c r="A145" s="3168">
        <v>143</v>
      </c>
      <c r="B145" s="3169" t="s">
        <v>4786</v>
      </c>
      <c r="C145" s="3170" t="s">
        <v>4786</v>
      </c>
      <c r="D145" s="3171" t="s">
        <v>5072</v>
      </c>
      <c r="E145" s="3170" t="s">
        <v>5073</v>
      </c>
      <c r="F145" s="3177" t="s">
        <v>4789</v>
      </c>
      <c r="G145" s="3169">
        <v>-1196</v>
      </c>
      <c r="H145" s="3172">
        <v>37.39</v>
      </c>
      <c r="I145" s="3173">
        <v>600000.32120000001</v>
      </c>
      <c r="J145" s="3174" t="s">
        <v>3447</v>
      </c>
      <c r="K145" s="3161"/>
      <c r="M145" s="3161"/>
    </row>
    <row r="146" spans="1:13" ht="16.5">
      <c r="A146" s="3168">
        <v>144</v>
      </c>
      <c r="B146" s="3169" t="s">
        <v>4786</v>
      </c>
      <c r="C146" s="3170" t="s">
        <v>4786</v>
      </c>
      <c r="D146" s="3171" t="s">
        <v>5074</v>
      </c>
      <c r="E146" s="3170" t="s">
        <v>5075</v>
      </c>
      <c r="F146" s="3177" t="s">
        <v>4789</v>
      </c>
      <c r="G146" s="3169">
        <v>-1197</v>
      </c>
      <c r="H146" s="3172">
        <v>37.39</v>
      </c>
      <c r="I146" s="3173">
        <v>600000.32120000001</v>
      </c>
      <c r="J146" s="3174" t="s">
        <v>3447</v>
      </c>
      <c r="K146" s="3161"/>
      <c r="M146" s="3161"/>
    </row>
    <row r="147" spans="1:13" ht="16.5">
      <c r="A147" s="3168">
        <v>145</v>
      </c>
      <c r="B147" s="3169" t="s">
        <v>4786</v>
      </c>
      <c r="C147" s="3170" t="s">
        <v>4786</v>
      </c>
      <c r="D147" s="3171" t="s">
        <v>5076</v>
      </c>
      <c r="E147" s="3170" t="s">
        <v>5077</v>
      </c>
      <c r="F147" s="3177" t="s">
        <v>4789</v>
      </c>
      <c r="G147" s="3169">
        <v>-1198</v>
      </c>
      <c r="H147" s="3172">
        <v>35.9</v>
      </c>
      <c r="I147" s="3173">
        <v>600000.29</v>
      </c>
      <c r="J147" s="3174" t="s">
        <v>3447</v>
      </c>
      <c r="K147" s="3161"/>
      <c r="M147" s="3161"/>
    </row>
    <row r="148" spans="1:13" ht="16.5">
      <c r="A148" s="3168">
        <v>146</v>
      </c>
      <c r="B148" s="3169" t="s">
        <v>4786</v>
      </c>
      <c r="C148" s="3170" t="s">
        <v>4786</v>
      </c>
      <c r="D148" s="3171" t="s">
        <v>5078</v>
      </c>
      <c r="E148" s="3170" t="s">
        <v>5079</v>
      </c>
      <c r="F148" s="3177" t="s">
        <v>4789</v>
      </c>
      <c r="G148" s="3169">
        <v>-1199</v>
      </c>
      <c r="H148" s="3172">
        <v>35.9</v>
      </c>
      <c r="I148" s="3173">
        <v>600000.29</v>
      </c>
      <c r="J148" s="3174" t="s">
        <v>3447</v>
      </c>
      <c r="K148" s="3161"/>
      <c r="M148" s="3161"/>
    </row>
    <row r="149" spans="1:13" ht="16.5">
      <c r="A149" s="3168">
        <v>147</v>
      </c>
      <c r="B149" s="3169" t="s">
        <v>4786</v>
      </c>
      <c r="C149" s="3170" t="s">
        <v>4786</v>
      </c>
      <c r="D149" s="3171" t="s">
        <v>5080</v>
      </c>
      <c r="E149" s="3170" t="s">
        <v>5081</v>
      </c>
      <c r="F149" s="3177" t="s">
        <v>4789</v>
      </c>
      <c r="G149" s="3169">
        <v>-1200</v>
      </c>
      <c r="H149" s="3172">
        <v>37.39</v>
      </c>
      <c r="I149" s="3173">
        <v>600000.32120000001</v>
      </c>
      <c r="J149" s="3174" t="s">
        <v>3447</v>
      </c>
      <c r="K149" s="3161"/>
      <c r="M149" s="3161"/>
    </row>
    <row r="150" spans="1:13" ht="16.5">
      <c r="A150" s="3168">
        <v>148</v>
      </c>
      <c r="B150" s="3169" t="s">
        <v>4786</v>
      </c>
      <c r="C150" s="3170" t="s">
        <v>4786</v>
      </c>
      <c r="D150" s="3171" t="s">
        <v>5082</v>
      </c>
      <c r="E150" s="3170" t="s">
        <v>5083</v>
      </c>
      <c r="F150" s="3177" t="s">
        <v>4789</v>
      </c>
      <c r="G150" s="3169">
        <v>-1201</v>
      </c>
      <c r="H150" s="3172">
        <v>37.39</v>
      </c>
      <c r="I150" s="3173">
        <v>600000.32120000001</v>
      </c>
      <c r="J150" s="3174" t="s">
        <v>3447</v>
      </c>
      <c r="K150" s="3161"/>
      <c r="M150" s="3161"/>
    </row>
    <row r="151" spans="1:13" ht="16.5">
      <c r="A151" s="3168">
        <v>149</v>
      </c>
      <c r="B151" s="3169" t="s">
        <v>4786</v>
      </c>
      <c r="C151" s="3170" t="s">
        <v>4786</v>
      </c>
      <c r="D151" s="3171" t="s">
        <v>5084</v>
      </c>
      <c r="E151" s="3170" t="s">
        <v>5085</v>
      </c>
      <c r="F151" s="3177" t="s">
        <v>4789</v>
      </c>
      <c r="G151" s="3169">
        <v>-1202</v>
      </c>
      <c r="H151" s="3172">
        <v>55.34</v>
      </c>
      <c r="I151" s="3173">
        <v>600000.15379999997</v>
      </c>
      <c r="J151" s="3174" t="s">
        <v>3447</v>
      </c>
      <c r="K151" s="3161"/>
      <c r="M151" s="3161"/>
    </row>
    <row r="152" spans="1:13" ht="16.5">
      <c r="A152" s="3168">
        <v>150</v>
      </c>
      <c r="B152" s="3169" t="s">
        <v>4786</v>
      </c>
      <c r="C152" s="3170" t="s">
        <v>4786</v>
      </c>
      <c r="D152" s="3171" t="s">
        <v>5086</v>
      </c>
      <c r="E152" s="3170" t="s">
        <v>5087</v>
      </c>
      <c r="F152" s="3177" t="s">
        <v>4789</v>
      </c>
      <c r="G152" s="3169">
        <v>-1204</v>
      </c>
      <c r="H152" s="3172">
        <v>35.9</v>
      </c>
      <c r="I152" s="3173">
        <v>600000.29</v>
      </c>
      <c r="J152" s="3174" t="s">
        <v>3447</v>
      </c>
      <c r="K152" s="3161"/>
      <c r="M152" s="3161"/>
    </row>
    <row r="153" spans="1:13" ht="16.5">
      <c r="A153" s="3168">
        <v>151</v>
      </c>
      <c r="B153" s="3169" t="s">
        <v>4786</v>
      </c>
      <c r="C153" s="3170" t="s">
        <v>4786</v>
      </c>
      <c r="D153" s="3171" t="s">
        <v>5088</v>
      </c>
      <c r="E153" s="3170" t="s">
        <v>5089</v>
      </c>
      <c r="F153" s="3177" t="s">
        <v>4789</v>
      </c>
      <c r="G153" s="3169">
        <v>-1205</v>
      </c>
      <c r="H153" s="3172">
        <v>37.39</v>
      </c>
      <c r="I153" s="3173">
        <v>600000.32120000001</v>
      </c>
      <c r="J153" s="3174" t="s">
        <v>3447</v>
      </c>
      <c r="K153" s="3161"/>
      <c r="M153" s="3161"/>
    </row>
    <row r="154" spans="1:13" ht="16.5">
      <c r="A154" s="3168">
        <v>152</v>
      </c>
      <c r="B154" s="3169" t="s">
        <v>4786</v>
      </c>
      <c r="C154" s="3170" t="s">
        <v>4786</v>
      </c>
      <c r="D154" s="3171" t="s">
        <v>5090</v>
      </c>
      <c r="E154" s="3170" t="s">
        <v>5091</v>
      </c>
      <c r="F154" s="3177" t="s">
        <v>4789</v>
      </c>
      <c r="G154" s="3169">
        <v>-1206</v>
      </c>
      <c r="H154" s="3172">
        <v>37.39</v>
      </c>
      <c r="I154" s="3173">
        <v>600000.32120000001</v>
      </c>
      <c r="J154" s="3174" t="s">
        <v>3447</v>
      </c>
      <c r="K154" s="3161"/>
      <c r="M154" s="3161"/>
    </row>
    <row r="155" spans="1:13" ht="16.5">
      <c r="A155" s="3168">
        <v>153</v>
      </c>
      <c r="B155" s="3169" t="s">
        <v>4786</v>
      </c>
      <c r="C155" s="3170" t="s">
        <v>4786</v>
      </c>
      <c r="D155" s="3171" t="s">
        <v>5092</v>
      </c>
      <c r="E155" s="3170" t="s">
        <v>5093</v>
      </c>
      <c r="F155" s="3177" t="s">
        <v>4789</v>
      </c>
      <c r="G155" s="3169">
        <v>-1207</v>
      </c>
      <c r="H155" s="3172">
        <v>35.9</v>
      </c>
      <c r="I155" s="3173">
        <v>600000.29</v>
      </c>
      <c r="J155" s="3174" t="s">
        <v>3447</v>
      </c>
      <c r="K155" s="3161"/>
      <c r="M155" s="3161"/>
    </row>
    <row r="156" spans="1:13" ht="16.5">
      <c r="A156" s="3168">
        <v>154</v>
      </c>
      <c r="B156" s="3169" t="s">
        <v>4786</v>
      </c>
      <c r="C156" s="3170" t="s">
        <v>4786</v>
      </c>
      <c r="D156" s="3171" t="s">
        <v>5094</v>
      </c>
      <c r="E156" s="3170" t="s">
        <v>5095</v>
      </c>
      <c r="F156" s="3177" t="s">
        <v>4789</v>
      </c>
      <c r="G156" s="3169">
        <v>-1208</v>
      </c>
      <c r="H156" s="3172">
        <v>35.9</v>
      </c>
      <c r="I156" s="3173">
        <v>600000.29</v>
      </c>
      <c r="J156" s="3174" t="s">
        <v>3447</v>
      </c>
      <c r="K156" s="3161"/>
      <c r="M156" s="3161"/>
    </row>
    <row r="157" spans="1:13" ht="16.5">
      <c r="A157" s="3168">
        <v>155</v>
      </c>
      <c r="B157" s="3169" t="s">
        <v>4786</v>
      </c>
      <c r="C157" s="3170" t="s">
        <v>4786</v>
      </c>
      <c r="D157" s="3171" t="s">
        <v>5096</v>
      </c>
      <c r="E157" s="3170" t="s">
        <v>5097</v>
      </c>
      <c r="F157" s="3177" t="s">
        <v>4789</v>
      </c>
      <c r="G157" s="3169">
        <v>-1213</v>
      </c>
      <c r="H157" s="3172">
        <v>37.39</v>
      </c>
      <c r="I157" s="3173">
        <v>600000.32120000001</v>
      </c>
      <c r="J157" s="3174" t="s">
        <v>3447</v>
      </c>
      <c r="K157" s="3161"/>
      <c r="M157" s="3161"/>
    </row>
    <row r="158" spans="1:13" ht="16.5">
      <c r="A158" s="3168">
        <v>156</v>
      </c>
      <c r="B158" s="3169" t="s">
        <v>4786</v>
      </c>
      <c r="C158" s="3170" t="s">
        <v>4786</v>
      </c>
      <c r="D158" s="3171" t="s">
        <v>5098</v>
      </c>
      <c r="E158" s="3170" t="s">
        <v>5099</v>
      </c>
      <c r="F158" s="3177" t="s">
        <v>4789</v>
      </c>
      <c r="G158" s="3169">
        <v>-1214</v>
      </c>
      <c r="H158" s="3172">
        <v>37.39</v>
      </c>
      <c r="I158" s="3173">
        <v>600000.32120000001</v>
      </c>
      <c r="J158" s="3174" t="s">
        <v>3447</v>
      </c>
      <c r="K158" s="3161"/>
      <c r="M158" s="3161"/>
    </row>
    <row r="159" spans="1:13" ht="16.5">
      <c r="A159" s="3168">
        <v>157</v>
      </c>
      <c r="B159" s="3169" t="s">
        <v>4786</v>
      </c>
      <c r="C159" s="3170" t="s">
        <v>4786</v>
      </c>
      <c r="D159" s="3171" t="s">
        <v>5100</v>
      </c>
      <c r="E159" s="3170" t="s">
        <v>5101</v>
      </c>
      <c r="F159" s="3177" t="s">
        <v>4789</v>
      </c>
      <c r="G159" s="3169">
        <v>-1216</v>
      </c>
      <c r="H159" s="3172">
        <v>37.39</v>
      </c>
      <c r="I159" s="3173">
        <v>600000.32120000001</v>
      </c>
      <c r="J159" s="3174" t="s">
        <v>3447</v>
      </c>
      <c r="K159" s="3161"/>
      <c r="M159" s="3161"/>
    </row>
    <row r="160" spans="1:13" ht="16.5">
      <c r="A160" s="3168">
        <v>158</v>
      </c>
      <c r="B160" s="3169" t="s">
        <v>4786</v>
      </c>
      <c r="C160" s="3170" t="s">
        <v>4786</v>
      </c>
      <c r="D160" s="3171" t="s">
        <v>5102</v>
      </c>
      <c r="E160" s="3170" t="s">
        <v>5103</v>
      </c>
      <c r="F160" s="3177" t="s">
        <v>4789</v>
      </c>
      <c r="G160" s="3169">
        <v>-1218</v>
      </c>
      <c r="H160" s="3172">
        <v>37.39</v>
      </c>
      <c r="I160" s="3173">
        <v>600000.32120000001</v>
      </c>
      <c r="J160" s="3174" t="s">
        <v>3463</v>
      </c>
      <c r="K160" s="3161"/>
      <c r="M160" s="3161"/>
    </row>
    <row r="161" spans="1:13" ht="16.5">
      <c r="A161" s="3168">
        <v>159</v>
      </c>
      <c r="B161" s="3169" t="s">
        <v>4786</v>
      </c>
      <c r="C161" s="3170" t="s">
        <v>4786</v>
      </c>
      <c r="D161" s="3171" t="s">
        <v>5104</v>
      </c>
      <c r="E161" s="3170" t="s">
        <v>5105</v>
      </c>
      <c r="F161" s="3177" t="s">
        <v>4789</v>
      </c>
      <c r="G161" s="3169">
        <v>-1219</v>
      </c>
      <c r="H161" s="3172">
        <v>37.39</v>
      </c>
      <c r="I161" s="3173">
        <v>600000.32120000001</v>
      </c>
      <c r="J161" s="3174" t="s">
        <v>3447</v>
      </c>
      <c r="K161" s="3161"/>
      <c r="M161" s="3161"/>
    </row>
    <row r="162" spans="1:13" ht="16.5">
      <c r="A162" s="3168">
        <v>160</v>
      </c>
      <c r="B162" s="3169" t="s">
        <v>4786</v>
      </c>
      <c r="C162" s="3170" t="s">
        <v>4786</v>
      </c>
      <c r="D162" s="3171" t="s">
        <v>5106</v>
      </c>
      <c r="E162" s="3170" t="s">
        <v>5107</v>
      </c>
      <c r="F162" s="3177" t="s">
        <v>4789</v>
      </c>
      <c r="G162" s="3169">
        <v>-1220</v>
      </c>
      <c r="H162" s="3172">
        <v>37.39</v>
      </c>
      <c r="I162" s="3173">
        <v>600000.32120000001</v>
      </c>
      <c r="J162" s="3174" t="s">
        <v>3447</v>
      </c>
      <c r="K162" s="3161"/>
      <c r="M162" s="3161"/>
    </row>
    <row r="163" spans="1:13" ht="16.5">
      <c r="A163" s="3168">
        <v>161</v>
      </c>
      <c r="B163" s="3169" t="s">
        <v>4786</v>
      </c>
      <c r="C163" s="3170" t="s">
        <v>4786</v>
      </c>
      <c r="D163" s="3171" t="s">
        <v>5108</v>
      </c>
      <c r="E163" s="3170" t="s">
        <v>5109</v>
      </c>
      <c r="F163" s="3177" t="s">
        <v>4789</v>
      </c>
      <c r="G163" s="3169">
        <v>-1221</v>
      </c>
      <c r="H163" s="3172">
        <v>37.39</v>
      </c>
      <c r="I163" s="3173">
        <v>600000.32120000001</v>
      </c>
      <c r="J163" s="3174" t="s">
        <v>3447</v>
      </c>
      <c r="K163" s="3161"/>
      <c r="M163" s="3161"/>
    </row>
    <row r="164" spans="1:13" ht="16.5">
      <c r="A164" s="3168">
        <v>162</v>
      </c>
      <c r="B164" s="3169" t="s">
        <v>4786</v>
      </c>
      <c r="C164" s="3170" t="s">
        <v>4786</v>
      </c>
      <c r="D164" s="3171" t="s">
        <v>5110</v>
      </c>
      <c r="E164" s="3170" t="s">
        <v>5111</v>
      </c>
      <c r="F164" s="3177" t="s">
        <v>4789</v>
      </c>
      <c r="G164" s="3169">
        <v>-1223</v>
      </c>
      <c r="H164" s="3172">
        <v>37.39</v>
      </c>
      <c r="I164" s="3173">
        <v>600000.32120000001</v>
      </c>
      <c r="J164" s="3174" t="s">
        <v>3447</v>
      </c>
      <c r="K164" s="3161"/>
      <c r="M164" s="3161"/>
    </row>
    <row r="165" spans="1:13" ht="16.5">
      <c r="A165" s="3168">
        <v>163</v>
      </c>
      <c r="B165" s="3169" t="s">
        <v>4786</v>
      </c>
      <c r="C165" s="3170" t="s">
        <v>4786</v>
      </c>
      <c r="D165" s="3171" t="s">
        <v>5112</v>
      </c>
      <c r="E165" s="3170" t="s">
        <v>5113</v>
      </c>
      <c r="F165" s="3177" t="s">
        <v>4789</v>
      </c>
      <c r="G165" s="3169">
        <v>-1224</v>
      </c>
      <c r="H165" s="3172">
        <v>37.39</v>
      </c>
      <c r="I165" s="3173">
        <v>600000.32120000001</v>
      </c>
      <c r="J165" s="3174" t="s">
        <v>3463</v>
      </c>
      <c r="K165" s="3161"/>
      <c r="M165" s="3161"/>
    </row>
    <row r="166" spans="1:13" ht="16.5">
      <c r="A166" s="3168">
        <v>164</v>
      </c>
      <c r="B166" s="3169" t="s">
        <v>4786</v>
      </c>
      <c r="C166" s="3170" t="s">
        <v>4786</v>
      </c>
      <c r="D166" s="3171" t="s">
        <v>5114</v>
      </c>
      <c r="E166" s="3170" t="s">
        <v>5115</v>
      </c>
      <c r="F166" s="3177" t="s">
        <v>4789</v>
      </c>
      <c r="G166" s="3169">
        <v>-1225</v>
      </c>
      <c r="H166" s="3172">
        <v>37.39</v>
      </c>
      <c r="I166" s="3173">
        <v>600000.32120000001</v>
      </c>
      <c r="J166" s="3174" t="s">
        <v>3463</v>
      </c>
      <c r="K166" s="3161"/>
      <c r="M166" s="3161"/>
    </row>
    <row r="167" spans="1:13" ht="16.5">
      <c r="A167" s="3168">
        <v>165</v>
      </c>
      <c r="B167" s="3169" t="s">
        <v>4786</v>
      </c>
      <c r="C167" s="3170" t="s">
        <v>4786</v>
      </c>
      <c r="D167" s="3171" t="s">
        <v>5116</v>
      </c>
      <c r="E167" s="3170" t="s">
        <v>5117</v>
      </c>
      <c r="F167" s="3177" t="s">
        <v>4789</v>
      </c>
      <c r="G167" s="3169">
        <v>-1231</v>
      </c>
      <c r="H167" s="3172">
        <v>37.39</v>
      </c>
      <c r="I167" s="3173">
        <v>600000.32120000001</v>
      </c>
      <c r="J167" s="3174" t="s">
        <v>3447</v>
      </c>
      <c r="K167" s="3161"/>
      <c r="M167" s="3161"/>
    </row>
    <row r="168" spans="1:13" ht="16.5">
      <c r="A168" s="3168">
        <v>166</v>
      </c>
      <c r="B168" s="3169" t="s">
        <v>4786</v>
      </c>
      <c r="C168" s="3170" t="s">
        <v>4786</v>
      </c>
      <c r="D168" s="3171" t="s">
        <v>5118</v>
      </c>
      <c r="E168" s="3170" t="s">
        <v>5119</v>
      </c>
      <c r="F168" s="3177" t="s">
        <v>4789</v>
      </c>
      <c r="G168" s="3169">
        <v>-1233</v>
      </c>
      <c r="H168" s="3172">
        <v>37.39</v>
      </c>
      <c r="I168" s="3173">
        <v>600000.32120000001</v>
      </c>
      <c r="J168" s="3174" t="s">
        <v>3463</v>
      </c>
      <c r="K168" s="3161"/>
      <c r="M168" s="3161"/>
    </row>
    <row r="169" spans="1:13" ht="16.5">
      <c r="A169" s="3168">
        <v>167</v>
      </c>
      <c r="B169" s="3169" t="s">
        <v>4786</v>
      </c>
      <c r="C169" s="3170" t="s">
        <v>4786</v>
      </c>
      <c r="D169" s="3171" t="s">
        <v>5120</v>
      </c>
      <c r="E169" s="3170" t="s">
        <v>5121</v>
      </c>
      <c r="F169" s="3177" t="s">
        <v>4789</v>
      </c>
      <c r="G169" s="3169">
        <v>-1237</v>
      </c>
      <c r="H169" s="3172">
        <v>55.34</v>
      </c>
      <c r="I169" s="3173">
        <v>600000.15379999997</v>
      </c>
      <c r="J169" s="3174" t="s">
        <v>3447</v>
      </c>
      <c r="K169" s="3161"/>
      <c r="M169" s="3161"/>
    </row>
    <row r="170" spans="1:13" ht="16.5">
      <c r="A170" s="3168">
        <v>168</v>
      </c>
      <c r="B170" s="3169" t="s">
        <v>4786</v>
      </c>
      <c r="C170" s="3170" t="s">
        <v>4786</v>
      </c>
      <c r="D170" s="3171" t="s">
        <v>5122</v>
      </c>
      <c r="E170" s="3170" t="s">
        <v>5123</v>
      </c>
      <c r="F170" s="3177" t="s">
        <v>4789</v>
      </c>
      <c r="G170" s="3169">
        <v>-1238</v>
      </c>
      <c r="H170" s="3172">
        <v>35.9</v>
      </c>
      <c r="I170" s="3173">
        <v>600000.29</v>
      </c>
      <c r="J170" s="3174" t="s">
        <v>3447</v>
      </c>
      <c r="K170" s="3161"/>
      <c r="M170" s="3161"/>
    </row>
    <row r="171" spans="1:13" ht="16.5">
      <c r="A171" s="3168">
        <v>169</v>
      </c>
      <c r="B171" s="3169" t="s">
        <v>4786</v>
      </c>
      <c r="C171" s="3170" t="s">
        <v>4786</v>
      </c>
      <c r="D171" s="3171" t="s">
        <v>5124</v>
      </c>
      <c r="E171" s="3170" t="s">
        <v>5125</v>
      </c>
      <c r="F171" s="3177" t="s">
        <v>4789</v>
      </c>
      <c r="G171" s="3169">
        <v>-1239</v>
      </c>
      <c r="H171" s="3172">
        <v>35.9</v>
      </c>
      <c r="I171" s="3173">
        <v>600000.29</v>
      </c>
      <c r="J171" s="3174" t="s">
        <v>3447</v>
      </c>
      <c r="K171" s="3161"/>
      <c r="M171" s="3161"/>
    </row>
    <row r="172" spans="1:13" ht="16.5">
      <c r="A172" s="3168">
        <v>170</v>
      </c>
      <c r="B172" s="3169" t="s">
        <v>4786</v>
      </c>
      <c r="C172" s="3170" t="s">
        <v>4786</v>
      </c>
      <c r="D172" s="3171" t="s">
        <v>5126</v>
      </c>
      <c r="E172" s="3170" t="s">
        <v>5127</v>
      </c>
      <c r="F172" s="3177" t="s">
        <v>4789</v>
      </c>
      <c r="G172" s="3169">
        <v>-1240</v>
      </c>
      <c r="H172" s="3172">
        <v>37.39</v>
      </c>
      <c r="I172" s="3173">
        <v>600000.32120000001</v>
      </c>
      <c r="J172" s="3174" t="s">
        <v>3447</v>
      </c>
      <c r="K172" s="3161"/>
      <c r="M172" s="3161"/>
    </row>
    <row r="173" spans="1:13" ht="16.5">
      <c r="A173" s="3168">
        <v>171</v>
      </c>
      <c r="B173" s="3169" t="s">
        <v>4786</v>
      </c>
      <c r="C173" s="3170" t="s">
        <v>4786</v>
      </c>
      <c r="D173" s="3171" t="s">
        <v>5128</v>
      </c>
      <c r="E173" s="3170" t="s">
        <v>5129</v>
      </c>
      <c r="F173" s="3177" t="s">
        <v>4789</v>
      </c>
      <c r="G173" s="3169">
        <v>-1242</v>
      </c>
      <c r="H173" s="3172">
        <v>37.39</v>
      </c>
      <c r="I173" s="3173">
        <v>600000.32120000001</v>
      </c>
      <c r="J173" s="3174" t="s">
        <v>3447</v>
      </c>
      <c r="K173" s="3161"/>
      <c r="M173" s="3161"/>
    </row>
    <row r="174" spans="1:13" ht="16.5">
      <c r="A174" s="3168">
        <v>172</v>
      </c>
      <c r="B174" s="3169" t="s">
        <v>4786</v>
      </c>
      <c r="C174" s="3170" t="s">
        <v>4786</v>
      </c>
      <c r="D174" s="3171" t="s">
        <v>5130</v>
      </c>
      <c r="E174" s="3170" t="s">
        <v>5131</v>
      </c>
      <c r="F174" s="3177" t="s">
        <v>4789</v>
      </c>
      <c r="G174" s="3169">
        <v>-1243</v>
      </c>
      <c r="H174" s="3172">
        <v>35.9</v>
      </c>
      <c r="I174" s="3173">
        <v>600000.29</v>
      </c>
      <c r="J174" s="3174" t="s">
        <v>3447</v>
      </c>
      <c r="K174" s="3161"/>
      <c r="M174" s="3161"/>
    </row>
    <row r="175" spans="1:13" ht="16.5">
      <c r="A175" s="3168">
        <v>173</v>
      </c>
      <c r="B175" s="3169" t="s">
        <v>4786</v>
      </c>
      <c r="C175" s="3170" t="s">
        <v>4786</v>
      </c>
      <c r="D175" s="3171" t="s">
        <v>5132</v>
      </c>
      <c r="E175" s="3170" t="s">
        <v>5133</v>
      </c>
      <c r="F175" s="3177" t="s">
        <v>4789</v>
      </c>
      <c r="G175" s="3169">
        <v>-1244</v>
      </c>
      <c r="H175" s="3172">
        <v>35.9</v>
      </c>
      <c r="I175" s="3173">
        <v>600000.29</v>
      </c>
      <c r="J175" s="3174" t="s">
        <v>3447</v>
      </c>
      <c r="K175" s="3161"/>
      <c r="M175" s="3161"/>
    </row>
    <row r="176" spans="1:13" ht="16.5">
      <c r="A176" s="3168">
        <v>174</v>
      </c>
      <c r="B176" s="3169" t="s">
        <v>4786</v>
      </c>
      <c r="C176" s="3170" t="s">
        <v>4786</v>
      </c>
      <c r="D176" s="3171" t="s">
        <v>5134</v>
      </c>
      <c r="E176" s="3170" t="s">
        <v>5135</v>
      </c>
      <c r="F176" s="3177" t="s">
        <v>4789</v>
      </c>
      <c r="G176" s="3169">
        <v>-1245</v>
      </c>
      <c r="H176" s="3172">
        <v>35.9</v>
      </c>
      <c r="I176" s="3173">
        <v>600000.29</v>
      </c>
      <c r="J176" s="3174" t="s">
        <v>3447</v>
      </c>
      <c r="K176" s="3161"/>
      <c r="M176" s="3161"/>
    </row>
    <row r="177" spans="1:13" ht="16.5">
      <c r="A177" s="3168">
        <v>175</v>
      </c>
      <c r="B177" s="3169" t="s">
        <v>4786</v>
      </c>
      <c r="C177" s="3170" t="s">
        <v>4786</v>
      </c>
      <c r="D177" s="3171" t="s">
        <v>5136</v>
      </c>
      <c r="E177" s="3170" t="s">
        <v>5137</v>
      </c>
      <c r="F177" s="3177" t="s">
        <v>4789</v>
      </c>
      <c r="G177" s="3169">
        <v>-1246</v>
      </c>
      <c r="H177" s="3172">
        <v>35.9</v>
      </c>
      <c r="I177" s="3173">
        <v>600000.29</v>
      </c>
      <c r="J177" s="3174" t="s">
        <v>3447</v>
      </c>
      <c r="K177" s="3161"/>
      <c r="M177" s="3161"/>
    </row>
    <row r="178" spans="1:13" ht="16.5">
      <c r="A178" s="3168">
        <v>176</v>
      </c>
      <c r="B178" s="3169" t="s">
        <v>4786</v>
      </c>
      <c r="C178" s="3170" t="s">
        <v>4786</v>
      </c>
      <c r="D178" s="3171" t="s">
        <v>5138</v>
      </c>
      <c r="E178" s="3170" t="s">
        <v>5139</v>
      </c>
      <c r="F178" s="3177" t="s">
        <v>4789</v>
      </c>
      <c r="G178" s="3169">
        <v>-1247</v>
      </c>
      <c r="H178" s="3172">
        <v>37.39</v>
      </c>
      <c r="I178" s="3173">
        <v>600000.32120000001</v>
      </c>
      <c r="J178" s="3174" t="s">
        <v>3447</v>
      </c>
      <c r="K178" s="3161"/>
      <c r="M178" s="3161"/>
    </row>
    <row r="179" spans="1:13" ht="16.5">
      <c r="A179" s="3168">
        <v>177</v>
      </c>
      <c r="B179" s="3169" t="s">
        <v>4786</v>
      </c>
      <c r="C179" s="3170" t="s">
        <v>4786</v>
      </c>
      <c r="D179" s="3171" t="s">
        <v>5140</v>
      </c>
      <c r="E179" s="3170" t="s">
        <v>5141</v>
      </c>
      <c r="F179" s="3177" t="s">
        <v>4789</v>
      </c>
      <c r="G179" s="3169">
        <v>-1248</v>
      </c>
      <c r="H179" s="3172">
        <v>37.39</v>
      </c>
      <c r="I179" s="3173">
        <v>600000.32120000001</v>
      </c>
      <c r="J179" s="3174" t="s">
        <v>3447</v>
      </c>
      <c r="K179" s="3161"/>
      <c r="M179" s="3161"/>
    </row>
    <row r="180" spans="1:13" ht="16.5">
      <c r="A180" s="3168">
        <v>178</v>
      </c>
      <c r="B180" s="3169" t="s">
        <v>4786</v>
      </c>
      <c r="C180" s="3170" t="s">
        <v>4786</v>
      </c>
      <c r="D180" s="3171" t="s">
        <v>5142</v>
      </c>
      <c r="E180" s="3170" t="s">
        <v>5143</v>
      </c>
      <c r="F180" s="3177" t="s">
        <v>4789</v>
      </c>
      <c r="G180" s="3169">
        <v>-1249</v>
      </c>
      <c r="H180" s="3172">
        <v>35.9</v>
      </c>
      <c r="I180" s="3173">
        <v>600000.29</v>
      </c>
      <c r="J180" s="3174" t="s">
        <v>3447</v>
      </c>
      <c r="K180" s="3161"/>
      <c r="M180" s="3161"/>
    </row>
    <row r="181" spans="1:13" ht="16.5">
      <c r="A181" s="3168">
        <v>179</v>
      </c>
      <c r="B181" s="3169" t="s">
        <v>4786</v>
      </c>
      <c r="C181" s="3170" t="s">
        <v>4786</v>
      </c>
      <c r="D181" s="3171" t="s">
        <v>5144</v>
      </c>
      <c r="E181" s="3170" t="s">
        <v>5145</v>
      </c>
      <c r="F181" s="3177" t="s">
        <v>4789</v>
      </c>
      <c r="G181" s="3169">
        <v>-1250</v>
      </c>
      <c r="H181" s="3172">
        <v>35.9</v>
      </c>
      <c r="I181" s="3173">
        <v>600000.29</v>
      </c>
      <c r="J181" s="3174" t="s">
        <v>3447</v>
      </c>
      <c r="K181" s="3161"/>
      <c r="M181" s="3161"/>
    </row>
    <row r="182" spans="1:13" ht="16.5">
      <c r="A182" s="3168">
        <v>180</v>
      </c>
      <c r="B182" s="3169" t="s">
        <v>4786</v>
      </c>
      <c r="C182" s="3170" t="s">
        <v>4786</v>
      </c>
      <c r="D182" s="3171" t="s">
        <v>5146</v>
      </c>
      <c r="E182" s="3170" t="s">
        <v>5147</v>
      </c>
      <c r="F182" s="3177" t="s">
        <v>4789</v>
      </c>
      <c r="G182" s="3169">
        <v>-1251</v>
      </c>
      <c r="H182" s="3172">
        <v>35.9</v>
      </c>
      <c r="I182" s="3173">
        <v>600000.29</v>
      </c>
      <c r="J182" s="3174" t="s">
        <v>3447</v>
      </c>
      <c r="K182" s="3161"/>
      <c r="M182" s="3161"/>
    </row>
    <row r="183" spans="1:13" ht="16.5">
      <c r="A183" s="3168">
        <v>181</v>
      </c>
      <c r="B183" s="3169" t="s">
        <v>4786</v>
      </c>
      <c r="C183" s="3170" t="s">
        <v>4786</v>
      </c>
      <c r="D183" s="3171" t="s">
        <v>5148</v>
      </c>
      <c r="E183" s="3170" t="s">
        <v>5149</v>
      </c>
      <c r="F183" s="3177" t="s">
        <v>4789</v>
      </c>
      <c r="G183" s="3169">
        <v>-1252</v>
      </c>
      <c r="H183" s="3172">
        <v>35.9</v>
      </c>
      <c r="I183" s="3173">
        <v>600000.29</v>
      </c>
      <c r="J183" s="3174" t="s">
        <v>3447</v>
      </c>
      <c r="K183" s="3161"/>
      <c r="M183" s="3161"/>
    </row>
    <row r="184" spans="1:13" ht="16.5">
      <c r="A184" s="3168">
        <v>182</v>
      </c>
      <c r="B184" s="3169" t="s">
        <v>4786</v>
      </c>
      <c r="C184" s="3170" t="s">
        <v>4786</v>
      </c>
      <c r="D184" s="3171" t="s">
        <v>5150</v>
      </c>
      <c r="E184" s="3170" t="s">
        <v>5151</v>
      </c>
      <c r="F184" s="3177" t="s">
        <v>4789</v>
      </c>
      <c r="G184" s="3169">
        <v>-1253</v>
      </c>
      <c r="H184" s="3172">
        <v>37.39</v>
      </c>
      <c r="I184" s="3173">
        <v>600000.32120000001</v>
      </c>
      <c r="J184" s="3174" t="s">
        <v>3447</v>
      </c>
      <c r="K184" s="3161"/>
      <c r="M184" s="3161"/>
    </row>
    <row r="185" spans="1:13" ht="16.5">
      <c r="A185" s="3168">
        <v>183</v>
      </c>
      <c r="B185" s="3169" t="s">
        <v>4786</v>
      </c>
      <c r="C185" s="3170" t="s">
        <v>4786</v>
      </c>
      <c r="D185" s="3171" t="s">
        <v>5152</v>
      </c>
      <c r="E185" s="3170" t="s">
        <v>5153</v>
      </c>
      <c r="F185" s="3177" t="s">
        <v>4789</v>
      </c>
      <c r="G185" s="3169">
        <v>-1255</v>
      </c>
      <c r="H185" s="3172">
        <v>37.39</v>
      </c>
      <c r="I185" s="3173">
        <v>600000.32120000001</v>
      </c>
      <c r="J185" s="3174" t="s">
        <v>3447</v>
      </c>
      <c r="K185" s="3161"/>
      <c r="M185" s="3161"/>
    </row>
    <row r="186" spans="1:13" ht="16.5">
      <c r="A186" s="3168">
        <v>184</v>
      </c>
      <c r="B186" s="3169" t="s">
        <v>4786</v>
      </c>
      <c r="C186" s="3170" t="s">
        <v>4786</v>
      </c>
      <c r="D186" s="3171" t="s">
        <v>5154</v>
      </c>
      <c r="E186" s="3170" t="s">
        <v>5155</v>
      </c>
      <c r="F186" s="3177" t="s">
        <v>4789</v>
      </c>
      <c r="G186" s="3169">
        <v>-1256</v>
      </c>
      <c r="H186" s="3172">
        <v>37.39</v>
      </c>
      <c r="I186" s="3173">
        <v>600000.32120000001</v>
      </c>
      <c r="J186" s="3174" t="s">
        <v>3447</v>
      </c>
      <c r="K186" s="3161"/>
      <c r="M186" s="3161"/>
    </row>
    <row r="187" spans="1:13" ht="16.5">
      <c r="A187" s="3168">
        <v>185</v>
      </c>
      <c r="B187" s="3169" t="s">
        <v>4786</v>
      </c>
      <c r="C187" s="3170" t="s">
        <v>4786</v>
      </c>
      <c r="D187" s="3171" t="s">
        <v>5156</v>
      </c>
      <c r="E187" s="3170" t="s">
        <v>5157</v>
      </c>
      <c r="F187" s="3177" t="s">
        <v>4789</v>
      </c>
      <c r="G187" s="3169">
        <v>-1260</v>
      </c>
      <c r="H187" s="3172">
        <v>37.39</v>
      </c>
      <c r="I187" s="3173">
        <v>600000.32120000001</v>
      </c>
      <c r="J187" s="3174" t="s">
        <v>3447</v>
      </c>
      <c r="K187" s="3161"/>
      <c r="M187" s="3161"/>
    </row>
    <row r="188" spans="1:13" ht="16.5">
      <c r="A188" s="3168">
        <v>186</v>
      </c>
      <c r="B188" s="3169" t="s">
        <v>4786</v>
      </c>
      <c r="C188" s="3170" t="s">
        <v>4786</v>
      </c>
      <c r="D188" s="3171" t="s">
        <v>5158</v>
      </c>
      <c r="E188" s="3170" t="s">
        <v>5159</v>
      </c>
      <c r="F188" s="3177" t="s">
        <v>4789</v>
      </c>
      <c r="G188" s="3169">
        <v>-1269</v>
      </c>
      <c r="H188" s="3172">
        <v>37.39</v>
      </c>
      <c r="I188" s="3173">
        <v>600000.32120000001</v>
      </c>
      <c r="J188" s="3174" t="s">
        <v>3447</v>
      </c>
      <c r="K188" s="3161"/>
      <c r="M188" s="3161"/>
    </row>
    <row r="189" spans="1:13" ht="16.5">
      <c r="A189" s="3168">
        <v>187</v>
      </c>
      <c r="B189" s="3169" t="s">
        <v>4786</v>
      </c>
      <c r="C189" s="3170" t="s">
        <v>4786</v>
      </c>
      <c r="D189" s="3171" t="s">
        <v>5160</v>
      </c>
      <c r="E189" s="3170" t="s">
        <v>5161</v>
      </c>
      <c r="F189" s="3177" t="s">
        <v>4789</v>
      </c>
      <c r="G189" s="3169">
        <v>-1270</v>
      </c>
      <c r="H189" s="3172">
        <v>37.39</v>
      </c>
      <c r="I189" s="3173">
        <v>600000.32120000001</v>
      </c>
      <c r="J189" s="3174" t="s">
        <v>3447</v>
      </c>
      <c r="K189" s="3161"/>
      <c r="M189" s="3161"/>
    </row>
    <row r="190" spans="1:13" ht="16.5">
      <c r="A190" s="3168">
        <v>188</v>
      </c>
      <c r="B190" s="3169" t="s">
        <v>4786</v>
      </c>
      <c r="C190" s="3170" t="s">
        <v>4786</v>
      </c>
      <c r="D190" s="3171" t="s">
        <v>5162</v>
      </c>
      <c r="E190" s="3170" t="s">
        <v>5163</v>
      </c>
      <c r="F190" s="3177" t="s">
        <v>4789</v>
      </c>
      <c r="G190" s="3169">
        <v>-1271</v>
      </c>
      <c r="H190" s="3172">
        <v>37.39</v>
      </c>
      <c r="I190" s="3173">
        <v>600000.32120000001</v>
      </c>
      <c r="J190" s="3174" t="s">
        <v>3447</v>
      </c>
      <c r="K190" s="3161"/>
      <c r="M190" s="3161"/>
    </row>
    <row r="191" spans="1:13" ht="16.5">
      <c r="A191" s="3168">
        <v>189</v>
      </c>
      <c r="B191" s="3169" t="s">
        <v>4786</v>
      </c>
      <c r="C191" s="3170" t="s">
        <v>4786</v>
      </c>
      <c r="D191" s="3171" t="s">
        <v>5164</v>
      </c>
      <c r="E191" s="3170" t="s">
        <v>5165</v>
      </c>
      <c r="F191" s="3177" t="s">
        <v>4789</v>
      </c>
      <c r="G191" s="3169">
        <v>-1272</v>
      </c>
      <c r="H191" s="3172">
        <v>37.39</v>
      </c>
      <c r="I191" s="3173">
        <v>600000.32120000001</v>
      </c>
      <c r="J191" s="3174" t="s">
        <v>3447</v>
      </c>
      <c r="K191" s="3161"/>
      <c r="M191" s="3161"/>
    </row>
    <row r="192" spans="1:13" ht="16.5">
      <c r="A192" s="3168">
        <v>190</v>
      </c>
      <c r="B192" s="3169" t="s">
        <v>4786</v>
      </c>
      <c r="C192" s="3170" t="s">
        <v>4786</v>
      </c>
      <c r="D192" s="3171" t="s">
        <v>5166</v>
      </c>
      <c r="E192" s="3170" t="s">
        <v>5167</v>
      </c>
      <c r="F192" s="3177" t="s">
        <v>4789</v>
      </c>
      <c r="G192" s="3169">
        <v>-1273</v>
      </c>
      <c r="H192" s="3172">
        <v>37.39</v>
      </c>
      <c r="I192" s="3173">
        <v>600000.32120000001</v>
      </c>
      <c r="J192" s="3174" t="s">
        <v>3447</v>
      </c>
      <c r="K192" s="3161"/>
      <c r="M192" s="3161"/>
    </row>
    <row r="193" spans="1:13" ht="16.5">
      <c r="A193" s="3168">
        <v>191</v>
      </c>
      <c r="B193" s="3169" t="s">
        <v>4786</v>
      </c>
      <c r="C193" s="3170" t="s">
        <v>4786</v>
      </c>
      <c r="D193" s="3171" t="s">
        <v>5168</v>
      </c>
      <c r="E193" s="3170" t="s">
        <v>5169</v>
      </c>
      <c r="F193" s="3177" t="s">
        <v>4789</v>
      </c>
      <c r="G193" s="3169">
        <v>-1274</v>
      </c>
      <c r="H193" s="3172">
        <v>37.39</v>
      </c>
      <c r="I193" s="3173">
        <v>600000.32120000001</v>
      </c>
      <c r="J193" s="3174" t="s">
        <v>3447</v>
      </c>
      <c r="K193" s="3161"/>
      <c r="M193" s="3161"/>
    </row>
    <row r="194" spans="1:13" ht="16.5">
      <c r="A194" s="3168">
        <v>192</v>
      </c>
      <c r="B194" s="3169" t="s">
        <v>4786</v>
      </c>
      <c r="C194" s="3170" t="s">
        <v>4786</v>
      </c>
      <c r="D194" s="3171" t="s">
        <v>5170</v>
      </c>
      <c r="E194" s="3170" t="s">
        <v>5171</v>
      </c>
      <c r="F194" s="3177" t="s">
        <v>4789</v>
      </c>
      <c r="G194" s="3169">
        <v>-1277</v>
      </c>
      <c r="H194" s="3172">
        <v>37.39</v>
      </c>
      <c r="I194" s="3173">
        <v>600000.32120000001</v>
      </c>
      <c r="J194" s="3174" t="s">
        <v>3447</v>
      </c>
      <c r="K194" s="3161"/>
      <c r="M194" s="3161"/>
    </row>
    <row r="195" spans="1:13" ht="16.5">
      <c r="A195" s="3168">
        <v>193</v>
      </c>
      <c r="B195" s="3169" t="s">
        <v>4786</v>
      </c>
      <c r="C195" s="3170" t="s">
        <v>4786</v>
      </c>
      <c r="D195" s="3171" t="s">
        <v>5172</v>
      </c>
      <c r="E195" s="3170" t="s">
        <v>5173</v>
      </c>
      <c r="F195" s="3177" t="s">
        <v>4789</v>
      </c>
      <c r="G195" s="3169">
        <v>-1278</v>
      </c>
      <c r="H195" s="3172">
        <v>37.39</v>
      </c>
      <c r="I195" s="3173">
        <v>600000.32120000001</v>
      </c>
      <c r="J195" s="3174" t="s">
        <v>3447</v>
      </c>
      <c r="K195" s="3161"/>
      <c r="M195" s="3161"/>
    </row>
    <row r="196" spans="1:13" ht="16.5">
      <c r="A196" s="3168">
        <v>194</v>
      </c>
      <c r="B196" s="3169" t="s">
        <v>4786</v>
      </c>
      <c r="C196" s="3170" t="s">
        <v>4786</v>
      </c>
      <c r="D196" s="3171" t="s">
        <v>5174</v>
      </c>
      <c r="E196" s="3170" t="s">
        <v>5175</v>
      </c>
      <c r="F196" s="3177" t="s">
        <v>4789</v>
      </c>
      <c r="G196" s="3169">
        <v>-1279</v>
      </c>
      <c r="H196" s="3172">
        <v>37.39</v>
      </c>
      <c r="I196" s="3173">
        <v>600000.32120000001</v>
      </c>
      <c r="J196" s="3174" t="s">
        <v>3447</v>
      </c>
      <c r="K196" s="3161"/>
      <c r="M196" s="3161"/>
    </row>
    <row r="197" spans="1:13" ht="16.5">
      <c r="A197" s="3168">
        <v>195</v>
      </c>
      <c r="B197" s="3169" t="s">
        <v>4786</v>
      </c>
      <c r="C197" s="3170" t="s">
        <v>4786</v>
      </c>
      <c r="D197" s="3171" t="s">
        <v>5176</v>
      </c>
      <c r="E197" s="3170" t="s">
        <v>5177</v>
      </c>
      <c r="F197" s="3177" t="s">
        <v>4789</v>
      </c>
      <c r="G197" s="3169">
        <v>-1281</v>
      </c>
      <c r="H197" s="3172">
        <v>37.39</v>
      </c>
      <c r="I197" s="3173">
        <v>600000.32120000001</v>
      </c>
      <c r="J197" s="3174" t="s">
        <v>3447</v>
      </c>
      <c r="K197" s="3161"/>
      <c r="M197" s="3161"/>
    </row>
    <row r="198" spans="1:13" ht="16.5">
      <c r="A198" s="3168">
        <v>196</v>
      </c>
      <c r="B198" s="3169" t="s">
        <v>4786</v>
      </c>
      <c r="C198" s="3170" t="s">
        <v>4786</v>
      </c>
      <c r="D198" s="3171" t="s">
        <v>5178</v>
      </c>
      <c r="E198" s="3170" t="s">
        <v>5179</v>
      </c>
      <c r="F198" s="3177" t="s">
        <v>4789</v>
      </c>
      <c r="G198" s="3169">
        <v>-1283</v>
      </c>
      <c r="H198" s="3172">
        <v>37.39</v>
      </c>
      <c r="I198" s="3173">
        <v>600000.32120000001</v>
      </c>
      <c r="J198" s="3174" t="s">
        <v>3447</v>
      </c>
      <c r="K198" s="3161"/>
      <c r="M198" s="3161"/>
    </row>
    <row r="199" spans="1:13" ht="16.5">
      <c r="A199" s="3168">
        <v>197</v>
      </c>
      <c r="B199" s="3169" t="s">
        <v>4786</v>
      </c>
      <c r="C199" s="3170" t="s">
        <v>4786</v>
      </c>
      <c r="D199" s="3171" t="s">
        <v>5180</v>
      </c>
      <c r="E199" s="3170" t="s">
        <v>5181</v>
      </c>
      <c r="F199" s="3177" t="s">
        <v>4789</v>
      </c>
      <c r="G199" s="3169">
        <v>-1284</v>
      </c>
      <c r="H199" s="3172">
        <v>37.39</v>
      </c>
      <c r="I199" s="3173">
        <v>600000.32120000001</v>
      </c>
      <c r="J199" s="3174" t="s">
        <v>3447</v>
      </c>
      <c r="K199" s="3161"/>
      <c r="M199" s="3161"/>
    </row>
    <row r="200" spans="1:13" ht="16.5">
      <c r="A200" s="3168">
        <v>198</v>
      </c>
      <c r="B200" s="3169" t="s">
        <v>4786</v>
      </c>
      <c r="C200" s="3170" t="s">
        <v>4786</v>
      </c>
      <c r="D200" s="3171" t="s">
        <v>5182</v>
      </c>
      <c r="E200" s="3170" t="s">
        <v>5183</v>
      </c>
      <c r="F200" s="3177" t="s">
        <v>4789</v>
      </c>
      <c r="G200" s="3169">
        <v>-1287</v>
      </c>
      <c r="H200" s="3172">
        <v>37.39</v>
      </c>
      <c r="I200" s="3173">
        <v>600000.32120000001</v>
      </c>
      <c r="J200" s="3174" t="s">
        <v>3447</v>
      </c>
      <c r="K200" s="3161"/>
      <c r="M200" s="3161"/>
    </row>
    <row r="201" spans="1:13" ht="16.5">
      <c r="A201" s="3168">
        <v>199</v>
      </c>
      <c r="B201" s="3169" t="s">
        <v>4786</v>
      </c>
      <c r="C201" s="3170" t="s">
        <v>4786</v>
      </c>
      <c r="D201" s="3171" t="s">
        <v>5184</v>
      </c>
      <c r="E201" s="3170" t="s">
        <v>5185</v>
      </c>
      <c r="F201" s="3177" t="s">
        <v>4789</v>
      </c>
      <c r="G201" s="3169">
        <v>-1288</v>
      </c>
      <c r="H201" s="3172">
        <v>37.39</v>
      </c>
      <c r="I201" s="3173">
        <v>600000.32120000001</v>
      </c>
      <c r="J201" s="3174" t="s">
        <v>3447</v>
      </c>
      <c r="K201" s="3161"/>
      <c r="M201" s="3161"/>
    </row>
    <row r="202" spans="1:13" ht="16.5">
      <c r="A202" s="3168">
        <v>200</v>
      </c>
      <c r="B202" s="3169" t="s">
        <v>4786</v>
      </c>
      <c r="C202" s="3170" t="s">
        <v>4786</v>
      </c>
      <c r="D202" s="3171" t="s">
        <v>5186</v>
      </c>
      <c r="E202" s="3170" t="s">
        <v>5187</v>
      </c>
      <c r="F202" s="3177" t="s">
        <v>4789</v>
      </c>
      <c r="G202" s="3169">
        <v>-1293</v>
      </c>
      <c r="H202" s="3172">
        <v>37.39</v>
      </c>
      <c r="I202" s="3173">
        <v>600000.32120000001</v>
      </c>
      <c r="J202" s="3174" t="s">
        <v>3447</v>
      </c>
      <c r="K202" s="3161"/>
      <c r="M202" s="3161"/>
    </row>
    <row r="203" spans="1:13" ht="16.5">
      <c r="A203" s="3168">
        <v>201</v>
      </c>
      <c r="B203" s="3169" t="s">
        <v>4786</v>
      </c>
      <c r="C203" s="3170" t="s">
        <v>4786</v>
      </c>
      <c r="D203" s="3171" t="s">
        <v>5188</v>
      </c>
      <c r="E203" s="3170" t="s">
        <v>5189</v>
      </c>
      <c r="F203" s="3177" t="s">
        <v>4789</v>
      </c>
      <c r="G203" s="3169">
        <v>-1294</v>
      </c>
      <c r="H203" s="3172">
        <v>37.39</v>
      </c>
      <c r="I203" s="3173">
        <v>600000.32120000001</v>
      </c>
      <c r="J203" s="3174" t="s">
        <v>3447</v>
      </c>
      <c r="K203" s="3161"/>
      <c r="M203" s="3161"/>
    </row>
    <row r="204" spans="1:13" ht="16.5">
      <c r="A204" s="3168">
        <v>202</v>
      </c>
      <c r="B204" s="3169" t="s">
        <v>4786</v>
      </c>
      <c r="C204" s="3170" t="s">
        <v>4786</v>
      </c>
      <c r="D204" s="3171" t="s">
        <v>5190</v>
      </c>
      <c r="E204" s="3170" t="s">
        <v>5191</v>
      </c>
      <c r="F204" s="3177" t="s">
        <v>4789</v>
      </c>
      <c r="G204" s="3169">
        <v>-1295</v>
      </c>
      <c r="H204" s="3172">
        <v>37.39</v>
      </c>
      <c r="I204" s="3173">
        <v>600000.32120000001</v>
      </c>
      <c r="J204" s="3174" t="s">
        <v>3447</v>
      </c>
      <c r="K204" s="3161"/>
      <c r="M204" s="3161"/>
    </row>
    <row r="205" spans="1:13" ht="16.5">
      <c r="A205" s="3168">
        <v>203</v>
      </c>
      <c r="B205" s="3169" t="s">
        <v>4786</v>
      </c>
      <c r="C205" s="3170" t="s">
        <v>4786</v>
      </c>
      <c r="D205" s="3171" t="s">
        <v>5192</v>
      </c>
      <c r="E205" s="3170" t="s">
        <v>5193</v>
      </c>
      <c r="F205" s="3177" t="s">
        <v>4789</v>
      </c>
      <c r="G205" s="3169">
        <v>-1296</v>
      </c>
      <c r="H205" s="3172">
        <v>37.39</v>
      </c>
      <c r="I205" s="3173">
        <v>600000.32120000001</v>
      </c>
      <c r="J205" s="3174" t="s">
        <v>3447</v>
      </c>
      <c r="K205" s="3161"/>
      <c r="M205" s="3161"/>
    </row>
    <row r="206" spans="1:13" ht="16.5">
      <c r="A206" s="3168">
        <v>204</v>
      </c>
      <c r="B206" s="3169" t="s">
        <v>4786</v>
      </c>
      <c r="C206" s="3170" t="s">
        <v>4786</v>
      </c>
      <c r="D206" s="3171" t="s">
        <v>5194</v>
      </c>
      <c r="E206" s="3170" t="s">
        <v>5195</v>
      </c>
      <c r="F206" s="3177" t="s">
        <v>4789</v>
      </c>
      <c r="G206" s="3169">
        <v>-1297</v>
      </c>
      <c r="H206" s="3172">
        <v>37.39</v>
      </c>
      <c r="I206" s="3173">
        <v>600000.32120000001</v>
      </c>
      <c r="J206" s="3174" t="s">
        <v>3447</v>
      </c>
      <c r="K206" s="3161"/>
      <c r="M206" s="3161"/>
    </row>
    <row r="207" spans="1:13" ht="16.5">
      <c r="A207" s="3168">
        <v>205</v>
      </c>
      <c r="B207" s="3169" t="s">
        <v>4786</v>
      </c>
      <c r="C207" s="3170" t="s">
        <v>4786</v>
      </c>
      <c r="D207" s="3171" t="s">
        <v>5196</v>
      </c>
      <c r="E207" s="3170" t="s">
        <v>5197</v>
      </c>
      <c r="F207" s="3177" t="s">
        <v>4789</v>
      </c>
      <c r="G207" s="3169">
        <v>-1298</v>
      </c>
      <c r="H207" s="3172">
        <v>37.39</v>
      </c>
      <c r="I207" s="3173">
        <v>600000.32120000001</v>
      </c>
      <c r="J207" s="3174" t="s">
        <v>3447</v>
      </c>
      <c r="K207" s="3161"/>
      <c r="M207" s="3161"/>
    </row>
    <row r="208" spans="1:13" ht="16.5">
      <c r="A208" s="3168">
        <v>206</v>
      </c>
      <c r="B208" s="3169" t="s">
        <v>4786</v>
      </c>
      <c r="C208" s="3170" t="s">
        <v>4786</v>
      </c>
      <c r="D208" s="3171" t="s">
        <v>5198</v>
      </c>
      <c r="E208" s="3170" t="s">
        <v>5199</v>
      </c>
      <c r="F208" s="3177" t="s">
        <v>4789</v>
      </c>
      <c r="G208" s="3169">
        <v>-1299</v>
      </c>
      <c r="H208" s="3172">
        <v>37.39</v>
      </c>
      <c r="I208" s="3173">
        <v>600000.32120000001</v>
      </c>
      <c r="J208" s="3174" t="s">
        <v>3447</v>
      </c>
      <c r="K208" s="3161"/>
      <c r="M208" s="3161"/>
    </row>
    <row r="209" spans="1:13" ht="16.5">
      <c r="A209" s="3168">
        <v>207</v>
      </c>
      <c r="B209" s="3169" t="s">
        <v>4786</v>
      </c>
      <c r="C209" s="3170" t="s">
        <v>4786</v>
      </c>
      <c r="D209" s="3171" t="s">
        <v>5200</v>
      </c>
      <c r="E209" s="3170" t="s">
        <v>5201</v>
      </c>
      <c r="F209" s="3177" t="s">
        <v>4789</v>
      </c>
      <c r="G209" s="3169">
        <v>-1300</v>
      </c>
      <c r="H209" s="3172">
        <v>37.39</v>
      </c>
      <c r="I209" s="3173">
        <v>600000.32120000001</v>
      </c>
      <c r="J209" s="3174" t="s">
        <v>3447</v>
      </c>
      <c r="K209" s="3161"/>
      <c r="M209" s="3161"/>
    </row>
    <row r="210" spans="1:13" ht="16.5">
      <c r="A210" s="3168">
        <v>208</v>
      </c>
      <c r="B210" s="3169" t="s">
        <v>4786</v>
      </c>
      <c r="C210" s="3170" t="s">
        <v>4786</v>
      </c>
      <c r="D210" s="3171" t="s">
        <v>5202</v>
      </c>
      <c r="E210" s="3170" t="s">
        <v>5203</v>
      </c>
      <c r="F210" s="3177" t="s">
        <v>4789</v>
      </c>
      <c r="G210" s="3169">
        <v>-1301</v>
      </c>
      <c r="H210" s="3172">
        <v>37.39</v>
      </c>
      <c r="I210" s="3173">
        <v>600000.32120000001</v>
      </c>
      <c r="J210" s="3174" t="s">
        <v>3447</v>
      </c>
      <c r="K210" s="3161"/>
      <c r="M210" s="3161"/>
    </row>
    <row r="211" spans="1:13" ht="16.5">
      <c r="A211" s="3168">
        <v>209</v>
      </c>
      <c r="B211" s="3169" t="s">
        <v>4786</v>
      </c>
      <c r="C211" s="3170" t="s">
        <v>4786</v>
      </c>
      <c r="D211" s="3171" t="s">
        <v>5204</v>
      </c>
      <c r="E211" s="3170" t="s">
        <v>5205</v>
      </c>
      <c r="F211" s="3177" t="s">
        <v>4789</v>
      </c>
      <c r="G211" s="3169">
        <v>-1302</v>
      </c>
      <c r="H211" s="3172">
        <v>37.39</v>
      </c>
      <c r="I211" s="3173">
        <v>600000.32120000001</v>
      </c>
      <c r="J211" s="3174" t="s">
        <v>3447</v>
      </c>
      <c r="K211" s="3161"/>
      <c r="M211" s="3161"/>
    </row>
    <row r="212" spans="1:13" ht="16.5">
      <c r="A212" s="3168">
        <v>210</v>
      </c>
      <c r="B212" s="3169" t="s">
        <v>4786</v>
      </c>
      <c r="C212" s="3170" t="s">
        <v>4786</v>
      </c>
      <c r="D212" s="3171" t="s">
        <v>5206</v>
      </c>
      <c r="E212" s="3170" t="s">
        <v>5207</v>
      </c>
      <c r="F212" s="3177" t="s">
        <v>4789</v>
      </c>
      <c r="G212" s="3169">
        <v>-1303</v>
      </c>
      <c r="H212" s="3172">
        <v>37.39</v>
      </c>
      <c r="I212" s="3173">
        <v>600000.32120000001</v>
      </c>
      <c r="J212" s="3174" t="s">
        <v>3447</v>
      </c>
      <c r="K212" s="3161"/>
      <c r="M212" s="3161"/>
    </row>
    <row r="213" spans="1:13" ht="16.5">
      <c r="A213" s="3168">
        <v>211</v>
      </c>
      <c r="B213" s="3169" t="s">
        <v>4786</v>
      </c>
      <c r="C213" s="3170" t="s">
        <v>4786</v>
      </c>
      <c r="D213" s="3171" t="s">
        <v>5208</v>
      </c>
      <c r="E213" s="3170" t="s">
        <v>5209</v>
      </c>
      <c r="F213" s="3177" t="s">
        <v>4789</v>
      </c>
      <c r="G213" s="3169">
        <v>-1304</v>
      </c>
      <c r="H213" s="3172">
        <v>55.34</v>
      </c>
      <c r="I213" s="3173">
        <v>600000.15379999997</v>
      </c>
      <c r="J213" s="3174" t="s">
        <v>3447</v>
      </c>
      <c r="K213" s="3161"/>
      <c r="M213" s="3161"/>
    </row>
    <row r="214" spans="1:13" ht="16.5">
      <c r="A214" s="3168">
        <v>212</v>
      </c>
      <c r="B214" s="3169" t="s">
        <v>4786</v>
      </c>
      <c r="C214" s="3170" t="s">
        <v>4786</v>
      </c>
      <c r="D214" s="3171" t="s">
        <v>5210</v>
      </c>
      <c r="E214" s="3170" t="s">
        <v>5211</v>
      </c>
      <c r="F214" s="3177" t="s">
        <v>4789</v>
      </c>
      <c r="G214" s="3169">
        <v>-1305</v>
      </c>
      <c r="H214" s="3172">
        <v>37.39</v>
      </c>
      <c r="I214" s="3173">
        <v>600000.32120000001</v>
      </c>
      <c r="J214" s="3174" t="s">
        <v>3447</v>
      </c>
      <c r="K214" s="3161"/>
      <c r="M214" s="3161"/>
    </row>
    <row r="215" spans="1:13" ht="16.5">
      <c r="A215" s="3168">
        <v>213</v>
      </c>
      <c r="B215" s="3169" t="s">
        <v>4786</v>
      </c>
      <c r="C215" s="3170" t="s">
        <v>4786</v>
      </c>
      <c r="D215" s="3171" t="s">
        <v>5212</v>
      </c>
      <c r="E215" s="3170" t="s">
        <v>5213</v>
      </c>
      <c r="F215" s="3177" t="s">
        <v>4789</v>
      </c>
      <c r="G215" s="3169">
        <v>-1306</v>
      </c>
      <c r="H215" s="3172">
        <v>37.39</v>
      </c>
      <c r="I215" s="3173">
        <v>600000.32120000001</v>
      </c>
      <c r="J215" s="3174" t="s">
        <v>3447</v>
      </c>
      <c r="K215" s="3161"/>
      <c r="M215" s="3161"/>
    </row>
    <row r="216" spans="1:13" ht="16.5">
      <c r="A216" s="3168">
        <v>214</v>
      </c>
      <c r="B216" s="3169" t="s">
        <v>4786</v>
      </c>
      <c r="C216" s="3170" t="s">
        <v>4786</v>
      </c>
      <c r="D216" s="3171" t="s">
        <v>5214</v>
      </c>
      <c r="E216" s="3170" t="s">
        <v>5215</v>
      </c>
      <c r="F216" s="3177" t="s">
        <v>4789</v>
      </c>
      <c r="G216" s="3169">
        <v>-1309</v>
      </c>
      <c r="H216" s="3172">
        <v>37.39</v>
      </c>
      <c r="I216" s="3173">
        <v>600000.32120000001</v>
      </c>
      <c r="J216" s="3174" t="s">
        <v>3447</v>
      </c>
      <c r="K216" s="3161"/>
      <c r="M216" s="3161"/>
    </row>
    <row r="217" spans="1:13" ht="16.5">
      <c r="A217" s="3168">
        <v>215</v>
      </c>
      <c r="B217" s="3169" t="s">
        <v>4786</v>
      </c>
      <c r="C217" s="3170" t="s">
        <v>4786</v>
      </c>
      <c r="D217" s="3171" t="s">
        <v>5216</v>
      </c>
      <c r="E217" s="3170" t="s">
        <v>5217</v>
      </c>
      <c r="F217" s="3177" t="s">
        <v>4789</v>
      </c>
      <c r="G217" s="3169">
        <v>-1310</v>
      </c>
      <c r="H217" s="3172">
        <v>37.39</v>
      </c>
      <c r="I217" s="3173">
        <v>600000.32120000001</v>
      </c>
      <c r="J217" s="3174" t="s">
        <v>3447</v>
      </c>
      <c r="K217" s="3161"/>
      <c r="M217" s="3161"/>
    </row>
    <row r="218" spans="1:13" ht="16.5">
      <c r="A218" s="3168">
        <v>216</v>
      </c>
      <c r="B218" s="3169" t="s">
        <v>4786</v>
      </c>
      <c r="C218" s="3170" t="s">
        <v>4786</v>
      </c>
      <c r="D218" s="3171" t="s">
        <v>5218</v>
      </c>
      <c r="E218" s="3170" t="s">
        <v>5219</v>
      </c>
      <c r="F218" s="3177" t="s">
        <v>4789</v>
      </c>
      <c r="G218" s="3169">
        <v>-1311</v>
      </c>
      <c r="H218" s="3172">
        <v>37.39</v>
      </c>
      <c r="I218" s="3173">
        <v>600000.32120000001</v>
      </c>
      <c r="J218" s="3174" t="s">
        <v>3447</v>
      </c>
      <c r="K218" s="3161"/>
      <c r="M218" s="3161"/>
    </row>
    <row r="219" spans="1:13" ht="16.5">
      <c r="A219" s="3168">
        <v>217</v>
      </c>
      <c r="B219" s="3169" t="s">
        <v>4786</v>
      </c>
      <c r="C219" s="3170" t="s">
        <v>4786</v>
      </c>
      <c r="D219" s="3171" t="s">
        <v>5220</v>
      </c>
      <c r="E219" s="3170" t="s">
        <v>5221</v>
      </c>
      <c r="F219" s="3177" t="s">
        <v>4789</v>
      </c>
      <c r="G219" s="3169">
        <v>-1312</v>
      </c>
      <c r="H219" s="3172">
        <v>37.39</v>
      </c>
      <c r="I219" s="3173">
        <v>600000.32120000001</v>
      </c>
      <c r="J219" s="3174" t="s">
        <v>3447</v>
      </c>
      <c r="K219" s="3161"/>
      <c r="M219" s="3161"/>
    </row>
    <row r="220" spans="1:13" ht="16.5">
      <c r="A220" s="3168">
        <v>218</v>
      </c>
      <c r="B220" s="3169" t="s">
        <v>4786</v>
      </c>
      <c r="C220" s="3170" t="s">
        <v>4786</v>
      </c>
      <c r="D220" s="3171" t="s">
        <v>5222</v>
      </c>
      <c r="E220" s="3170" t="s">
        <v>5223</v>
      </c>
      <c r="F220" s="3177" t="s">
        <v>4789</v>
      </c>
      <c r="G220" s="3169">
        <v>-1313</v>
      </c>
      <c r="H220" s="3172">
        <v>37.39</v>
      </c>
      <c r="I220" s="3173">
        <v>600000.32120000001</v>
      </c>
      <c r="J220" s="3174" t="s">
        <v>3447</v>
      </c>
      <c r="K220" s="3161"/>
      <c r="M220" s="3161"/>
    </row>
    <row r="221" spans="1:13" ht="16.5">
      <c r="A221" s="3168">
        <v>219</v>
      </c>
      <c r="B221" s="3169" t="s">
        <v>4786</v>
      </c>
      <c r="C221" s="3170" t="s">
        <v>4786</v>
      </c>
      <c r="D221" s="3171" t="s">
        <v>5224</v>
      </c>
      <c r="E221" s="3170" t="s">
        <v>5225</v>
      </c>
      <c r="F221" s="3177" t="s">
        <v>4789</v>
      </c>
      <c r="G221" s="3169">
        <v>-1315</v>
      </c>
      <c r="H221" s="3172">
        <v>37.39</v>
      </c>
      <c r="I221" s="3173">
        <v>600000.32120000001</v>
      </c>
      <c r="J221" s="3174" t="s">
        <v>3447</v>
      </c>
      <c r="K221" s="3161"/>
      <c r="M221" s="3161"/>
    </row>
    <row r="222" spans="1:13" ht="16.5">
      <c r="A222" s="3168">
        <v>220</v>
      </c>
      <c r="B222" s="3169" t="s">
        <v>4786</v>
      </c>
      <c r="C222" s="3170" t="s">
        <v>4786</v>
      </c>
      <c r="D222" s="3171" t="s">
        <v>5226</v>
      </c>
      <c r="E222" s="3170" t="s">
        <v>5227</v>
      </c>
      <c r="F222" s="3177" t="s">
        <v>4789</v>
      </c>
      <c r="G222" s="3169">
        <v>-1316</v>
      </c>
      <c r="H222" s="3172">
        <v>37.39</v>
      </c>
      <c r="I222" s="3173">
        <v>600000.32120000001</v>
      </c>
      <c r="J222" s="3174" t="s">
        <v>3447</v>
      </c>
      <c r="K222" s="3161"/>
      <c r="M222" s="3161"/>
    </row>
    <row r="223" spans="1:13" ht="16.5">
      <c r="A223" s="3168">
        <v>221</v>
      </c>
      <c r="B223" s="3169" t="s">
        <v>4786</v>
      </c>
      <c r="C223" s="3170" t="s">
        <v>4786</v>
      </c>
      <c r="D223" s="3171" t="s">
        <v>5228</v>
      </c>
      <c r="E223" s="3170" t="s">
        <v>5229</v>
      </c>
      <c r="F223" s="3177" t="s">
        <v>4789</v>
      </c>
      <c r="G223" s="3169">
        <v>-1317</v>
      </c>
      <c r="H223" s="3172">
        <v>37.39</v>
      </c>
      <c r="I223" s="3173">
        <v>600000.32120000001</v>
      </c>
      <c r="J223" s="3174" t="s">
        <v>3447</v>
      </c>
      <c r="K223" s="3161"/>
      <c r="M223" s="3161"/>
    </row>
    <row r="224" spans="1:13" ht="16.5">
      <c r="A224" s="3168">
        <v>222</v>
      </c>
      <c r="B224" s="3169" t="s">
        <v>4786</v>
      </c>
      <c r="C224" s="3170" t="s">
        <v>4786</v>
      </c>
      <c r="D224" s="3171" t="s">
        <v>5230</v>
      </c>
      <c r="E224" s="3170" t="s">
        <v>5231</v>
      </c>
      <c r="F224" s="3177" t="s">
        <v>4789</v>
      </c>
      <c r="G224" s="3169">
        <v>-1318</v>
      </c>
      <c r="H224" s="3172">
        <v>37.39</v>
      </c>
      <c r="I224" s="3173">
        <v>600000.32120000001</v>
      </c>
      <c r="J224" s="3174" t="s">
        <v>3447</v>
      </c>
      <c r="K224" s="3161"/>
      <c r="M224" s="3161"/>
    </row>
    <row r="225" spans="1:13" ht="16.5">
      <c r="A225" s="3168">
        <v>223</v>
      </c>
      <c r="B225" s="3169" t="s">
        <v>4786</v>
      </c>
      <c r="C225" s="3170" t="s">
        <v>4786</v>
      </c>
      <c r="D225" s="3171" t="s">
        <v>5232</v>
      </c>
      <c r="E225" s="3170" t="s">
        <v>5233</v>
      </c>
      <c r="F225" s="3177" t="s">
        <v>4789</v>
      </c>
      <c r="G225" s="3169">
        <v>-1319</v>
      </c>
      <c r="H225" s="3172">
        <v>37.39</v>
      </c>
      <c r="I225" s="3173">
        <v>600000.32120000001</v>
      </c>
      <c r="J225" s="3174" t="s">
        <v>3447</v>
      </c>
      <c r="K225" s="3161"/>
      <c r="M225" s="3161"/>
    </row>
    <row r="226" spans="1:13" ht="16.5">
      <c r="A226" s="3168">
        <v>224</v>
      </c>
      <c r="B226" s="3169" t="s">
        <v>4786</v>
      </c>
      <c r="C226" s="3170" t="s">
        <v>4786</v>
      </c>
      <c r="D226" s="3171" t="s">
        <v>5234</v>
      </c>
      <c r="E226" s="3170" t="s">
        <v>5235</v>
      </c>
      <c r="F226" s="3177" t="s">
        <v>4789</v>
      </c>
      <c r="G226" s="3169">
        <v>-1320</v>
      </c>
      <c r="H226" s="3172">
        <v>37.39</v>
      </c>
      <c r="I226" s="3173">
        <v>600000.32120000001</v>
      </c>
      <c r="J226" s="3174" t="s">
        <v>3447</v>
      </c>
      <c r="K226" s="3161"/>
      <c r="M226" s="3161"/>
    </row>
    <row r="227" spans="1:13" ht="16.5">
      <c r="A227" s="3168">
        <v>225</v>
      </c>
      <c r="B227" s="3169" t="s">
        <v>4786</v>
      </c>
      <c r="C227" s="3170" t="s">
        <v>4786</v>
      </c>
      <c r="D227" s="3171" t="s">
        <v>5236</v>
      </c>
      <c r="E227" s="3170" t="s">
        <v>5237</v>
      </c>
      <c r="F227" s="3177" t="s">
        <v>4789</v>
      </c>
      <c r="G227" s="3169">
        <v>-1321</v>
      </c>
      <c r="H227" s="3172">
        <v>37.39</v>
      </c>
      <c r="I227" s="3173">
        <v>600000.32120000001</v>
      </c>
      <c r="J227" s="3174" t="s">
        <v>3447</v>
      </c>
      <c r="K227" s="3161"/>
      <c r="M227" s="3161"/>
    </row>
    <row r="228" spans="1:13" ht="16.5">
      <c r="A228" s="3168">
        <v>226</v>
      </c>
      <c r="B228" s="3169" t="s">
        <v>4786</v>
      </c>
      <c r="C228" s="3170" t="s">
        <v>4786</v>
      </c>
      <c r="D228" s="3171" t="s">
        <v>5238</v>
      </c>
      <c r="E228" s="3170" t="s">
        <v>5239</v>
      </c>
      <c r="F228" s="3177" t="s">
        <v>4789</v>
      </c>
      <c r="G228" s="3169">
        <v>-1322</v>
      </c>
      <c r="H228" s="3172">
        <v>37.39</v>
      </c>
      <c r="I228" s="3173">
        <v>600000.32120000001</v>
      </c>
      <c r="J228" s="3174" t="s">
        <v>3447</v>
      </c>
      <c r="K228" s="3161"/>
      <c r="M228" s="3161"/>
    </row>
    <row r="229" spans="1:13" ht="16.5">
      <c r="A229" s="3168">
        <v>227</v>
      </c>
      <c r="B229" s="3169" t="s">
        <v>4786</v>
      </c>
      <c r="C229" s="3170" t="s">
        <v>4786</v>
      </c>
      <c r="D229" s="3171" t="s">
        <v>5240</v>
      </c>
      <c r="E229" s="3170" t="s">
        <v>5241</v>
      </c>
      <c r="F229" s="3177" t="s">
        <v>4789</v>
      </c>
      <c r="G229" s="3169">
        <v>-1323</v>
      </c>
      <c r="H229" s="3172">
        <v>37.39</v>
      </c>
      <c r="I229" s="3173">
        <v>600000.32120000001</v>
      </c>
      <c r="J229" s="3174" t="s">
        <v>3447</v>
      </c>
      <c r="K229" s="3161"/>
      <c r="M229" s="3161"/>
    </row>
    <row r="230" spans="1:13" ht="16.5">
      <c r="A230" s="3168">
        <v>228</v>
      </c>
      <c r="B230" s="3169" t="s">
        <v>4786</v>
      </c>
      <c r="C230" s="3170" t="s">
        <v>4786</v>
      </c>
      <c r="D230" s="3171" t="s">
        <v>5242</v>
      </c>
      <c r="E230" s="3170" t="s">
        <v>5243</v>
      </c>
      <c r="F230" s="3177" t="s">
        <v>4789</v>
      </c>
      <c r="G230" s="3169">
        <v>-1324</v>
      </c>
      <c r="H230" s="3172">
        <v>37.39</v>
      </c>
      <c r="I230" s="3173">
        <v>600000.32120000001</v>
      </c>
      <c r="J230" s="3174" t="s">
        <v>3447</v>
      </c>
      <c r="K230" s="3161"/>
      <c r="M230" s="3161"/>
    </row>
    <row r="231" spans="1:13" ht="16.5">
      <c r="A231" s="3168">
        <v>229</v>
      </c>
      <c r="B231" s="3169" t="s">
        <v>4786</v>
      </c>
      <c r="C231" s="3170" t="s">
        <v>4786</v>
      </c>
      <c r="D231" s="3171" t="s">
        <v>5244</v>
      </c>
      <c r="E231" s="3170" t="s">
        <v>5245</v>
      </c>
      <c r="F231" s="3177" t="s">
        <v>4789</v>
      </c>
      <c r="G231" s="3169">
        <v>-1325</v>
      </c>
      <c r="H231" s="3172">
        <v>37.39</v>
      </c>
      <c r="I231" s="3173">
        <v>600000.32120000001</v>
      </c>
      <c r="J231" s="3174" t="s">
        <v>3447</v>
      </c>
      <c r="K231" s="3161"/>
      <c r="M231" s="3161"/>
    </row>
    <row r="232" spans="1:13" ht="16.5">
      <c r="A232" s="3168">
        <v>230</v>
      </c>
      <c r="B232" s="3169" t="s">
        <v>4786</v>
      </c>
      <c r="C232" s="3170" t="s">
        <v>4786</v>
      </c>
      <c r="D232" s="3171" t="s">
        <v>5246</v>
      </c>
      <c r="E232" s="3170" t="s">
        <v>5247</v>
      </c>
      <c r="F232" s="3177" t="s">
        <v>4789</v>
      </c>
      <c r="G232" s="3169">
        <v>-1326</v>
      </c>
      <c r="H232" s="3172">
        <v>37.39</v>
      </c>
      <c r="I232" s="3173">
        <v>600000.32120000001</v>
      </c>
      <c r="J232" s="3174" t="s">
        <v>3447</v>
      </c>
      <c r="K232" s="3161"/>
      <c r="M232" s="3161"/>
    </row>
    <row r="233" spans="1:13" ht="16.5">
      <c r="A233" s="3168">
        <v>231</v>
      </c>
      <c r="B233" s="3169" t="s">
        <v>4786</v>
      </c>
      <c r="C233" s="3170" t="s">
        <v>4786</v>
      </c>
      <c r="D233" s="3171" t="s">
        <v>5248</v>
      </c>
      <c r="E233" s="3170" t="s">
        <v>5249</v>
      </c>
      <c r="F233" s="3177" t="s">
        <v>4789</v>
      </c>
      <c r="G233" s="3169">
        <v>-1327</v>
      </c>
      <c r="H233" s="3172">
        <v>37.39</v>
      </c>
      <c r="I233" s="3173">
        <v>600000.32120000001</v>
      </c>
      <c r="J233" s="3174" t="s">
        <v>3447</v>
      </c>
      <c r="K233" s="3161"/>
      <c r="M233" s="3161"/>
    </row>
    <row r="234" spans="1:13" ht="16.5">
      <c r="A234" s="3168">
        <v>232</v>
      </c>
      <c r="B234" s="3169" t="s">
        <v>4786</v>
      </c>
      <c r="C234" s="3170" t="s">
        <v>4786</v>
      </c>
      <c r="D234" s="3171" t="s">
        <v>5250</v>
      </c>
      <c r="E234" s="3170" t="s">
        <v>5251</v>
      </c>
      <c r="F234" s="3177" t="s">
        <v>4789</v>
      </c>
      <c r="G234" s="3169">
        <v>-1329</v>
      </c>
      <c r="H234" s="3172">
        <v>37.39</v>
      </c>
      <c r="I234" s="3173">
        <v>600000.32120000001</v>
      </c>
      <c r="J234" s="3174" t="s">
        <v>3447</v>
      </c>
      <c r="K234" s="3161"/>
      <c r="M234" s="3161"/>
    </row>
    <row r="235" spans="1:13" ht="16.5">
      <c r="A235" s="3168">
        <v>233</v>
      </c>
      <c r="B235" s="3169" t="s">
        <v>4786</v>
      </c>
      <c r="C235" s="3170" t="s">
        <v>4786</v>
      </c>
      <c r="D235" s="3171" t="s">
        <v>5252</v>
      </c>
      <c r="E235" s="3170" t="s">
        <v>5253</v>
      </c>
      <c r="F235" s="3177" t="s">
        <v>4789</v>
      </c>
      <c r="G235" s="3169">
        <v>-1335</v>
      </c>
      <c r="H235" s="3172">
        <v>37.39</v>
      </c>
      <c r="I235" s="3173">
        <v>600000.32120000001</v>
      </c>
      <c r="J235" s="3174" t="s">
        <v>3447</v>
      </c>
      <c r="K235" s="3161"/>
      <c r="M235" s="3161"/>
    </row>
    <row r="236" spans="1:13" ht="16.5">
      <c r="A236" s="3168">
        <v>234</v>
      </c>
      <c r="B236" s="3169" t="s">
        <v>4786</v>
      </c>
      <c r="C236" s="3170" t="s">
        <v>4786</v>
      </c>
      <c r="D236" s="3171" t="s">
        <v>5254</v>
      </c>
      <c r="E236" s="3170" t="s">
        <v>5255</v>
      </c>
      <c r="F236" s="3177" t="s">
        <v>4789</v>
      </c>
      <c r="G236" s="3169">
        <v>-1336</v>
      </c>
      <c r="H236" s="3172">
        <v>37.39</v>
      </c>
      <c r="I236" s="3173">
        <v>600000.32120000001</v>
      </c>
      <c r="J236" s="3174" t="s">
        <v>3447</v>
      </c>
      <c r="K236" s="3161"/>
      <c r="M236" s="3161"/>
    </row>
    <row r="237" spans="1:13" ht="16.5">
      <c r="A237" s="3168">
        <v>235</v>
      </c>
      <c r="B237" s="3169" t="s">
        <v>4786</v>
      </c>
      <c r="C237" s="3170" t="s">
        <v>4786</v>
      </c>
      <c r="D237" s="3171" t="s">
        <v>5256</v>
      </c>
      <c r="E237" s="3170" t="s">
        <v>5257</v>
      </c>
      <c r="F237" s="3177" t="s">
        <v>4789</v>
      </c>
      <c r="G237" s="3169">
        <v>-1339</v>
      </c>
      <c r="H237" s="3172">
        <v>37.39</v>
      </c>
      <c r="I237" s="3173">
        <v>600000.32120000001</v>
      </c>
      <c r="J237" s="3174" t="s">
        <v>3447</v>
      </c>
      <c r="K237" s="3161"/>
      <c r="M237" s="3161"/>
    </row>
    <row r="238" spans="1:13" ht="16.5">
      <c r="A238" s="3168">
        <v>236</v>
      </c>
      <c r="B238" s="3169" t="s">
        <v>4786</v>
      </c>
      <c r="C238" s="3170" t="s">
        <v>4786</v>
      </c>
      <c r="D238" s="3171" t="s">
        <v>5258</v>
      </c>
      <c r="E238" s="3170" t="s">
        <v>5259</v>
      </c>
      <c r="F238" s="3177" t="s">
        <v>4789</v>
      </c>
      <c r="G238" s="3169">
        <v>-1340</v>
      </c>
      <c r="H238" s="3172">
        <v>37.39</v>
      </c>
      <c r="I238" s="3173">
        <v>600000.32120000001</v>
      </c>
      <c r="J238" s="3174" t="s">
        <v>3447</v>
      </c>
      <c r="K238" s="3161"/>
      <c r="M238" s="3161"/>
    </row>
    <row r="239" spans="1:13" ht="16.5">
      <c r="A239" s="3168">
        <v>237</v>
      </c>
      <c r="B239" s="3169" t="s">
        <v>4786</v>
      </c>
      <c r="C239" s="3170" t="s">
        <v>4786</v>
      </c>
      <c r="D239" s="3171" t="s">
        <v>5260</v>
      </c>
      <c r="E239" s="3170" t="s">
        <v>5261</v>
      </c>
      <c r="F239" s="3177" t="s">
        <v>4789</v>
      </c>
      <c r="G239" s="3169">
        <v>-1341</v>
      </c>
      <c r="H239" s="3172">
        <v>37.39</v>
      </c>
      <c r="I239" s="3173">
        <v>600000.32120000001</v>
      </c>
      <c r="J239" s="3174" t="s">
        <v>3447</v>
      </c>
      <c r="K239" s="3161"/>
      <c r="M239" s="3161"/>
    </row>
    <row r="240" spans="1:13" ht="16.5">
      <c r="A240" s="3168">
        <v>238</v>
      </c>
      <c r="B240" s="3169" t="s">
        <v>4786</v>
      </c>
      <c r="C240" s="3170" t="s">
        <v>4786</v>
      </c>
      <c r="D240" s="3171" t="s">
        <v>5262</v>
      </c>
      <c r="E240" s="3170" t="s">
        <v>5263</v>
      </c>
      <c r="F240" s="3177" t="s">
        <v>4789</v>
      </c>
      <c r="G240" s="3169">
        <v>-1342</v>
      </c>
      <c r="H240" s="3172">
        <v>37.39</v>
      </c>
      <c r="I240" s="3173">
        <v>600000.32120000001</v>
      </c>
      <c r="J240" s="3174" t="s">
        <v>3447</v>
      </c>
      <c r="K240" s="3161"/>
      <c r="M240" s="3161"/>
    </row>
    <row r="241" spans="1:13" ht="16.5">
      <c r="A241" s="3168">
        <v>239</v>
      </c>
      <c r="B241" s="3169" t="s">
        <v>4786</v>
      </c>
      <c r="C241" s="3170" t="s">
        <v>4786</v>
      </c>
      <c r="D241" s="3171" t="s">
        <v>5264</v>
      </c>
      <c r="E241" s="3170" t="s">
        <v>5265</v>
      </c>
      <c r="F241" s="3177" t="s">
        <v>4789</v>
      </c>
      <c r="G241" s="3169">
        <v>-1343</v>
      </c>
      <c r="H241" s="3172">
        <v>37.39</v>
      </c>
      <c r="I241" s="3173">
        <v>600000.32120000001</v>
      </c>
      <c r="J241" s="3174" t="s">
        <v>3447</v>
      </c>
      <c r="K241" s="3161"/>
      <c r="M241" s="3161"/>
    </row>
    <row r="242" spans="1:13" ht="16.5">
      <c r="A242" s="3168">
        <v>240</v>
      </c>
      <c r="B242" s="3169" t="s">
        <v>4786</v>
      </c>
      <c r="C242" s="3170" t="s">
        <v>4786</v>
      </c>
      <c r="D242" s="3171" t="s">
        <v>5266</v>
      </c>
      <c r="E242" s="3170" t="s">
        <v>5267</v>
      </c>
      <c r="F242" s="3177" t="s">
        <v>4789</v>
      </c>
      <c r="G242" s="3169">
        <v>-1344</v>
      </c>
      <c r="H242" s="3172">
        <v>37.39</v>
      </c>
      <c r="I242" s="3173">
        <v>600000.32120000001</v>
      </c>
      <c r="J242" s="3174" t="s">
        <v>3447</v>
      </c>
      <c r="K242" s="3161"/>
      <c r="M242" s="3161"/>
    </row>
    <row r="243" spans="1:13" ht="16.5">
      <c r="A243" s="3168">
        <v>241</v>
      </c>
      <c r="B243" s="3169" t="s">
        <v>4786</v>
      </c>
      <c r="C243" s="3170" t="s">
        <v>4786</v>
      </c>
      <c r="D243" s="3171" t="s">
        <v>5268</v>
      </c>
      <c r="E243" s="3170" t="s">
        <v>5269</v>
      </c>
      <c r="F243" s="3177" t="s">
        <v>4789</v>
      </c>
      <c r="G243" s="3169">
        <v>-1345</v>
      </c>
      <c r="H243" s="3172">
        <v>37.39</v>
      </c>
      <c r="I243" s="3173">
        <v>600000.32120000001</v>
      </c>
      <c r="J243" s="3174" t="s">
        <v>3447</v>
      </c>
      <c r="K243" s="3161"/>
      <c r="M243" s="3161"/>
    </row>
    <row r="244" spans="1:13" ht="16.5">
      <c r="A244" s="3168">
        <v>242</v>
      </c>
      <c r="B244" s="3169" t="s">
        <v>4786</v>
      </c>
      <c r="C244" s="3170" t="s">
        <v>4786</v>
      </c>
      <c r="D244" s="3171" t="s">
        <v>5270</v>
      </c>
      <c r="E244" s="3170" t="s">
        <v>5271</v>
      </c>
      <c r="F244" s="3177" t="s">
        <v>4789</v>
      </c>
      <c r="G244" s="3169">
        <v>-1346</v>
      </c>
      <c r="H244" s="3172">
        <v>37.39</v>
      </c>
      <c r="I244" s="3173">
        <v>600000.32120000001</v>
      </c>
      <c r="J244" s="3174" t="s">
        <v>3447</v>
      </c>
      <c r="K244" s="3161"/>
      <c r="M244" s="3161"/>
    </row>
    <row r="245" spans="1:13" ht="16.5">
      <c r="A245" s="3168">
        <v>243</v>
      </c>
      <c r="B245" s="3169" t="s">
        <v>4786</v>
      </c>
      <c r="C245" s="3170" t="s">
        <v>4786</v>
      </c>
      <c r="D245" s="3171" t="s">
        <v>5272</v>
      </c>
      <c r="E245" s="3170" t="s">
        <v>5273</v>
      </c>
      <c r="F245" s="3177" t="s">
        <v>4789</v>
      </c>
      <c r="G245" s="3169">
        <v>-1347</v>
      </c>
      <c r="H245" s="3172">
        <v>37.39</v>
      </c>
      <c r="I245" s="3173">
        <v>600000.32120000001</v>
      </c>
      <c r="J245" s="3174" t="s">
        <v>3447</v>
      </c>
      <c r="K245" s="3161"/>
      <c r="M245" s="3161"/>
    </row>
    <row r="246" spans="1:13" ht="16.5">
      <c r="A246" s="3168">
        <v>244</v>
      </c>
      <c r="B246" s="3169" t="s">
        <v>4786</v>
      </c>
      <c r="C246" s="3170" t="s">
        <v>4786</v>
      </c>
      <c r="D246" s="3171" t="s">
        <v>5274</v>
      </c>
      <c r="E246" s="3170" t="s">
        <v>5275</v>
      </c>
      <c r="F246" s="3177" t="s">
        <v>4789</v>
      </c>
      <c r="G246" s="3169">
        <v>-1348</v>
      </c>
      <c r="H246" s="3172">
        <v>37.39</v>
      </c>
      <c r="I246" s="3173">
        <v>600000.32120000001</v>
      </c>
      <c r="J246" s="3174" t="s">
        <v>3447</v>
      </c>
      <c r="K246" s="3161"/>
      <c r="M246" s="3161"/>
    </row>
    <row r="247" spans="1:13" ht="16.5">
      <c r="A247" s="3168">
        <v>245</v>
      </c>
      <c r="B247" s="3169" t="s">
        <v>4786</v>
      </c>
      <c r="C247" s="3170" t="s">
        <v>4786</v>
      </c>
      <c r="D247" s="3171" t="s">
        <v>5276</v>
      </c>
      <c r="E247" s="3170" t="s">
        <v>5277</v>
      </c>
      <c r="F247" s="3177" t="s">
        <v>4789</v>
      </c>
      <c r="G247" s="3169">
        <v>-1349</v>
      </c>
      <c r="H247" s="3172">
        <v>37.39</v>
      </c>
      <c r="I247" s="3173">
        <v>600000.32120000001</v>
      </c>
      <c r="J247" s="3174" t="s">
        <v>3447</v>
      </c>
      <c r="K247" s="3161"/>
      <c r="M247" s="3161"/>
    </row>
    <row r="248" spans="1:13" ht="16.5">
      <c r="A248" s="3168">
        <v>246</v>
      </c>
      <c r="B248" s="3169" t="s">
        <v>4786</v>
      </c>
      <c r="C248" s="3170" t="s">
        <v>4786</v>
      </c>
      <c r="D248" s="3171" t="s">
        <v>5278</v>
      </c>
      <c r="E248" s="3170" t="s">
        <v>5279</v>
      </c>
      <c r="F248" s="3177" t="s">
        <v>4789</v>
      </c>
      <c r="G248" s="3169">
        <v>-1350</v>
      </c>
      <c r="H248" s="3172">
        <v>37.39</v>
      </c>
      <c r="I248" s="3173">
        <v>600000.32120000001</v>
      </c>
      <c r="J248" s="3174" t="s">
        <v>3447</v>
      </c>
      <c r="K248" s="3161"/>
      <c r="M248" s="3161"/>
    </row>
    <row r="249" spans="1:13" ht="16.5">
      <c r="A249" s="3168">
        <v>247</v>
      </c>
      <c r="B249" s="3169" t="s">
        <v>4786</v>
      </c>
      <c r="C249" s="3170" t="s">
        <v>4786</v>
      </c>
      <c r="D249" s="3171" t="s">
        <v>5280</v>
      </c>
      <c r="E249" s="3170" t="s">
        <v>5281</v>
      </c>
      <c r="F249" s="3177" t="s">
        <v>4789</v>
      </c>
      <c r="G249" s="3169">
        <v>-1351</v>
      </c>
      <c r="H249" s="3172">
        <v>37.39</v>
      </c>
      <c r="I249" s="3173">
        <v>600000.32120000001</v>
      </c>
      <c r="J249" s="3174" t="s">
        <v>3447</v>
      </c>
      <c r="K249" s="3161"/>
      <c r="M249" s="3161"/>
    </row>
    <row r="250" spans="1:13" ht="16.5">
      <c r="A250" s="3168">
        <v>248</v>
      </c>
      <c r="B250" s="3169" t="s">
        <v>4786</v>
      </c>
      <c r="C250" s="3170" t="s">
        <v>4786</v>
      </c>
      <c r="D250" s="3171" t="s">
        <v>5282</v>
      </c>
      <c r="E250" s="3170" t="s">
        <v>5283</v>
      </c>
      <c r="F250" s="3177" t="s">
        <v>4789</v>
      </c>
      <c r="G250" s="3169">
        <v>-1352</v>
      </c>
      <c r="H250" s="3172">
        <v>37.39</v>
      </c>
      <c r="I250" s="3173">
        <v>600000.32120000001</v>
      </c>
      <c r="J250" s="3174" t="s">
        <v>3447</v>
      </c>
      <c r="K250" s="3161"/>
      <c r="M250" s="3161"/>
    </row>
    <row r="251" spans="1:13" ht="16.5">
      <c r="A251" s="3168">
        <v>249</v>
      </c>
      <c r="B251" s="3169" t="s">
        <v>4786</v>
      </c>
      <c r="C251" s="3170" t="s">
        <v>4786</v>
      </c>
      <c r="D251" s="3171" t="s">
        <v>5284</v>
      </c>
      <c r="E251" s="3170" t="s">
        <v>5285</v>
      </c>
      <c r="F251" s="3177" t="s">
        <v>4789</v>
      </c>
      <c r="G251" s="3169">
        <v>-1353</v>
      </c>
      <c r="H251" s="3172">
        <v>37.39</v>
      </c>
      <c r="I251" s="3173">
        <v>600000.32120000001</v>
      </c>
      <c r="J251" s="3174" t="s">
        <v>3447</v>
      </c>
      <c r="K251" s="3161"/>
      <c r="M251" s="3161"/>
    </row>
    <row r="252" spans="1:13" ht="16.5">
      <c r="A252" s="3168">
        <v>250</v>
      </c>
      <c r="B252" s="3169" t="s">
        <v>4786</v>
      </c>
      <c r="C252" s="3170" t="s">
        <v>4786</v>
      </c>
      <c r="D252" s="3171" t="s">
        <v>5286</v>
      </c>
      <c r="E252" s="3170" t="s">
        <v>5287</v>
      </c>
      <c r="F252" s="3177" t="s">
        <v>4789</v>
      </c>
      <c r="G252" s="3169">
        <v>-1354</v>
      </c>
      <c r="H252" s="3172">
        <v>37.39</v>
      </c>
      <c r="I252" s="3173">
        <v>600000.32120000001</v>
      </c>
      <c r="J252" s="3174" t="s">
        <v>3447</v>
      </c>
      <c r="K252" s="3161"/>
      <c r="M252" s="3161"/>
    </row>
    <row r="253" spans="1:13" ht="16.5">
      <c r="A253" s="3168">
        <v>251</v>
      </c>
      <c r="B253" s="3169" t="s">
        <v>4786</v>
      </c>
      <c r="C253" s="3170" t="s">
        <v>4786</v>
      </c>
      <c r="D253" s="3171" t="s">
        <v>5288</v>
      </c>
      <c r="E253" s="3170" t="s">
        <v>5289</v>
      </c>
      <c r="F253" s="3177" t="s">
        <v>4789</v>
      </c>
      <c r="G253" s="3169">
        <v>-1355</v>
      </c>
      <c r="H253" s="3172">
        <v>37.39</v>
      </c>
      <c r="I253" s="3173">
        <v>600000.32120000001</v>
      </c>
      <c r="J253" s="3174" t="s">
        <v>3447</v>
      </c>
      <c r="K253" s="3161"/>
      <c r="M253" s="3161"/>
    </row>
    <row r="254" spans="1:13" ht="16.5">
      <c r="A254" s="3168">
        <v>252</v>
      </c>
      <c r="B254" s="3169" t="s">
        <v>4786</v>
      </c>
      <c r="C254" s="3170" t="s">
        <v>4786</v>
      </c>
      <c r="D254" s="3171" t="s">
        <v>5290</v>
      </c>
      <c r="E254" s="3170" t="s">
        <v>5291</v>
      </c>
      <c r="F254" s="3177" t="s">
        <v>4789</v>
      </c>
      <c r="G254" s="3169">
        <v>-1361</v>
      </c>
      <c r="H254" s="3172">
        <v>37.39</v>
      </c>
      <c r="I254" s="3173">
        <v>600000.32120000001</v>
      </c>
      <c r="J254" s="3174" t="s">
        <v>3447</v>
      </c>
      <c r="K254" s="3161"/>
      <c r="M254" s="3161"/>
    </row>
    <row r="255" spans="1:13" ht="16.5">
      <c r="A255" s="3168">
        <v>253</v>
      </c>
      <c r="B255" s="3169" t="s">
        <v>4786</v>
      </c>
      <c r="C255" s="3170" t="s">
        <v>4786</v>
      </c>
      <c r="D255" s="3171" t="s">
        <v>5292</v>
      </c>
      <c r="E255" s="3170" t="s">
        <v>5293</v>
      </c>
      <c r="F255" s="3177" t="s">
        <v>4789</v>
      </c>
      <c r="G255" s="3169">
        <v>-1362</v>
      </c>
      <c r="H255" s="3172">
        <v>37.39</v>
      </c>
      <c r="I255" s="3173">
        <v>600000.32120000001</v>
      </c>
      <c r="J255" s="3174" t="s">
        <v>3447</v>
      </c>
      <c r="K255" s="3161"/>
      <c r="M255" s="3161"/>
    </row>
    <row r="256" spans="1:13" ht="16.5">
      <c r="A256" s="3168">
        <v>254</v>
      </c>
      <c r="B256" s="3169" t="s">
        <v>4786</v>
      </c>
      <c r="C256" s="3170" t="s">
        <v>4786</v>
      </c>
      <c r="D256" s="3171" t="s">
        <v>5294</v>
      </c>
      <c r="E256" s="3170" t="s">
        <v>5295</v>
      </c>
      <c r="F256" s="3177" t="s">
        <v>4789</v>
      </c>
      <c r="G256" s="3169">
        <v>-1378</v>
      </c>
      <c r="H256" s="3172">
        <v>37.39</v>
      </c>
      <c r="I256" s="3173">
        <v>600000.32120000001</v>
      </c>
      <c r="J256" s="3174" t="s">
        <v>3447</v>
      </c>
      <c r="K256" s="3161"/>
      <c r="M256" s="3161"/>
    </row>
    <row r="257" spans="1:13" ht="16.5">
      <c r="A257" s="3168">
        <v>255</v>
      </c>
      <c r="B257" s="3169" t="s">
        <v>4786</v>
      </c>
      <c r="C257" s="3170" t="s">
        <v>4786</v>
      </c>
      <c r="D257" s="3171" t="s">
        <v>5296</v>
      </c>
      <c r="E257" s="3170" t="s">
        <v>5297</v>
      </c>
      <c r="F257" s="3177" t="s">
        <v>4789</v>
      </c>
      <c r="G257" s="3169">
        <v>-1379</v>
      </c>
      <c r="H257" s="3172">
        <v>37.39</v>
      </c>
      <c r="I257" s="3173">
        <v>600000.32120000001</v>
      </c>
      <c r="J257" s="3174" t="s">
        <v>3447</v>
      </c>
      <c r="K257" s="3161"/>
      <c r="M257" s="3161"/>
    </row>
    <row r="258" spans="1:13" ht="16.5">
      <c r="A258" s="3168">
        <v>256</v>
      </c>
      <c r="B258" s="3169" t="s">
        <v>4786</v>
      </c>
      <c r="C258" s="3170" t="s">
        <v>4786</v>
      </c>
      <c r="D258" s="3171" t="s">
        <v>5298</v>
      </c>
      <c r="E258" s="3170" t="s">
        <v>5299</v>
      </c>
      <c r="F258" s="3177" t="s">
        <v>4789</v>
      </c>
      <c r="G258" s="3169">
        <v>-1380</v>
      </c>
      <c r="H258" s="3172">
        <v>37.39</v>
      </c>
      <c r="I258" s="3173">
        <v>600000.32120000001</v>
      </c>
      <c r="J258" s="3174" t="s">
        <v>3447</v>
      </c>
      <c r="K258" s="3161"/>
      <c r="M258" s="3161"/>
    </row>
    <row r="259" spans="1:13" ht="16.5">
      <c r="A259" s="3168">
        <v>257</v>
      </c>
      <c r="B259" s="3169" t="s">
        <v>4786</v>
      </c>
      <c r="C259" s="3170" t="s">
        <v>4786</v>
      </c>
      <c r="D259" s="3171" t="s">
        <v>5300</v>
      </c>
      <c r="E259" s="3170" t="s">
        <v>5301</v>
      </c>
      <c r="F259" s="3177" t="s">
        <v>4789</v>
      </c>
      <c r="G259" s="3169">
        <v>-1381</v>
      </c>
      <c r="H259" s="3172">
        <v>37.39</v>
      </c>
      <c r="I259" s="3173">
        <v>600000.32120000001</v>
      </c>
      <c r="J259" s="3174" t="s">
        <v>3447</v>
      </c>
      <c r="K259" s="3161"/>
      <c r="M259" s="3161"/>
    </row>
    <row r="260" spans="1:13" ht="16.5">
      <c r="A260" s="3168">
        <v>258</v>
      </c>
      <c r="B260" s="3169" t="s">
        <v>4786</v>
      </c>
      <c r="C260" s="3170" t="s">
        <v>4786</v>
      </c>
      <c r="D260" s="3171" t="s">
        <v>5302</v>
      </c>
      <c r="E260" s="3170" t="s">
        <v>5303</v>
      </c>
      <c r="F260" s="3177" t="s">
        <v>4789</v>
      </c>
      <c r="G260" s="3169">
        <v>-1382</v>
      </c>
      <c r="H260" s="3172">
        <v>37.39</v>
      </c>
      <c r="I260" s="3173">
        <v>600000.32120000001</v>
      </c>
      <c r="J260" s="3174" t="s">
        <v>3447</v>
      </c>
      <c r="K260" s="3161"/>
      <c r="M260" s="3161"/>
    </row>
    <row r="261" spans="1:13" ht="16.5">
      <c r="A261" s="3168">
        <v>259</v>
      </c>
      <c r="B261" s="3169" t="s">
        <v>4786</v>
      </c>
      <c r="C261" s="3170" t="s">
        <v>4786</v>
      </c>
      <c r="D261" s="3171" t="s">
        <v>5304</v>
      </c>
      <c r="E261" s="3170" t="s">
        <v>5305</v>
      </c>
      <c r="F261" s="3177" t="s">
        <v>4789</v>
      </c>
      <c r="G261" s="3169">
        <v>-1385</v>
      </c>
      <c r="H261" s="3172">
        <v>37.39</v>
      </c>
      <c r="I261" s="3173">
        <v>600000.32120000001</v>
      </c>
      <c r="J261" s="3174" t="s">
        <v>3447</v>
      </c>
      <c r="K261" s="3161"/>
      <c r="M261" s="3161"/>
    </row>
    <row r="262" spans="1:13" ht="16.5">
      <c r="A262" s="3168">
        <v>260</v>
      </c>
      <c r="B262" s="3169" t="s">
        <v>4786</v>
      </c>
      <c r="C262" s="3170" t="s">
        <v>4786</v>
      </c>
      <c r="D262" s="3171" t="s">
        <v>5306</v>
      </c>
      <c r="E262" s="3170" t="s">
        <v>5307</v>
      </c>
      <c r="F262" s="3177" t="s">
        <v>4789</v>
      </c>
      <c r="G262" s="3169">
        <v>-1390</v>
      </c>
      <c r="H262" s="3172">
        <v>37.39</v>
      </c>
      <c r="I262" s="3173">
        <v>600000.32120000001</v>
      </c>
      <c r="J262" s="3174" t="s">
        <v>3447</v>
      </c>
      <c r="K262" s="3161"/>
      <c r="M262" s="3161"/>
    </row>
    <row r="263" spans="1:13" ht="16.5">
      <c r="A263" s="3168">
        <v>261</v>
      </c>
      <c r="B263" s="3169" t="s">
        <v>4786</v>
      </c>
      <c r="C263" s="3170" t="s">
        <v>4786</v>
      </c>
      <c r="D263" s="3171" t="s">
        <v>5308</v>
      </c>
      <c r="E263" s="3170" t="s">
        <v>5309</v>
      </c>
      <c r="F263" s="3177" t="s">
        <v>4789</v>
      </c>
      <c r="G263" s="3169">
        <v>-1391</v>
      </c>
      <c r="H263" s="3172">
        <v>37.39</v>
      </c>
      <c r="I263" s="3173">
        <v>600000.32120000001</v>
      </c>
      <c r="J263" s="3174" t="s">
        <v>3447</v>
      </c>
      <c r="K263" s="3161"/>
      <c r="M263" s="3161"/>
    </row>
    <row r="264" spans="1:13" ht="16.5">
      <c r="A264" s="3168">
        <v>262</v>
      </c>
      <c r="B264" s="3169" t="s">
        <v>4786</v>
      </c>
      <c r="C264" s="3170" t="s">
        <v>4786</v>
      </c>
      <c r="D264" s="3171" t="s">
        <v>5310</v>
      </c>
      <c r="E264" s="3170" t="s">
        <v>5311</v>
      </c>
      <c r="F264" s="3177" t="s">
        <v>4789</v>
      </c>
      <c r="G264" s="3169">
        <v>-1394</v>
      </c>
      <c r="H264" s="3172">
        <v>37.39</v>
      </c>
      <c r="I264" s="3173">
        <v>600000.32120000001</v>
      </c>
      <c r="J264" s="3174" t="s">
        <v>3447</v>
      </c>
      <c r="K264" s="3161"/>
      <c r="M264" s="3161"/>
    </row>
    <row r="265" spans="1:13" ht="16.5">
      <c r="A265" s="3168">
        <v>263</v>
      </c>
      <c r="B265" s="3169" t="s">
        <v>4786</v>
      </c>
      <c r="C265" s="3170" t="s">
        <v>4786</v>
      </c>
      <c r="D265" s="3171" t="s">
        <v>5312</v>
      </c>
      <c r="E265" s="3170" t="s">
        <v>5313</v>
      </c>
      <c r="F265" s="3177" t="s">
        <v>4789</v>
      </c>
      <c r="G265" s="3169">
        <v>-1395</v>
      </c>
      <c r="H265" s="3172">
        <v>37.39</v>
      </c>
      <c r="I265" s="3173">
        <v>600000.32120000001</v>
      </c>
      <c r="J265" s="3174" t="s">
        <v>3447</v>
      </c>
      <c r="K265" s="3161"/>
      <c r="M265" s="3161"/>
    </row>
    <row r="266" spans="1:13" ht="16.5">
      <c r="A266" s="3168">
        <v>264</v>
      </c>
      <c r="B266" s="3169" t="s">
        <v>4786</v>
      </c>
      <c r="C266" s="3170" t="s">
        <v>4786</v>
      </c>
      <c r="D266" s="3171" t="s">
        <v>5314</v>
      </c>
      <c r="E266" s="3170" t="s">
        <v>5315</v>
      </c>
      <c r="F266" s="3177" t="s">
        <v>4789</v>
      </c>
      <c r="G266" s="3169">
        <v>-1396</v>
      </c>
      <c r="H266" s="3172">
        <v>37.39</v>
      </c>
      <c r="I266" s="3173">
        <v>600000.32120000001</v>
      </c>
      <c r="J266" s="3174" t="s">
        <v>3447</v>
      </c>
      <c r="K266" s="3161"/>
      <c r="M266" s="3161"/>
    </row>
    <row r="267" spans="1:13" ht="16.5">
      <c r="A267" s="3168">
        <v>265</v>
      </c>
      <c r="B267" s="3169" t="s">
        <v>4786</v>
      </c>
      <c r="C267" s="3170" t="s">
        <v>4786</v>
      </c>
      <c r="D267" s="3171" t="s">
        <v>5316</v>
      </c>
      <c r="E267" s="3170" t="s">
        <v>5317</v>
      </c>
      <c r="F267" s="3177" t="s">
        <v>4789</v>
      </c>
      <c r="G267" s="3169">
        <v>-1397</v>
      </c>
      <c r="H267" s="3172">
        <v>37.39</v>
      </c>
      <c r="I267" s="3173">
        <v>600000.32120000001</v>
      </c>
      <c r="J267" s="3174" t="s">
        <v>3447</v>
      </c>
      <c r="K267" s="3161"/>
      <c r="M267" s="3161"/>
    </row>
    <row r="268" spans="1:13" ht="16.5">
      <c r="A268" s="3168">
        <v>266</v>
      </c>
      <c r="B268" s="3169" t="s">
        <v>4786</v>
      </c>
      <c r="C268" s="3170" t="s">
        <v>4786</v>
      </c>
      <c r="D268" s="3171" t="s">
        <v>5318</v>
      </c>
      <c r="E268" s="3170" t="s">
        <v>5319</v>
      </c>
      <c r="F268" s="3177" t="s">
        <v>4789</v>
      </c>
      <c r="G268" s="3169">
        <v>-1398</v>
      </c>
      <c r="H268" s="3172">
        <v>37.39</v>
      </c>
      <c r="I268" s="3173">
        <v>600000.32120000001</v>
      </c>
      <c r="J268" s="3174" t="s">
        <v>3447</v>
      </c>
      <c r="K268" s="3161"/>
      <c r="M268" s="3161"/>
    </row>
    <row r="269" spans="1:13" ht="16.5">
      <c r="A269" s="3168">
        <v>267</v>
      </c>
      <c r="B269" s="3169" t="s">
        <v>4786</v>
      </c>
      <c r="C269" s="3170" t="s">
        <v>4786</v>
      </c>
      <c r="D269" s="3171" t="s">
        <v>5320</v>
      </c>
      <c r="E269" s="3170" t="s">
        <v>5321</v>
      </c>
      <c r="F269" s="3177" t="s">
        <v>4789</v>
      </c>
      <c r="G269" s="3169">
        <v>-1399</v>
      </c>
      <c r="H269" s="3172">
        <v>37.39</v>
      </c>
      <c r="I269" s="3173">
        <v>600000.32120000001</v>
      </c>
      <c r="J269" s="3174" t="s">
        <v>3447</v>
      </c>
      <c r="K269" s="3161"/>
      <c r="M269" s="3161"/>
    </row>
    <row r="270" spans="1:13" ht="16.5">
      <c r="A270" s="3168">
        <v>268</v>
      </c>
      <c r="B270" s="3169" t="s">
        <v>4786</v>
      </c>
      <c r="C270" s="3170" t="s">
        <v>4786</v>
      </c>
      <c r="D270" s="3171" t="s">
        <v>5322</v>
      </c>
      <c r="E270" s="3170" t="s">
        <v>5323</v>
      </c>
      <c r="F270" s="3177" t="s">
        <v>4789</v>
      </c>
      <c r="G270" s="3169">
        <v>-1401</v>
      </c>
      <c r="H270" s="3172">
        <v>37.39</v>
      </c>
      <c r="I270" s="3173">
        <v>600000.32120000001</v>
      </c>
      <c r="J270" s="3174" t="s">
        <v>3447</v>
      </c>
      <c r="K270" s="3161"/>
      <c r="M270" s="3161"/>
    </row>
    <row r="271" spans="1:13" ht="16.5">
      <c r="A271" s="3168">
        <v>269</v>
      </c>
      <c r="B271" s="3169" t="s">
        <v>4786</v>
      </c>
      <c r="C271" s="3170" t="s">
        <v>4786</v>
      </c>
      <c r="D271" s="3171" t="s">
        <v>5324</v>
      </c>
      <c r="E271" s="3170" t="s">
        <v>5325</v>
      </c>
      <c r="F271" s="3177" t="s">
        <v>4789</v>
      </c>
      <c r="G271" s="3169">
        <v>-1402</v>
      </c>
      <c r="H271" s="3172">
        <v>37.39</v>
      </c>
      <c r="I271" s="3173">
        <v>600000.32120000001</v>
      </c>
      <c r="J271" s="3174" t="s">
        <v>3447</v>
      </c>
      <c r="K271" s="3161"/>
      <c r="M271" s="3161"/>
    </row>
    <row r="272" spans="1:13" ht="16.5">
      <c r="A272" s="3168">
        <v>270</v>
      </c>
      <c r="B272" s="3169" t="s">
        <v>4786</v>
      </c>
      <c r="C272" s="3170" t="s">
        <v>4786</v>
      </c>
      <c r="D272" s="3171" t="s">
        <v>5326</v>
      </c>
      <c r="E272" s="3170" t="s">
        <v>5327</v>
      </c>
      <c r="F272" s="3177" t="s">
        <v>4789</v>
      </c>
      <c r="G272" s="3169">
        <v>-1403</v>
      </c>
      <c r="H272" s="3172">
        <v>37.39</v>
      </c>
      <c r="I272" s="3173">
        <v>600000.32120000001</v>
      </c>
      <c r="J272" s="3174" t="s">
        <v>3447</v>
      </c>
      <c r="K272" s="3161"/>
      <c r="M272" s="3161"/>
    </row>
    <row r="273" spans="1:13" ht="16.5">
      <c r="A273" s="3168">
        <v>271</v>
      </c>
      <c r="B273" s="3169" t="s">
        <v>4786</v>
      </c>
      <c r="C273" s="3170" t="s">
        <v>4786</v>
      </c>
      <c r="D273" s="3171" t="s">
        <v>5328</v>
      </c>
      <c r="E273" s="3170" t="s">
        <v>5329</v>
      </c>
      <c r="F273" s="3177" t="s">
        <v>4789</v>
      </c>
      <c r="G273" s="3169">
        <v>-1404</v>
      </c>
      <c r="H273" s="3172">
        <v>37.39</v>
      </c>
      <c r="I273" s="3173">
        <v>600000.32120000001</v>
      </c>
      <c r="J273" s="3174" t="s">
        <v>3447</v>
      </c>
      <c r="K273" s="3161"/>
      <c r="M273" s="3161"/>
    </row>
    <row r="274" spans="1:13" ht="16.5">
      <c r="A274" s="3168">
        <v>272</v>
      </c>
      <c r="B274" s="3169" t="s">
        <v>4786</v>
      </c>
      <c r="C274" s="3170" t="s">
        <v>4786</v>
      </c>
      <c r="D274" s="3171" t="s">
        <v>5330</v>
      </c>
      <c r="E274" s="3170" t="s">
        <v>5331</v>
      </c>
      <c r="F274" s="3177" t="s">
        <v>4789</v>
      </c>
      <c r="G274" s="3169">
        <v>-1405</v>
      </c>
      <c r="H274" s="3172">
        <v>37.39</v>
      </c>
      <c r="I274" s="3173">
        <v>600000.32120000001</v>
      </c>
      <c r="J274" s="3174" t="s">
        <v>3447</v>
      </c>
      <c r="K274" s="3161"/>
      <c r="M274" s="3161"/>
    </row>
    <row r="275" spans="1:13" ht="16.5">
      <c r="A275" s="3168">
        <v>273</v>
      </c>
      <c r="B275" s="3169" t="s">
        <v>4786</v>
      </c>
      <c r="C275" s="3170" t="s">
        <v>4786</v>
      </c>
      <c r="D275" s="3171" t="s">
        <v>5332</v>
      </c>
      <c r="E275" s="3170" t="s">
        <v>5333</v>
      </c>
      <c r="F275" s="3177" t="s">
        <v>4789</v>
      </c>
      <c r="G275" s="3169">
        <v>-1406</v>
      </c>
      <c r="H275" s="3172">
        <v>37.39</v>
      </c>
      <c r="I275" s="3173">
        <v>600000.32120000001</v>
      </c>
      <c r="J275" s="3174" t="s">
        <v>3447</v>
      </c>
      <c r="K275" s="3161"/>
      <c r="M275" s="3161"/>
    </row>
    <row r="276" spans="1:13" ht="16.5">
      <c r="A276" s="3168">
        <v>274</v>
      </c>
      <c r="B276" s="3169" t="s">
        <v>4786</v>
      </c>
      <c r="C276" s="3170" t="s">
        <v>4786</v>
      </c>
      <c r="D276" s="3171" t="s">
        <v>5334</v>
      </c>
      <c r="E276" s="3170" t="s">
        <v>5335</v>
      </c>
      <c r="F276" s="3177" t="s">
        <v>4789</v>
      </c>
      <c r="G276" s="3169">
        <v>-1407</v>
      </c>
      <c r="H276" s="3172">
        <v>37.39</v>
      </c>
      <c r="I276" s="3173">
        <v>600000.32120000001</v>
      </c>
      <c r="J276" s="3174" t="s">
        <v>3447</v>
      </c>
      <c r="K276" s="3161"/>
      <c r="M276" s="3161"/>
    </row>
    <row r="277" spans="1:13" ht="16.5">
      <c r="A277" s="3168">
        <v>275</v>
      </c>
      <c r="B277" s="3169" t="s">
        <v>4786</v>
      </c>
      <c r="C277" s="3170" t="s">
        <v>4786</v>
      </c>
      <c r="D277" s="3171" t="s">
        <v>5336</v>
      </c>
      <c r="E277" s="3170" t="s">
        <v>5337</v>
      </c>
      <c r="F277" s="3177" t="s">
        <v>4789</v>
      </c>
      <c r="G277" s="3169">
        <v>-1408</v>
      </c>
      <c r="H277" s="3172">
        <v>37.39</v>
      </c>
      <c r="I277" s="3173">
        <v>600000.32120000001</v>
      </c>
      <c r="J277" s="3174" t="s">
        <v>3447</v>
      </c>
      <c r="K277" s="3161"/>
      <c r="M277" s="3161"/>
    </row>
    <row r="278" spans="1:13" ht="16.5">
      <c r="A278" s="3168">
        <v>276</v>
      </c>
      <c r="B278" s="3169" t="s">
        <v>4786</v>
      </c>
      <c r="C278" s="3170" t="s">
        <v>4786</v>
      </c>
      <c r="D278" s="3171" t="s">
        <v>5338</v>
      </c>
      <c r="E278" s="3170" t="s">
        <v>5339</v>
      </c>
      <c r="F278" s="3177" t="s">
        <v>4789</v>
      </c>
      <c r="G278" s="3169">
        <v>-1409</v>
      </c>
      <c r="H278" s="3172">
        <v>37.39</v>
      </c>
      <c r="I278" s="3173">
        <v>600000.32120000001</v>
      </c>
      <c r="J278" s="3174" t="s">
        <v>3447</v>
      </c>
      <c r="K278" s="3161"/>
      <c r="M278" s="3161"/>
    </row>
    <row r="279" spans="1:13" ht="16.5">
      <c r="A279" s="3168">
        <v>277</v>
      </c>
      <c r="B279" s="3169" t="s">
        <v>4786</v>
      </c>
      <c r="C279" s="3170" t="s">
        <v>4786</v>
      </c>
      <c r="D279" s="3171" t="s">
        <v>5340</v>
      </c>
      <c r="E279" s="3170" t="s">
        <v>5341</v>
      </c>
      <c r="F279" s="3177" t="s">
        <v>4789</v>
      </c>
      <c r="G279" s="3169">
        <v>-1413</v>
      </c>
      <c r="H279" s="3172">
        <v>37.39</v>
      </c>
      <c r="I279" s="3173">
        <v>600000.32120000001</v>
      </c>
      <c r="J279" s="3174" t="s">
        <v>3447</v>
      </c>
      <c r="K279" s="3161"/>
      <c r="M279" s="3161"/>
    </row>
    <row r="280" spans="1:13" ht="16.5">
      <c r="A280" s="3168">
        <v>278</v>
      </c>
      <c r="B280" s="3169" t="s">
        <v>4786</v>
      </c>
      <c r="C280" s="3170" t="s">
        <v>4786</v>
      </c>
      <c r="D280" s="3171" t="s">
        <v>5342</v>
      </c>
      <c r="E280" s="3170" t="s">
        <v>5343</v>
      </c>
      <c r="F280" s="3177" t="s">
        <v>4789</v>
      </c>
      <c r="G280" s="3169">
        <v>-1414</v>
      </c>
      <c r="H280" s="3172">
        <v>37.39</v>
      </c>
      <c r="I280" s="3173">
        <v>600000.32120000001</v>
      </c>
      <c r="J280" s="3174" t="s">
        <v>3447</v>
      </c>
      <c r="K280" s="3161"/>
      <c r="M280" s="3161"/>
    </row>
    <row r="281" spans="1:13" ht="16.5">
      <c r="A281" s="3168">
        <v>279</v>
      </c>
      <c r="B281" s="3169" t="s">
        <v>4786</v>
      </c>
      <c r="C281" s="3170" t="s">
        <v>4786</v>
      </c>
      <c r="D281" s="3171" t="s">
        <v>5344</v>
      </c>
      <c r="E281" s="3170" t="s">
        <v>5345</v>
      </c>
      <c r="F281" s="3177" t="s">
        <v>4789</v>
      </c>
      <c r="G281" s="3169">
        <v>-1415</v>
      </c>
      <c r="H281" s="3172">
        <v>37.39</v>
      </c>
      <c r="I281" s="3173">
        <v>600000.32120000001</v>
      </c>
      <c r="J281" s="3174" t="s">
        <v>3447</v>
      </c>
      <c r="K281" s="3161"/>
      <c r="M281" s="3161"/>
    </row>
    <row r="282" spans="1:13" ht="16.5">
      <c r="A282" s="3168">
        <v>280</v>
      </c>
      <c r="B282" s="3169" t="s">
        <v>4786</v>
      </c>
      <c r="C282" s="3170" t="s">
        <v>4786</v>
      </c>
      <c r="D282" s="3171" t="s">
        <v>5346</v>
      </c>
      <c r="E282" s="3170" t="s">
        <v>5347</v>
      </c>
      <c r="F282" s="3177" t="s">
        <v>4789</v>
      </c>
      <c r="G282" s="3169">
        <v>-1417</v>
      </c>
      <c r="H282" s="3172">
        <v>37.39</v>
      </c>
      <c r="I282" s="3173">
        <v>600000.32120000001</v>
      </c>
      <c r="J282" s="3174" t="s">
        <v>3447</v>
      </c>
      <c r="K282" s="3161"/>
      <c r="M282" s="3161"/>
    </row>
    <row r="283" spans="1:13" ht="16.5">
      <c r="A283" s="3168">
        <v>281</v>
      </c>
      <c r="B283" s="3169" t="s">
        <v>4786</v>
      </c>
      <c r="C283" s="3170" t="s">
        <v>4786</v>
      </c>
      <c r="D283" s="3171" t="s">
        <v>5348</v>
      </c>
      <c r="E283" s="3170" t="s">
        <v>5349</v>
      </c>
      <c r="F283" s="3177" t="s">
        <v>4789</v>
      </c>
      <c r="G283" s="3169">
        <v>-1418</v>
      </c>
      <c r="H283" s="3172">
        <v>37.39</v>
      </c>
      <c r="I283" s="3173">
        <v>600000.32120000001</v>
      </c>
      <c r="J283" s="3174" t="s">
        <v>3447</v>
      </c>
      <c r="K283" s="3161"/>
      <c r="M283" s="3161"/>
    </row>
    <row r="284" spans="1:13" ht="16.5">
      <c r="A284" s="3168">
        <v>282</v>
      </c>
      <c r="B284" s="3169" t="s">
        <v>4786</v>
      </c>
      <c r="C284" s="3170" t="s">
        <v>4786</v>
      </c>
      <c r="D284" s="3171" t="s">
        <v>5350</v>
      </c>
      <c r="E284" s="3170" t="s">
        <v>5351</v>
      </c>
      <c r="F284" s="3177" t="s">
        <v>4789</v>
      </c>
      <c r="G284" s="3169">
        <v>-1419</v>
      </c>
      <c r="H284" s="3172">
        <v>37.39</v>
      </c>
      <c r="I284" s="3173">
        <v>600000.32120000001</v>
      </c>
      <c r="J284" s="3174" t="s">
        <v>3447</v>
      </c>
      <c r="K284" s="3161"/>
      <c r="M284" s="3161"/>
    </row>
    <row r="285" spans="1:13" ht="16.5">
      <c r="A285" s="3168">
        <v>283</v>
      </c>
      <c r="B285" s="3169" t="s">
        <v>4786</v>
      </c>
      <c r="C285" s="3170" t="s">
        <v>4786</v>
      </c>
      <c r="D285" s="3171" t="s">
        <v>5352</v>
      </c>
      <c r="E285" s="3170" t="s">
        <v>5353</v>
      </c>
      <c r="F285" s="3177" t="s">
        <v>4789</v>
      </c>
      <c r="G285" s="3169">
        <v>-1420</v>
      </c>
      <c r="H285" s="3172">
        <v>37.39</v>
      </c>
      <c r="I285" s="3173">
        <v>600000.32120000001</v>
      </c>
      <c r="J285" s="3174" t="s">
        <v>3447</v>
      </c>
      <c r="K285" s="3161"/>
      <c r="M285" s="3161"/>
    </row>
    <row r="286" spans="1:13" ht="16.5">
      <c r="A286" s="3168">
        <v>284</v>
      </c>
      <c r="B286" s="3169" t="s">
        <v>4786</v>
      </c>
      <c r="C286" s="3170" t="s">
        <v>4786</v>
      </c>
      <c r="D286" s="3171" t="s">
        <v>5354</v>
      </c>
      <c r="E286" s="3170" t="s">
        <v>5355</v>
      </c>
      <c r="F286" s="3177" t="s">
        <v>4789</v>
      </c>
      <c r="G286" s="3169">
        <v>-1421</v>
      </c>
      <c r="H286" s="3172">
        <v>37.39</v>
      </c>
      <c r="I286" s="3173">
        <v>600000.32120000001</v>
      </c>
      <c r="J286" s="3174" t="s">
        <v>3447</v>
      </c>
      <c r="K286" s="3161"/>
      <c r="M286" s="3161"/>
    </row>
    <row r="287" spans="1:13" ht="16.5">
      <c r="A287" s="3168">
        <v>285</v>
      </c>
      <c r="B287" s="3169" t="s">
        <v>4786</v>
      </c>
      <c r="C287" s="3170" t="s">
        <v>4786</v>
      </c>
      <c r="D287" s="3171" t="s">
        <v>5356</v>
      </c>
      <c r="E287" s="3170" t="s">
        <v>5357</v>
      </c>
      <c r="F287" s="3177" t="s">
        <v>4789</v>
      </c>
      <c r="G287" s="3169">
        <v>-1422</v>
      </c>
      <c r="H287" s="3172">
        <v>37.39</v>
      </c>
      <c r="I287" s="3173">
        <v>600000.32120000001</v>
      </c>
      <c r="J287" s="3174" t="s">
        <v>3447</v>
      </c>
      <c r="K287" s="3161"/>
      <c r="M287" s="3161"/>
    </row>
    <row r="288" spans="1:13" ht="16.5">
      <c r="A288" s="3168">
        <v>286</v>
      </c>
      <c r="B288" s="3169" t="s">
        <v>4786</v>
      </c>
      <c r="C288" s="3170" t="s">
        <v>4786</v>
      </c>
      <c r="D288" s="3171" t="s">
        <v>5358</v>
      </c>
      <c r="E288" s="3170" t="s">
        <v>5359</v>
      </c>
      <c r="F288" s="3177" t="s">
        <v>4789</v>
      </c>
      <c r="G288" s="3169">
        <v>-1423</v>
      </c>
      <c r="H288" s="3172">
        <v>37.39</v>
      </c>
      <c r="I288" s="3173">
        <v>600000.32120000001</v>
      </c>
      <c r="J288" s="3174" t="s">
        <v>3447</v>
      </c>
      <c r="K288" s="3161"/>
      <c r="M288" s="3161"/>
    </row>
    <row r="289" spans="1:13" ht="16.5">
      <c r="A289" s="3168">
        <v>287</v>
      </c>
      <c r="B289" s="3169" t="s">
        <v>4786</v>
      </c>
      <c r="C289" s="3170" t="s">
        <v>4786</v>
      </c>
      <c r="D289" s="3171" t="s">
        <v>5360</v>
      </c>
      <c r="E289" s="3170" t="s">
        <v>5361</v>
      </c>
      <c r="F289" s="3177" t="s">
        <v>4789</v>
      </c>
      <c r="G289" s="3169">
        <v>-1424</v>
      </c>
      <c r="H289" s="3172">
        <v>37.39</v>
      </c>
      <c r="I289" s="3173">
        <v>600000.32120000001</v>
      </c>
      <c r="J289" s="3174" t="s">
        <v>3447</v>
      </c>
      <c r="K289" s="3161"/>
      <c r="M289" s="3161"/>
    </row>
    <row r="290" spans="1:13" ht="16.5">
      <c r="A290" s="3168">
        <v>288</v>
      </c>
      <c r="B290" s="3169" t="s">
        <v>4786</v>
      </c>
      <c r="C290" s="3170" t="s">
        <v>4786</v>
      </c>
      <c r="D290" s="3171" t="s">
        <v>5362</v>
      </c>
      <c r="E290" s="3170" t="s">
        <v>5363</v>
      </c>
      <c r="F290" s="3177" t="s">
        <v>4789</v>
      </c>
      <c r="G290" s="3169">
        <v>-1425</v>
      </c>
      <c r="H290" s="3172">
        <v>37.39</v>
      </c>
      <c r="I290" s="3173">
        <v>600000.32120000001</v>
      </c>
      <c r="J290" s="3174" t="s">
        <v>3447</v>
      </c>
      <c r="K290" s="3161"/>
      <c r="M290" s="3161"/>
    </row>
    <row r="291" spans="1:13" ht="16.5">
      <c r="A291" s="3168">
        <v>289</v>
      </c>
      <c r="B291" s="3169" t="s">
        <v>4786</v>
      </c>
      <c r="C291" s="3170" t="s">
        <v>4786</v>
      </c>
      <c r="D291" s="3171" t="s">
        <v>5364</v>
      </c>
      <c r="E291" s="3170" t="s">
        <v>5365</v>
      </c>
      <c r="F291" s="3177" t="s">
        <v>4789</v>
      </c>
      <c r="G291" s="3169">
        <v>-1427</v>
      </c>
      <c r="H291" s="3172">
        <v>37.39</v>
      </c>
      <c r="I291" s="3173">
        <v>600000.32120000001</v>
      </c>
      <c r="J291" s="3174" t="s">
        <v>3447</v>
      </c>
      <c r="K291" s="3161"/>
      <c r="M291" s="3161"/>
    </row>
    <row r="292" spans="1:13" ht="16.5">
      <c r="A292" s="3168">
        <v>290</v>
      </c>
      <c r="B292" s="3169" t="s">
        <v>4786</v>
      </c>
      <c r="C292" s="3170" t="s">
        <v>4786</v>
      </c>
      <c r="D292" s="3171" t="s">
        <v>5366</v>
      </c>
      <c r="E292" s="3170" t="s">
        <v>5367</v>
      </c>
      <c r="F292" s="3177" t="s">
        <v>4789</v>
      </c>
      <c r="G292" s="3169">
        <v>-1432</v>
      </c>
      <c r="H292" s="3172">
        <v>37.39</v>
      </c>
      <c r="I292" s="3173">
        <v>600000.32120000001</v>
      </c>
      <c r="J292" s="3174" t="s">
        <v>3447</v>
      </c>
      <c r="K292" s="3161"/>
      <c r="M292" s="3161"/>
    </row>
    <row r="293" spans="1:13" ht="16.5">
      <c r="A293" s="3168">
        <v>291</v>
      </c>
      <c r="B293" s="3169" t="s">
        <v>4786</v>
      </c>
      <c r="C293" s="3170" t="s">
        <v>4786</v>
      </c>
      <c r="D293" s="3171" t="s">
        <v>5368</v>
      </c>
      <c r="E293" s="3170" t="s">
        <v>5369</v>
      </c>
      <c r="F293" s="3177" t="s">
        <v>4789</v>
      </c>
      <c r="G293" s="3169">
        <v>-1437</v>
      </c>
      <c r="H293" s="3172">
        <v>37.39</v>
      </c>
      <c r="I293" s="3173">
        <v>600000.32120000001</v>
      </c>
      <c r="J293" s="3174" t="s">
        <v>3447</v>
      </c>
      <c r="K293" s="3161"/>
      <c r="M293" s="3161"/>
    </row>
    <row r="294" spans="1:13" ht="16.5">
      <c r="A294" s="3168">
        <v>292</v>
      </c>
      <c r="B294" s="3169" t="s">
        <v>4786</v>
      </c>
      <c r="C294" s="3170" t="s">
        <v>4786</v>
      </c>
      <c r="D294" s="3171" t="s">
        <v>5370</v>
      </c>
      <c r="E294" s="3170" t="s">
        <v>5371</v>
      </c>
      <c r="F294" s="3177" t="s">
        <v>4789</v>
      </c>
      <c r="G294" s="3169">
        <v>-1438</v>
      </c>
      <c r="H294" s="3172">
        <v>37.39</v>
      </c>
      <c r="I294" s="3173">
        <v>600000.32120000001</v>
      </c>
      <c r="J294" s="3174" t="s">
        <v>3447</v>
      </c>
      <c r="K294" s="3161"/>
      <c r="M294" s="3161"/>
    </row>
    <row r="295" spans="1:13" ht="16.5">
      <c r="A295" s="3168">
        <v>293</v>
      </c>
      <c r="B295" s="3169" t="s">
        <v>4786</v>
      </c>
      <c r="C295" s="3170" t="s">
        <v>4786</v>
      </c>
      <c r="D295" s="3171" t="s">
        <v>5372</v>
      </c>
      <c r="E295" s="3170" t="s">
        <v>5373</v>
      </c>
      <c r="F295" s="3177" t="s">
        <v>4789</v>
      </c>
      <c r="G295" s="3169">
        <v>-1439</v>
      </c>
      <c r="H295" s="3172">
        <v>37.39</v>
      </c>
      <c r="I295" s="3173">
        <v>600000.32120000001</v>
      </c>
      <c r="J295" s="3174" t="s">
        <v>3447</v>
      </c>
      <c r="K295" s="3161"/>
      <c r="M295" s="3161"/>
    </row>
    <row r="296" spans="1:13" ht="16.5">
      <c r="A296" s="3168">
        <v>294</v>
      </c>
      <c r="B296" s="3169" t="s">
        <v>4786</v>
      </c>
      <c r="C296" s="3170" t="s">
        <v>4786</v>
      </c>
      <c r="D296" s="3171" t="s">
        <v>5374</v>
      </c>
      <c r="E296" s="3170" t="s">
        <v>5375</v>
      </c>
      <c r="F296" s="3177" t="s">
        <v>4789</v>
      </c>
      <c r="G296" s="3169">
        <v>-1440</v>
      </c>
      <c r="H296" s="3172">
        <v>37.39</v>
      </c>
      <c r="I296" s="3173">
        <v>600000.32120000001</v>
      </c>
      <c r="J296" s="3174" t="s">
        <v>3447</v>
      </c>
      <c r="K296" s="3161"/>
      <c r="M296" s="3161"/>
    </row>
    <row r="297" spans="1:13" ht="16.5">
      <c r="A297" s="3168">
        <v>295</v>
      </c>
      <c r="B297" s="3169" t="s">
        <v>4786</v>
      </c>
      <c r="C297" s="3170" t="s">
        <v>4786</v>
      </c>
      <c r="D297" s="3171" t="s">
        <v>5376</v>
      </c>
      <c r="E297" s="3170" t="s">
        <v>5377</v>
      </c>
      <c r="F297" s="3177" t="s">
        <v>4789</v>
      </c>
      <c r="G297" s="3169">
        <v>-1441</v>
      </c>
      <c r="H297" s="3172">
        <v>37.39</v>
      </c>
      <c r="I297" s="3173">
        <v>600000.32120000001</v>
      </c>
      <c r="J297" s="3174" t="s">
        <v>3447</v>
      </c>
      <c r="K297" s="3161"/>
      <c r="M297" s="3161"/>
    </row>
    <row r="298" spans="1:13" ht="16.5">
      <c r="A298" s="3168">
        <v>296</v>
      </c>
      <c r="B298" s="3169" t="s">
        <v>4786</v>
      </c>
      <c r="C298" s="3170" t="s">
        <v>4786</v>
      </c>
      <c r="D298" s="3171" t="s">
        <v>5378</v>
      </c>
      <c r="E298" s="3170" t="s">
        <v>5379</v>
      </c>
      <c r="F298" s="3177" t="s">
        <v>4789</v>
      </c>
      <c r="G298" s="3169">
        <v>-1442</v>
      </c>
      <c r="H298" s="3172">
        <v>37.39</v>
      </c>
      <c r="I298" s="3173">
        <v>600000.32120000001</v>
      </c>
      <c r="J298" s="3174" t="s">
        <v>3447</v>
      </c>
      <c r="K298" s="3161"/>
      <c r="M298" s="3161"/>
    </row>
    <row r="299" spans="1:13" ht="16.5">
      <c r="A299" s="3168">
        <v>297</v>
      </c>
      <c r="B299" s="3169" t="s">
        <v>4786</v>
      </c>
      <c r="C299" s="3170" t="s">
        <v>4786</v>
      </c>
      <c r="D299" s="3171" t="s">
        <v>5380</v>
      </c>
      <c r="E299" s="3170" t="s">
        <v>5381</v>
      </c>
      <c r="F299" s="3177" t="s">
        <v>4789</v>
      </c>
      <c r="G299" s="3169">
        <v>-1443</v>
      </c>
      <c r="H299" s="3172">
        <v>37.39</v>
      </c>
      <c r="I299" s="3173">
        <v>600000.32120000001</v>
      </c>
      <c r="J299" s="3174" t="s">
        <v>3447</v>
      </c>
      <c r="K299" s="3161"/>
      <c r="M299" s="3161"/>
    </row>
    <row r="300" spans="1:13" ht="16.5">
      <c r="A300" s="3168">
        <v>298</v>
      </c>
      <c r="B300" s="3169" t="s">
        <v>4786</v>
      </c>
      <c r="C300" s="3170" t="s">
        <v>4786</v>
      </c>
      <c r="D300" s="3171" t="s">
        <v>5382</v>
      </c>
      <c r="E300" s="3170" t="s">
        <v>5383</v>
      </c>
      <c r="F300" s="3177" t="s">
        <v>4789</v>
      </c>
      <c r="G300" s="3169">
        <v>-1444</v>
      </c>
      <c r="H300" s="3172">
        <v>37.39</v>
      </c>
      <c r="I300" s="3173">
        <v>600000.32120000001</v>
      </c>
      <c r="J300" s="3174" t="s">
        <v>3447</v>
      </c>
      <c r="K300" s="3161"/>
      <c r="M300" s="3161"/>
    </row>
    <row r="301" spans="1:13" ht="16.5">
      <c r="A301" s="3168">
        <v>299</v>
      </c>
      <c r="B301" s="3169" t="s">
        <v>4786</v>
      </c>
      <c r="C301" s="3170" t="s">
        <v>4786</v>
      </c>
      <c r="D301" s="3171" t="s">
        <v>5384</v>
      </c>
      <c r="E301" s="3170" t="s">
        <v>5385</v>
      </c>
      <c r="F301" s="3177" t="s">
        <v>4789</v>
      </c>
      <c r="G301" s="3169">
        <v>-1445</v>
      </c>
      <c r="H301" s="3172">
        <v>37.39</v>
      </c>
      <c r="I301" s="3173">
        <v>600000.32120000001</v>
      </c>
      <c r="J301" s="3174" t="s">
        <v>3447</v>
      </c>
      <c r="K301" s="3161"/>
      <c r="M301" s="3161"/>
    </row>
    <row r="302" spans="1:13" ht="16.5">
      <c r="A302" s="3168">
        <v>300</v>
      </c>
      <c r="B302" s="3169" t="s">
        <v>4786</v>
      </c>
      <c r="C302" s="3170" t="s">
        <v>4786</v>
      </c>
      <c r="D302" s="3171" t="s">
        <v>5386</v>
      </c>
      <c r="E302" s="3170" t="s">
        <v>5387</v>
      </c>
      <c r="F302" s="3177" t="s">
        <v>4789</v>
      </c>
      <c r="G302" s="3169">
        <v>-1446</v>
      </c>
      <c r="H302" s="3172">
        <v>37.39</v>
      </c>
      <c r="I302" s="3173">
        <v>600000.32120000001</v>
      </c>
      <c r="J302" s="3174" t="s">
        <v>3447</v>
      </c>
      <c r="K302" s="3161"/>
      <c r="M302" s="3161"/>
    </row>
    <row r="303" spans="1:13" ht="16.5">
      <c r="A303" s="3168">
        <v>301</v>
      </c>
      <c r="B303" s="3169" t="s">
        <v>4786</v>
      </c>
      <c r="C303" s="3170" t="s">
        <v>4786</v>
      </c>
      <c r="D303" s="3171" t="s">
        <v>5388</v>
      </c>
      <c r="E303" s="3170" t="s">
        <v>5389</v>
      </c>
      <c r="F303" s="3177" t="s">
        <v>4789</v>
      </c>
      <c r="G303" s="3169">
        <v>-1449</v>
      </c>
      <c r="H303" s="3172">
        <v>37.39</v>
      </c>
      <c r="I303" s="3173">
        <v>600000.32120000001</v>
      </c>
      <c r="J303" s="3174" t="s">
        <v>3447</v>
      </c>
      <c r="K303" s="3161"/>
      <c r="M303" s="3161"/>
    </row>
    <row r="304" spans="1:13" ht="16.5">
      <c r="A304" s="3168">
        <v>302</v>
      </c>
      <c r="B304" s="3169" t="s">
        <v>4786</v>
      </c>
      <c r="C304" s="3170" t="s">
        <v>4786</v>
      </c>
      <c r="D304" s="3171" t="s">
        <v>5390</v>
      </c>
      <c r="E304" s="3170" t="s">
        <v>5391</v>
      </c>
      <c r="F304" s="3177" t="s">
        <v>4789</v>
      </c>
      <c r="G304" s="3169">
        <v>-1450</v>
      </c>
      <c r="H304" s="3172">
        <v>37.39</v>
      </c>
      <c r="I304" s="3173">
        <v>600000.32120000001</v>
      </c>
      <c r="J304" s="3174" t="s">
        <v>3447</v>
      </c>
      <c r="K304" s="3161"/>
      <c r="M304" s="3161"/>
    </row>
    <row r="305" spans="1:13" ht="16.5">
      <c r="A305" s="3168">
        <v>303</v>
      </c>
      <c r="B305" s="3169" t="s">
        <v>4786</v>
      </c>
      <c r="C305" s="3170" t="s">
        <v>4786</v>
      </c>
      <c r="D305" s="3171" t="s">
        <v>5392</v>
      </c>
      <c r="E305" s="3170" t="s">
        <v>5393</v>
      </c>
      <c r="F305" s="3177" t="s">
        <v>4789</v>
      </c>
      <c r="G305" s="3169">
        <v>-1451</v>
      </c>
      <c r="H305" s="3172">
        <v>37.39</v>
      </c>
      <c r="I305" s="3173">
        <v>600000.32120000001</v>
      </c>
      <c r="J305" s="3174" t="s">
        <v>3447</v>
      </c>
      <c r="K305" s="3161"/>
      <c r="M305" s="3161"/>
    </row>
    <row r="306" spans="1:13" ht="16.5">
      <c r="A306" s="3168">
        <v>304</v>
      </c>
      <c r="B306" s="3169" t="s">
        <v>4786</v>
      </c>
      <c r="C306" s="3170" t="s">
        <v>4786</v>
      </c>
      <c r="D306" s="3171" t="s">
        <v>5394</v>
      </c>
      <c r="E306" s="3170" t="s">
        <v>5395</v>
      </c>
      <c r="F306" s="3177" t="s">
        <v>4789</v>
      </c>
      <c r="G306" s="3169">
        <v>-1453</v>
      </c>
      <c r="H306" s="3172">
        <v>37.39</v>
      </c>
      <c r="I306" s="3173">
        <v>600000.32120000001</v>
      </c>
      <c r="J306" s="3174" t="s">
        <v>3447</v>
      </c>
      <c r="K306" s="3161"/>
      <c r="M306" s="3161"/>
    </row>
    <row r="307" spans="1:13" ht="16.5">
      <c r="A307" s="3168">
        <v>305</v>
      </c>
      <c r="B307" s="3169" t="s">
        <v>4786</v>
      </c>
      <c r="C307" s="3170" t="s">
        <v>4786</v>
      </c>
      <c r="D307" s="3171" t="s">
        <v>5396</v>
      </c>
      <c r="E307" s="3170" t="s">
        <v>5397</v>
      </c>
      <c r="F307" s="3177" t="s">
        <v>4789</v>
      </c>
      <c r="G307" s="3169">
        <v>-1454</v>
      </c>
      <c r="H307" s="3172">
        <v>37.39</v>
      </c>
      <c r="I307" s="3173">
        <v>600000.32120000001</v>
      </c>
      <c r="J307" s="3174" t="s">
        <v>3447</v>
      </c>
      <c r="K307" s="3161"/>
      <c r="M307" s="3161"/>
    </row>
    <row r="308" spans="1:13" ht="16.5">
      <c r="A308" s="3168">
        <v>306</v>
      </c>
      <c r="B308" s="3169" t="s">
        <v>4786</v>
      </c>
      <c r="C308" s="3170" t="s">
        <v>4786</v>
      </c>
      <c r="D308" s="3171" t="s">
        <v>5398</v>
      </c>
      <c r="E308" s="3170" t="s">
        <v>5399</v>
      </c>
      <c r="F308" s="3177" t="s">
        <v>4789</v>
      </c>
      <c r="G308" s="3169">
        <v>-1459</v>
      </c>
      <c r="H308" s="3172">
        <v>37.39</v>
      </c>
      <c r="I308" s="3173">
        <v>600000.32120000001</v>
      </c>
      <c r="J308" s="3174" t="s">
        <v>3447</v>
      </c>
      <c r="K308" s="3161"/>
      <c r="M308" s="3161"/>
    </row>
    <row r="309" spans="1:13" ht="16.5">
      <c r="A309" s="3168">
        <v>307</v>
      </c>
      <c r="B309" s="3169" t="s">
        <v>4786</v>
      </c>
      <c r="C309" s="3170" t="s">
        <v>4786</v>
      </c>
      <c r="D309" s="3171" t="s">
        <v>5400</v>
      </c>
      <c r="E309" s="3170" t="s">
        <v>5401</v>
      </c>
      <c r="F309" s="3177" t="s">
        <v>4789</v>
      </c>
      <c r="G309" s="3169">
        <v>-1460</v>
      </c>
      <c r="H309" s="3172">
        <v>37.39</v>
      </c>
      <c r="I309" s="3173">
        <v>600000.32120000001</v>
      </c>
      <c r="J309" s="3174" t="s">
        <v>3447</v>
      </c>
      <c r="K309" s="3161"/>
      <c r="M309" s="3161"/>
    </row>
    <row r="310" spans="1:13" ht="16.5">
      <c r="A310" s="3168">
        <v>308</v>
      </c>
      <c r="B310" s="3169" t="s">
        <v>4786</v>
      </c>
      <c r="C310" s="3170" t="s">
        <v>4786</v>
      </c>
      <c r="D310" s="3171" t="s">
        <v>5402</v>
      </c>
      <c r="E310" s="3170" t="s">
        <v>5403</v>
      </c>
      <c r="F310" s="3177" t="s">
        <v>4789</v>
      </c>
      <c r="G310" s="3169">
        <v>-1463</v>
      </c>
      <c r="H310" s="3172">
        <v>37.39</v>
      </c>
      <c r="I310" s="3173">
        <v>600000.32120000001</v>
      </c>
      <c r="J310" s="3174" t="s">
        <v>3447</v>
      </c>
      <c r="K310" s="3161"/>
      <c r="M310" s="3161"/>
    </row>
    <row r="311" spans="1:13" ht="16.5">
      <c r="A311" s="3168">
        <v>309</v>
      </c>
      <c r="B311" s="3169" t="s">
        <v>4786</v>
      </c>
      <c r="C311" s="3170" t="s">
        <v>4786</v>
      </c>
      <c r="D311" s="3171" t="s">
        <v>5404</v>
      </c>
      <c r="E311" s="3170" t="s">
        <v>5405</v>
      </c>
      <c r="F311" s="3177" t="s">
        <v>4789</v>
      </c>
      <c r="G311" s="3169">
        <v>-1464</v>
      </c>
      <c r="H311" s="3172">
        <v>37.39</v>
      </c>
      <c r="I311" s="3173">
        <v>600000.32120000001</v>
      </c>
      <c r="J311" s="3174" t="s">
        <v>3447</v>
      </c>
      <c r="K311" s="3161"/>
      <c r="M311" s="3161"/>
    </row>
    <row r="312" spans="1:13" ht="16.5">
      <c r="A312" s="3168">
        <v>310</v>
      </c>
      <c r="B312" s="3169" t="s">
        <v>4786</v>
      </c>
      <c r="C312" s="3170" t="s">
        <v>4786</v>
      </c>
      <c r="D312" s="3171" t="s">
        <v>5406</v>
      </c>
      <c r="E312" s="3170" t="s">
        <v>5407</v>
      </c>
      <c r="F312" s="3177" t="s">
        <v>4789</v>
      </c>
      <c r="G312" s="3169">
        <v>-1465</v>
      </c>
      <c r="H312" s="3172">
        <v>37.39</v>
      </c>
      <c r="I312" s="3173">
        <v>600000.32120000001</v>
      </c>
      <c r="J312" s="3174" t="s">
        <v>3447</v>
      </c>
      <c r="K312" s="3161"/>
      <c r="M312" s="3161"/>
    </row>
    <row r="313" spans="1:13" ht="16.5">
      <c r="A313" s="3168">
        <v>311</v>
      </c>
      <c r="B313" s="3169" t="s">
        <v>4786</v>
      </c>
      <c r="C313" s="3170" t="s">
        <v>4786</v>
      </c>
      <c r="D313" s="3171" t="s">
        <v>5408</v>
      </c>
      <c r="E313" s="3170" t="s">
        <v>5409</v>
      </c>
      <c r="F313" s="3177" t="s">
        <v>4789</v>
      </c>
      <c r="G313" s="3169">
        <v>-1471</v>
      </c>
      <c r="H313" s="3172">
        <v>37.39</v>
      </c>
      <c r="I313" s="3173">
        <v>600000.32120000001</v>
      </c>
      <c r="J313" s="3174" t="s">
        <v>3447</v>
      </c>
      <c r="K313" s="3161"/>
      <c r="M313" s="3161"/>
    </row>
    <row r="314" spans="1:13" ht="16.5">
      <c r="A314" s="3168">
        <v>312</v>
      </c>
      <c r="B314" s="3169" t="s">
        <v>4786</v>
      </c>
      <c r="C314" s="3170" t="s">
        <v>4786</v>
      </c>
      <c r="D314" s="3171" t="s">
        <v>5410</v>
      </c>
      <c r="E314" s="3170" t="s">
        <v>5411</v>
      </c>
      <c r="F314" s="3177" t="s">
        <v>4789</v>
      </c>
      <c r="G314" s="3169">
        <v>-1479</v>
      </c>
      <c r="H314" s="3172">
        <v>37.39</v>
      </c>
      <c r="I314" s="3173">
        <v>600000.32120000001</v>
      </c>
      <c r="J314" s="3174" t="s">
        <v>3447</v>
      </c>
      <c r="K314" s="3161"/>
      <c r="M314" s="3161"/>
    </row>
    <row r="315" spans="1:13" ht="16.5">
      <c r="A315" s="3168">
        <v>313</v>
      </c>
      <c r="B315" s="3169" t="s">
        <v>4786</v>
      </c>
      <c r="C315" s="3170" t="s">
        <v>4786</v>
      </c>
      <c r="D315" s="3171" t="s">
        <v>5412</v>
      </c>
      <c r="E315" s="3170" t="s">
        <v>5413</v>
      </c>
      <c r="F315" s="3177" t="s">
        <v>4789</v>
      </c>
      <c r="G315" s="3169">
        <v>-1480</v>
      </c>
      <c r="H315" s="3172">
        <v>37.39</v>
      </c>
      <c r="I315" s="3173">
        <v>600000.32120000001</v>
      </c>
      <c r="J315" s="3174" t="s">
        <v>3447</v>
      </c>
      <c r="K315" s="3161"/>
      <c r="M315" s="3161"/>
    </row>
    <row r="316" spans="1:13" ht="16.5">
      <c r="A316" s="3168">
        <v>314</v>
      </c>
      <c r="B316" s="3169" t="s">
        <v>4786</v>
      </c>
      <c r="C316" s="3170" t="s">
        <v>4786</v>
      </c>
      <c r="D316" s="3171" t="s">
        <v>5414</v>
      </c>
      <c r="E316" s="3170" t="s">
        <v>5415</v>
      </c>
      <c r="F316" s="3177" t="s">
        <v>4789</v>
      </c>
      <c r="G316" s="3169">
        <v>-1482</v>
      </c>
      <c r="H316" s="3172">
        <v>37.39</v>
      </c>
      <c r="I316" s="3173">
        <v>600000.32120000001</v>
      </c>
      <c r="J316" s="3174" t="s">
        <v>3447</v>
      </c>
      <c r="K316" s="3161"/>
      <c r="M316" s="3161"/>
    </row>
    <row r="317" spans="1:13" ht="16.5">
      <c r="A317" s="3168">
        <v>315</v>
      </c>
      <c r="B317" s="3169" t="s">
        <v>4786</v>
      </c>
      <c r="C317" s="3170" t="s">
        <v>4786</v>
      </c>
      <c r="D317" s="3171" t="s">
        <v>5416</v>
      </c>
      <c r="E317" s="3170" t="s">
        <v>5417</v>
      </c>
      <c r="F317" s="3177" t="s">
        <v>4789</v>
      </c>
      <c r="G317" s="3169">
        <v>-1483</v>
      </c>
      <c r="H317" s="3172">
        <v>55.34</v>
      </c>
      <c r="I317" s="3173">
        <v>600000.15379999997</v>
      </c>
      <c r="J317" s="3174" t="s">
        <v>3447</v>
      </c>
      <c r="K317" s="3161"/>
      <c r="M317" s="3161"/>
    </row>
    <row r="318" spans="1:13" ht="16.5">
      <c r="A318" s="3168">
        <v>316</v>
      </c>
      <c r="B318" s="3169" t="s">
        <v>4786</v>
      </c>
      <c r="C318" s="3170" t="s">
        <v>4786</v>
      </c>
      <c r="D318" s="3171" t="s">
        <v>5418</v>
      </c>
      <c r="E318" s="3170" t="s">
        <v>5419</v>
      </c>
      <c r="F318" s="3177" t="s">
        <v>4789</v>
      </c>
      <c r="G318" s="3169">
        <v>-1484</v>
      </c>
      <c r="H318" s="3172">
        <v>37.39</v>
      </c>
      <c r="I318" s="3173">
        <v>600000.32120000001</v>
      </c>
      <c r="J318" s="3174" t="s">
        <v>3447</v>
      </c>
      <c r="K318" s="3161"/>
      <c r="M318" s="3161"/>
    </row>
    <row r="319" spans="1:13" ht="16.5">
      <c r="A319" s="3168">
        <v>317</v>
      </c>
      <c r="B319" s="3169" t="s">
        <v>4786</v>
      </c>
      <c r="C319" s="3170" t="s">
        <v>4786</v>
      </c>
      <c r="D319" s="3171" t="s">
        <v>5420</v>
      </c>
      <c r="E319" s="3170" t="s">
        <v>5421</v>
      </c>
      <c r="F319" s="3177" t="s">
        <v>4789</v>
      </c>
      <c r="G319" s="3169">
        <v>-1485</v>
      </c>
      <c r="H319" s="3172">
        <v>37.39</v>
      </c>
      <c r="I319" s="3173">
        <v>600000.32120000001</v>
      </c>
      <c r="J319" s="3174" t="s">
        <v>3447</v>
      </c>
      <c r="K319" s="3161"/>
      <c r="M319" s="3161"/>
    </row>
    <row r="320" spans="1:13" ht="16.5">
      <c r="A320" s="3168">
        <v>318</v>
      </c>
      <c r="B320" s="3169" t="s">
        <v>4786</v>
      </c>
      <c r="C320" s="3170" t="s">
        <v>4786</v>
      </c>
      <c r="D320" s="3171" t="s">
        <v>5422</v>
      </c>
      <c r="E320" s="3170" t="s">
        <v>5423</v>
      </c>
      <c r="F320" s="3177" t="s">
        <v>4789</v>
      </c>
      <c r="G320" s="3169">
        <v>-1487</v>
      </c>
      <c r="H320" s="3172">
        <v>37.39</v>
      </c>
      <c r="I320" s="3173">
        <v>600000.32120000001</v>
      </c>
      <c r="J320" s="3174" t="s">
        <v>3447</v>
      </c>
      <c r="K320" s="3161"/>
      <c r="M320" s="3161"/>
    </row>
    <row r="321" spans="1:13" ht="16.5">
      <c r="A321" s="3168">
        <v>319</v>
      </c>
      <c r="B321" s="3169" t="s">
        <v>4786</v>
      </c>
      <c r="C321" s="3170" t="s">
        <v>4786</v>
      </c>
      <c r="D321" s="3171" t="s">
        <v>5424</v>
      </c>
      <c r="E321" s="3170" t="s">
        <v>5425</v>
      </c>
      <c r="F321" s="3177" t="s">
        <v>4789</v>
      </c>
      <c r="G321" s="3169">
        <v>-1494</v>
      </c>
      <c r="H321" s="3172">
        <v>37.39</v>
      </c>
      <c r="I321" s="3173">
        <v>600000.32120000001</v>
      </c>
      <c r="J321" s="3174" t="s">
        <v>3447</v>
      </c>
      <c r="K321" s="3161"/>
      <c r="M321" s="3161"/>
    </row>
    <row r="322" spans="1:13" ht="16.5">
      <c r="A322" s="3168">
        <v>320</v>
      </c>
      <c r="B322" s="3169" t="s">
        <v>4786</v>
      </c>
      <c r="C322" s="3170" t="s">
        <v>4786</v>
      </c>
      <c r="D322" s="3171" t="s">
        <v>5426</v>
      </c>
      <c r="E322" s="3170" t="s">
        <v>5427</v>
      </c>
      <c r="F322" s="3177" t="s">
        <v>4789</v>
      </c>
      <c r="G322" s="3169">
        <v>-1495</v>
      </c>
      <c r="H322" s="3172">
        <v>37.39</v>
      </c>
      <c r="I322" s="3173">
        <v>600000.32120000001</v>
      </c>
      <c r="J322" s="3174" t="s">
        <v>3447</v>
      </c>
      <c r="K322" s="3161"/>
      <c r="M322" s="3161"/>
    </row>
    <row r="323" spans="1:13" ht="16.5">
      <c r="A323" s="3168">
        <v>321</v>
      </c>
      <c r="B323" s="3169" t="s">
        <v>4786</v>
      </c>
      <c r="C323" s="3170" t="s">
        <v>4786</v>
      </c>
      <c r="D323" s="3171" t="s">
        <v>5428</v>
      </c>
      <c r="E323" s="3170" t="s">
        <v>5429</v>
      </c>
      <c r="F323" s="3177" t="s">
        <v>4789</v>
      </c>
      <c r="G323" s="3169">
        <v>-1500</v>
      </c>
      <c r="H323" s="3172">
        <v>37.39</v>
      </c>
      <c r="I323" s="3173">
        <v>600000.32120000001</v>
      </c>
      <c r="J323" s="3174" t="s">
        <v>3447</v>
      </c>
      <c r="K323" s="3161"/>
      <c r="M323" s="3161"/>
    </row>
    <row r="324" spans="1:13" ht="16.5">
      <c r="A324" s="3168">
        <v>322</v>
      </c>
      <c r="B324" s="3169" t="s">
        <v>4786</v>
      </c>
      <c r="C324" s="3170" t="s">
        <v>4786</v>
      </c>
      <c r="D324" s="3171" t="s">
        <v>5430</v>
      </c>
      <c r="E324" s="3170" t="s">
        <v>5431</v>
      </c>
      <c r="F324" s="3177" t="s">
        <v>4789</v>
      </c>
      <c r="G324" s="3169">
        <v>-1501</v>
      </c>
      <c r="H324" s="3172">
        <v>37.39</v>
      </c>
      <c r="I324" s="3173">
        <v>600000.32120000001</v>
      </c>
      <c r="J324" s="3174" t="s">
        <v>3447</v>
      </c>
      <c r="K324" s="3161"/>
      <c r="M324" s="3161"/>
    </row>
    <row r="325" spans="1:13" ht="16.5">
      <c r="A325" s="3168">
        <v>323</v>
      </c>
      <c r="B325" s="3169" t="s">
        <v>4786</v>
      </c>
      <c r="C325" s="3170" t="s">
        <v>4786</v>
      </c>
      <c r="D325" s="3171" t="s">
        <v>5432</v>
      </c>
      <c r="E325" s="3170" t="s">
        <v>5433</v>
      </c>
      <c r="F325" s="3177" t="s">
        <v>4789</v>
      </c>
      <c r="G325" s="3169">
        <v>-1502</v>
      </c>
      <c r="H325" s="3172">
        <v>37.39</v>
      </c>
      <c r="I325" s="3173">
        <v>600000.32120000001</v>
      </c>
      <c r="J325" s="3174" t="s">
        <v>3447</v>
      </c>
      <c r="K325" s="3161"/>
      <c r="M325" s="3161"/>
    </row>
    <row r="326" spans="1:13" ht="16.5">
      <c r="A326" s="3168">
        <v>324</v>
      </c>
      <c r="B326" s="3169" t="s">
        <v>4786</v>
      </c>
      <c r="C326" s="3170" t="s">
        <v>4786</v>
      </c>
      <c r="D326" s="3171" t="s">
        <v>5434</v>
      </c>
      <c r="E326" s="3170" t="s">
        <v>5435</v>
      </c>
      <c r="F326" s="3177" t="s">
        <v>4789</v>
      </c>
      <c r="G326" s="3169">
        <v>-1503</v>
      </c>
      <c r="H326" s="3172">
        <v>37.39</v>
      </c>
      <c r="I326" s="3173">
        <v>600000.32120000001</v>
      </c>
      <c r="J326" s="3174" t="s">
        <v>3447</v>
      </c>
      <c r="K326" s="3161"/>
      <c r="M326" s="3161"/>
    </row>
    <row r="327" spans="1:13" ht="16.5">
      <c r="A327" s="3168">
        <v>325</v>
      </c>
      <c r="B327" s="3169" t="s">
        <v>4786</v>
      </c>
      <c r="C327" s="3170" t="s">
        <v>4786</v>
      </c>
      <c r="D327" s="3171" t="s">
        <v>5436</v>
      </c>
      <c r="E327" s="3170" t="s">
        <v>5437</v>
      </c>
      <c r="F327" s="3177" t="s">
        <v>4789</v>
      </c>
      <c r="G327" s="3169">
        <v>-1504</v>
      </c>
      <c r="H327" s="3172">
        <v>37.39</v>
      </c>
      <c r="I327" s="3173">
        <v>600000.32120000001</v>
      </c>
      <c r="J327" s="3174" t="s">
        <v>3447</v>
      </c>
      <c r="K327" s="3161"/>
      <c r="M327" s="3161"/>
    </row>
    <row r="328" spans="1:13" ht="16.5">
      <c r="A328" s="3168">
        <v>326</v>
      </c>
      <c r="B328" s="3169" t="s">
        <v>4786</v>
      </c>
      <c r="C328" s="3170" t="s">
        <v>4786</v>
      </c>
      <c r="D328" s="3171" t="s">
        <v>5438</v>
      </c>
      <c r="E328" s="3170" t="s">
        <v>5439</v>
      </c>
      <c r="F328" s="3177" t="s">
        <v>4789</v>
      </c>
      <c r="G328" s="3169">
        <v>-1505</v>
      </c>
      <c r="H328" s="3172">
        <v>37.39</v>
      </c>
      <c r="I328" s="3173">
        <v>600000.32120000001</v>
      </c>
      <c r="J328" s="3174" t="s">
        <v>3447</v>
      </c>
      <c r="K328" s="3161"/>
      <c r="M328" s="3161"/>
    </row>
    <row r="329" spans="1:13" ht="16.5">
      <c r="A329" s="3168">
        <v>327</v>
      </c>
      <c r="B329" s="3169" t="s">
        <v>4786</v>
      </c>
      <c r="C329" s="3170" t="s">
        <v>4786</v>
      </c>
      <c r="D329" s="3171" t="s">
        <v>5440</v>
      </c>
      <c r="E329" s="3170" t="s">
        <v>5441</v>
      </c>
      <c r="F329" s="3177" t="s">
        <v>4789</v>
      </c>
      <c r="G329" s="3169">
        <v>-1506</v>
      </c>
      <c r="H329" s="3172">
        <v>37.39</v>
      </c>
      <c r="I329" s="3173">
        <v>600000.32120000001</v>
      </c>
      <c r="J329" s="3174" t="s">
        <v>3447</v>
      </c>
      <c r="K329" s="3161"/>
      <c r="M329" s="3161"/>
    </row>
    <row r="330" spans="1:13" ht="16.5">
      <c r="A330" s="3168">
        <v>328</v>
      </c>
      <c r="B330" s="3169" t="s">
        <v>4786</v>
      </c>
      <c r="C330" s="3170" t="s">
        <v>4786</v>
      </c>
      <c r="D330" s="3171" t="s">
        <v>5442</v>
      </c>
      <c r="E330" s="3170" t="s">
        <v>5443</v>
      </c>
      <c r="F330" s="3177" t="s">
        <v>4789</v>
      </c>
      <c r="G330" s="3169">
        <v>-1507</v>
      </c>
      <c r="H330" s="3172">
        <v>37.39</v>
      </c>
      <c r="I330" s="3173">
        <v>600000.32120000001</v>
      </c>
      <c r="J330" s="3174" t="s">
        <v>3447</v>
      </c>
      <c r="K330" s="3161"/>
      <c r="M330" s="3161"/>
    </row>
    <row r="331" spans="1:13" ht="16.5">
      <c r="A331" s="3168">
        <v>329</v>
      </c>
      <c r="B331" s="3169" t="s">
        <v>4786</v>
      </c>
      <c r="C331" s="3170" t="s">
        <v>4786</v>
      </c>
      <c r="D331" s="3171" t="s">
        <v>5444</v>
      </c>
      <c r="E331" s="3170" t="s">
        <v>5445</v>
      </c>
      <c r="F331" s="3177" t="s">
        <v>4789</v>
      </c>
      <c r="G331" s="3169">
        <v>-1508</v>
      </c>
      <c r="H331" s="3172">
        <v>37.39</v>
      </c>
      <c r="I331" s="3173">
        <v>600000.32120000001</v>
      </c>
      <c r="J331" s="3174" t="s">
        <v>3447</v>
      </c>
      <c r="K331" s="3161"/>
      <c r="M331" s="3161"/>
    </row>
    <row r="332" spans="1:13" ht="16.5">
      <c r="A332" s="3168">
        <v>330</v>
      </c>
      <c r="B332" s="3169" t="s">
        <v>4786</v>
      </c>
      <c r="C332" s="3170" t="s">
        <v>4786</v>
      </c>
      <c r="D332" s="3171" t="s">
        <v>5446</v>
      </c>
      <c r="E332" s="3170" t="s">
        <v>5447</v>
      </c>
      <c r="F332" s="3177" t="s">
        <v>4789</v>
      </c>
      <c r="G332" s="3169">
        <v>-1509</v>
      </c>
      <c r="H332" s="3172">
        <v>37.39</v>
      </c>
      <c r="I332" s="3173">
        <v>600000.32120000001</v>
      </c>
      <c r="J332" s="3174" t="s">
        <v>3447</v>
      </c>
      <c r="K332" s="3161"/>
      <c r="M332" s="3161"/>
    </row>
    <row r="333" spans="1:13" ht="16.5">
      <c r="A333" s="3168">
        <v>331</v>
      </c>
      <c r="B333" s="3169" t="s">
        <v>4786</v>
      </c>
      <c r="C333" s="3170" t="s">
        <v>4786</v>
      </c>
      <c r="D333" s="3171" t="s">
        <v>5448</v>
      </c>
      <c r="E333" s="3170" t="s">
        <v>5449</v>
      </c>
      <c r="F333" s="3177" t="s">
        <v>4789</v>
      </c>
      <c r="G333" s="3169">
        <v>-1515</v>
      </c>
      <c r="H333" s="3172">
        <v>37.39</v>
      </c>
      <c r="I333" s="3173">
        <v>600000.32120000001</v>
      </c>
      <c r="J333" s="3174" t="s">
        <v>3447</v>
      </c>
      <c r="K333" s="3161"/>
      <c r="M333" s="3161"/>
    </row>
    <row r="334" spans="1:13" ht="16.5">
      <c r="A334" s="3168">
        <v>332</v>
      </c>
      <c r="B334" s="3169" t="s">
        <v>4786</v>
      </c>
      <c r="C334" s="3170" t="s">
        <v>4786</v>
      </c>
      <c r="D334" s="3171" t="s">
        <v>5450</v>
      </c>
      <c r="E334" s="3170" t="s">
        <v>5451</v>
      </c>
      <c r="F334" s="3177" t="s">
        <v>4789</v>
      </c>
      <c r="G334" s="3169">
        <v>-1520</v>
      </c>
      <c r="H334" s="3172">
        <v>37.39</v>
      </c>
      <c r="I334" s="3173">
        <v>600000.32120000001</v>
      </c>
      <c r="J334" s="3174" t="s">
        <v>3447</v>
      </c>
      <c r="K334" s="3161"/>
      <c r="M334" s="3161"/>
    </row>
    <row r="335" spans="1:13" ht="16.5">
      <c r="A335" s="3168">
        <v>333</v>
      </c>
      <c r="B335" s="3169" t="s">
        <v>4786</v>
      </c>
      <c r="C335" s="3170" t="s">
        <v>4786</v>
      </c>
      <c r="D335" s="3171" t="s">
        <v>5452</v>
      </c>
      <c r="E335" s="3170" t="s">
        <v>5453</v>
      </c>
      <c r="F335" s="3177" t="s">
        <v>4789</v>
      </c>
      <c r="G335" s="3169">
        <v>-1521</v>
      </c>
      <c r="H335" s="3172">
        <v>37.39</v>
      </c>
      <c r="I335" s="3173">
        <v>600000.32120000001</v>
      </c>
      <c r="J335" s="3174" t="s">
        <v>3447</v>
      </c>
      <c r="K335" s="3161"/>
      <c r="M335" s="3161"/>
    </row>
    <row r="336" spans="1:13" ht="16.5">
      <c r="A336" s="3168">
        <v>334</v>
      </c>
      <c r="B336" s="3169" t="s">
        <v>4786</v>
      </c>
      <c r="C336" s="3170" t="s">
        <v>4786</v>
      </c>
      <c r="D336" s="3171" t="s">
        <v>5454</v>
      </c>
      <c r="E336" s="3170" t="s">
        <v>5455</v>
      </c>
      <c r="F336" s="3177" t="s">
        <v>4789</v>
      </c>
      <c r="G336" s="3169">
        <v>-1523</v>
      </c>
      <c r="H336" s="3172">
        <v>37.39</v>
      </c>
      <c r="I336" s="3173">
        <v>600000.32120000001</v>
      </c>
      <c r="J336" s="3174" t="s">
        <v>3447</v>
      </c>
      <c r="K336" s="3161"/>
      <c r="M336" s="3161"/>
    </row>
    <row r="337" spans="1:13" ht="16.5">
      <c r="A337" s="3168">
        <v>335</v>
      </c>
      <c r="B337" s="3169" t="s">
        <v>4786</v>
      </c>
      <c r="C337" s="3170" t="s">
        <v>4786</v>
      </c>
      <c r="D337" s="3171" t="s">
        <v>5456</v>
      </c>
      <c r="E337" s="3170" t="s">
        <v>5457</v>
      </c>
      <c r="F337" s="3177" t="s">
        <v>4789</v>
      </c>
      <c r="G337" s="3169">
        <v>-1524</v>
      </c>
      <c r="H337" s="3172">
        <v>37.39</v>
      </c>
      <c r="I337" s="3173">
        <v>600000.32120000001</v>
      </c>
      <c r="J337" s="3174" t="s">
        <v>3447</v>
      </c>
      <c r="K337" s="3161"/>
      <c r="M337" s="3161"/>
    </row>
    <row r="338" spans="1:13" ht="16.5">
      <c r="A338" s="3168">
        <v>336</v>
      </c>
      <c r="B338" s="3169" t="s">
        <v>4786</v>
      </c>
      <c r="C338" s="3170" t="s">
        <v>4786</v>
      </c>
      <c r="D338" s="3171" t="s">
        <v>5458</v>
      </c>
      <c r="E338" s="3170" t="s">
        <v>5459</v>
      </c>
      <c r="F338" s="3177" t="s">
        <v>4789</v>
      </c>
      <c r="G338" s="3169">
        <v>-1525</v>
      </c>
      <c r="H338" s="3172">
        <v>37.39</v>
      </c>
      <c r="I338" s="3173">
        <v>600000.32120000001</v>
      </c>
      <c r="J338" s="3174" t="s">
        <v>3447</v>
      </c>
      <c r="K338" s="3161"/>
      <c r="M338" s="3161"/>
    </row>
    <row r="339" spans="1:13" ht="16.5">
      <c r="A339" s="3168">
        <v>337</v>
      </c>
      <c r="B339" s="3169" t="s">
        <v>4786</v>
      </c>
      <c r="C339" s="3170" t="s">
        <v>4786</v>
      </c>
      <c r="D339" s="3171" t="s">
        <v>5460</v>
      </c>
      <c r="E339" s="3170" t="s">
        <v>5461</v>
      </c>
      <c r="F339" s="3177" t="s">
        <v>4789</v>
      </c>
      <c r="G339" s="3169">
        <v>-1527</v>
      </c>
      <c r="H339" s="3172">
        <v>37.39</v>
      </c>
      <c r="I339" s="3173">
        <v>600000.32120000001</v>
      </c>
      <c r="J339" s="3174" t="s">
        <v>3447</v>
      </c>
      <c r="K339" s="3161"/>
      <c r="M339" s="3161"/>
    </row>
    <row r="340" spans="1:13" ht="16.5">
      <c r="A340" s="3168">
        <v>338</v>
      </c>
      <c r="B340" s="3169" t="s">
        <v>4786</v>
      </c>
      <c r="C340" s="3170" t="s">
        <v>4786</v>
      </c>
      <c r="D340" s="3171" t="s">
        <v>5462</v>
      </c>
      <c r="E340" s="3170" t="s">
        <v>5463</v>
      </c>
      <c r="F340" s="3177" t="s">
        <v>4789</v>
      </c>
      <c r="G340" s="3169">
        <v>-1530</v>
      </c>
      <c r="H340" s="3172">
        <v>37.39</v>
      </c>
      <c r="I340" s="3173">
        <v>600000.32120000001</v>
      </c>
      <c r="J340" s="3174" t="s">
        <v>3447</v>
      </c>
      <c r="K340" s="3161"/>
      <c r="M340" s="3161"/>
    </row>
    <row r="341" spans="1:13" ht="16.5">
      <c r="A341" s="3168">
        <v>339</v>
      </c>
      <c r="B341" s="3169" t="s">
        <v>4786</v>
      </c>
      <c r="C341" s="3170" t="s">
        <v>4786</v>
      </c>
      <c r="D341" s="3171" t="s">
        <v>5464</v>
      </c>
      <c r="E341" s="3170" t="s">
        <v>5465</v>
      </c>
      <c r="F341" s="3177" t="s">
        <v>4789</v>
      </c>
      <c r="G341" s="3169">
        <v>-1531</v>
      </c>
      <c r="H341" s="3172">
        <v>37.39</v>
      </c>
      <c r="I341" s="3173">
        <v>600000.32120000001</v>
      </c>
      <c r="J341" s="3174" t="s">
        <v>3447</v>
      </c>
      <c r="K341" s="3161"/>
      <c r="M341" s="3161"/>
    </row>
    <row r="342" spans="1:13" ht="16.5">
      <c r="A342" s="3168">
        <v>340</v>
      </c>
      <c r="B342" s="3169" t="s">
        <v>4786</v>
      </c>
      <c r="C342" s="3170" t="s">
        <v>4786</v>
      </c>
      <c r="D342" s="3171" t="s">
        <v>5466</v>
      </c>
      <c r="E342" s="3170" t="s">
        <v>5467</v>
      </c>
      <c r="F342" s="3177" t="s">
        <v>4789</v>
      </c>
      <c r="G342" s="3169">
        <v>-1533</v>
      </c>
      <c r="H342" s="3172">
        <v>37.39</v>
      </c>
      <c r="I342" s="3173">
        <v>600000.32120000001</v>
      </c>
      <c r="J342" s="3174" t="s">
        <v>3447</v>
      </c>
      <c r="K342" s="3161"/>
      <c r="M342" s="3161"/>
    </row>
    <row r="343" spans="1:13" ht="16.5">
      <c r="A343" s="3168">
        <v>341</v>
      </c>
      <c r="B343" s="3169" t="s">
        <v>4786</v>
      </c>
      <c r="C343" s="3170" t="s">
        <v>4786</v>
      </c>
      <c r="D343" s="3171" t="s">
        <v>5468</v>
      </c>
      <c r="E343" s="3170" t="s">
        <v>5469</v>
      </c>
      <c r="F343" s="3177" t="s">
        <v>4789</v>
      </c>
      <c r="G343" s="3169">
        <v>-1535</v>
      </c>
      <c r="H343" s="3172">
        <v>37.39</v>
      </c>
      <c r="I343" s="3173">
        <v>600000.32120000001</v>
      </c>
      <c r="J343" s="3174" t="s">
        <v>3463</v>
      </c>
      <c r="K343" s="3161"/>
      <c r="M343" s="3161"/>
    </row>
    <row r="344" spans="1:13" ht="16.5">
      <c r="A344" s="3168">
        <v>342</v>
      </c>
      <c r="B344" s="3169" t="s">
        <v>4786</v>
      </c>
      <c r="C344" s="3170" t="s">
        <v>4786</v>
      </c>
      <c r="D344" s="3171" t="s">
        <v>5470</v>
      </c>
      <c r="E344" s="3170" t="s">
        <v>5471</v>
      </c>
      <c r="F344" s="3177" t="s">
        <v>4789</v>
      </c>
      <c r="G344" s="3169">
        <v>-1537</v>
      </c>
      <c r="H344" s="3172">
        <v>37.39</v>
      </c>
      <c r="I344" s="3173">
        <v>600000.32120000001</v>
      </c>
      <c r="J344" s="3174" t="s">
        <v>3447</v>
      </c>
      <c r="K344" s="3161"/>
      <c r="M344" s="3161"/>
    </row>
    <row r="345" spans="1:13" ht="16.5">
      <c r="A345" s="3168">
        <v>343</v>
      </c>
      <c r="B345" s="3169" t="s">
        <v>4786</v>
      </c>
      <c r="C345" s="3170" t="s">
        <v>4786</v>
      </c>
      <c r="D345" s="3171" t="s">
        <v>5472</v>
      </c>
      <c r="E345" s="3170" t="s">
        <v>5473</v>
      </c>
      <c r="F345" s="3177" t="s">
        <v>4789</v>
      </c>
      <c r="G345" s="3169">
        <v>-1540</v>
      </c>
      <c r="H345" s="3172">
        <v>37.39</v>
      </c>
      <c r="I345" s="3173">
        <v>600000.32120000001</v>
      </c>
      <c r="J345" s="3174" t="s">
        <v>3447</v>
      </c>
      <c r="K345" s="3161"/>
      <c r="M345" s="3161"/>
    </row>
    <row r="346" spans="1:13" ht="16.5">
      <c r="A346" s="3168">
        <v>344</v>
      </c>
      <c r="B346" s="3169" t="s">
        <v>4786</v>
      </c>
      <c r="C346" s="3170" t="s">
        <v>4786</v>
      </c>
      <c r="D346" s="3171" t="s">
        <v>5474</v>
      </c>
      <c r="E346" s="3170" t="s">
        <v>5475</v>
      </c>
      <c r="F346" s="3177" t="s">
        <v>4789</v>
      </c>
      <c r="G346" s="3169">
        <v>-1541</v>
      </c>
      <c r="H346" s="3172">
        <v>37.39</v>
      </c>
      <c r="I346" s="3173">
        <v>600000.32120000001</v>
      </c>
      <c r="J346" s="3174" t="s">
        <v>3447</v>
      </c>
      <c r="K346" s="3161"/>
      <c r="M346" s="3161"/>
    </row>
    <row r="347" spans="1:13" ht="16.5">
      <c r="A347" s="3168">
        <v>345</v>
      </c>
      <c r="B347" s="3169" t="s">
        <v>4786</v>
      </c>
      <c r="C347" s="3170" t="s">
        <v>4786</v>
      </c>
      <c r="D347" s="3171" t="s">
        <v>5476</v>
      </c>
      <c r="E347" s="3170" t="s">
        <v>5477</v>
      </c>
      <c r="F347" s="3177" t="s">
        <v>4789</v>
      </c>
      <c r="G347" s="3169">
        <v>-1543</v>
      </c>
      <c r="H347" s="3172">
        <v>37.39</v>
      </c>
      <c r="I347" s="3173">
        <v>600000.32120000001</v>
      </c>
      <c r="J347" s="3174" t="s">
        <v>3447</v>
      </c>
      <c r="K347" s="3161"/>
      <c r="M347" s="3161"/>
    </row>
    <row r="348" spans="1:13" ht="16.5">
      <c r="A348" s="3168">
        <v>346</v>
      </c>
      <c r="B348" s="3169" t="s">
        <v>4786</v>
      </c>
      <c r="C348" s="3170" t="s">
        <v>4786</v>
      </c>
      <c r="D348" s="3171" t="s">
        <v>5478</v>
      </c>
      <c r="E348" s="3170" t="s">
        <v>5479</v>
      </c>
      <c r="F348" s="3177" t="s">
        <v>4789</v>
      </c>
      <c r="G348" s="3169">
        <v>-1544</v>
      </c>
      <c r="H348" s="3172">
        <v>37.39</v>
      </c>
      <c r="I348" s="3173">
        <v>600000.32120000001</v>
      </c>
      <c r="J348" s="3174" t="s">
        <v>3447</v>
      </c>
      <c r="K348" s="3161"/>
      <c r="M348" s="3161"/>
    </row>
    <row r="349" spans="1:13" ht="16.5">
      <c r="A349" s="3168">
        <v>347</v>
      </c>
      <c r="B349" s="3169" t="s">
        <v>4786</v>
      </c>
      <c r="C349" s="3170" t="s">
        <v>4786</v>
      </c>
      <c r="D349" s="3171" t="s">
        <v>5480</v>
      </c>
      <c r="E349" s="3170" t="s">
        <v>5481</v>
      </c>
      <c r="F349" s="3177" t="s">
        <v>4789</v>
      </c>
      <c r="G349" s="3169">
        <v>-1545</v>
      </c>
      <c r="H349" s="3172">
        <v>37.39</v>
      </c>
      <c r="I349" s="3173">
        <v>600000.32120000001</v>
      </c>
      <c r="J349" s="3174" t="s">
        <v>3447</v>
      </c>
      <c r="K349" s="3161"/>
      <c r="M349" s="3161"/>
    </row>
    <row r="350" spans="1:13" ht="16.5">
      <c r="A350" s="3168">
        <v>348</v>
      </c>
      <c r="B350" s="3169" t="s">
        <v>4786</v>
      </c>
      <c r="C350" s="3170" t="s">
        <v>4786</v>
      </c>
      <c r="D350" s="3171" t="s">
        <v>5482</v>
      </c>
      <c r="E350" s="3170" t="s">
        <v>5483</v>
      </c>
      <c r="F350" s="3177" t="s">
        <v>4789</v>
      </c>
      <c r="G350" s="3169">
        <v>-1546</v>
      </c>
      <c r="H350" s="3172">
        <v>37.39</v>
      </c>
      <c r="I350" s="3173">
        <v>600000.32120000001</v>
      </c>
      <c r="J350" s="3174" t="s">
        <v>3447</v>
      </c>
      <c r="K350" s="3161"/>
      <c r="M350" s="3161"/>
    </row>
    <row r="351" spans="1:13" ht="16.5">
      <c r="A351" s="3168">
        <v>349</v>
      </c>
      <c r="B351" s="3169" t="s">
        <v>4786</v>
      </c>
      <c r="C351" s="3170" t="s">
        <v>4786</v>
      </c>
      <c r="D351" s="3171" t="s">
        <v>5484</v>
      </c>
      <c r="E351" s="3170" t="s">
        <v>5485</v>
      </c>
      <c r="F351" s="3177" t="s">
        <v>4789</v>
      </c>
      <c r="G351" s="3169">
        <v>-1547</v>
      </c>
      <c r="H351" s="3172">
        <v>37.39</v>
      </c>
      <c r="I351" s="3173">
        <v>600000.32120000001</v>
      </c>
      <c r="J351" s="3174" t="s">
        <v>3447</v>
      </c>
      <c r="K351" s="3161"/>
      <c r="M351" s="3161"/>
    </row>
    <row r="352" spans="1:13" ht="16.5">
      <c r="A352" s="3168">
        <v>350</v>
      </c>
      <c r="B352" s="3169" t="s">
        <v>4786</v>
      </c>
      <c r="C352" s="3170" t="s">
        <v>4786</v>
      </c>
      <c r="D352" s="3171" t="s">
        <v>5486</v>
      </c>
      <c r="E352" s="3170" t="s">
        <v>5487</v>
      </c>
      <c r="F352" s="3177" t="s">
        <v>4789</v>
      </c>
      <c r="G352" s="3169">
        <v>-1548</v>
      </c>
      <c r="H352" s="3172">
        <v>55.34</v>
      </c>
      <c r="I352" s="3173">
        <v>600000.15379999997</v>
      </c>
      <c r="J352" s="3174" t="s">
        <v>3447</v>
      </c>
      <c r="K352" s="3161"/>
      <c r="M352" s="3161"/>
    </row>
    <row r="353" spans="1:13" ht="16.5">
      <c r="A353" s="3168">
        <v>351</v>
      </c>
      <c r="B353" s="3169" t="s">
        <v>4786</v>
      </c>
      <c r="C353" s="3170" t="s">
        <v>4786</v>
      </c>
      <c r="D353" s="3171" t="s">
        <v>5488</v>
      </c>
      <c r="E353" s="3170" t="s">
        <v>5489</v>
      </c>
      <c r="F353" s="3177" t="s">
        <v>4789</v>
      </c>
      <c r="G353" s="3169">
        <v>-1549</v>
      </c>
      <c r="H353" s="3172">
        <v>37.39</v>
      </c>
      <c r="I353" s="3173">
        <v>600000.32120000001</v>
      </c>
      <c r="J353" s="3174" t="s">
        <v>3447</v>
      </c>
      <c r="K353" s="3161"/>
      <c r="M353" s="3161"/>
    </row>
    <row r="354" spans="1:13" ht="16.5">
      <c r="A354" s="3168">
        <v>352</v>
      </c>
      <c r="B354" s="3169" t="s">
        <v>4786</v>
      </c>
      <c r="C354" s="3170" t="s">
        <v>4786</v>
      </c>
      <c r="D354" s="3171" t="s">
        <v>5490</v>
      </c>
      <c r="E354" s="3170" t="s">
        <v>5491</v>
      </c>
      <c r="F354" s="3177" t="s">
        <v>4789</v>
      </c>
      <c r="G354" s="3169">
        <v>-1553</v>
      </c>
      <c r="H354" s="3172">
        <v>37.39</v>
      </c>
      <c r="I354" s="3173">
        <v>600000.32120000001</v>
      </c>
      <c r="J354" s="3174" t="s">
        <v>3447</v>
      </c>
      <c r="K354" s="3161"/>
      <c r="M354" s="3161"/>
    </row>
    <row r="355" spans="1:13" ht="16.5">
      <c r="A355" s="3168">
        <v>353</v>
      </c>
      <c r="B355" s="3169" t="s">
        <v>4786</v>
      </c>
      <c r="C355" s="3170" t="s">
        <v>4786</v>
      </c>
      <c r="D355" s="3171" t="s">
        <v>5492</v>
      </c>
      <c r="E355" s="3170" t="s">
        <v>5493</v>
      </c>
      <c r="F355" s="3177" t="s">
        <v>4789</v>
      </c>
      <c r="G355" s="3169">
        <v>-1554</v>
      </c>
      <c r="H355" s="3172">
        <v>37.39</v>
      </c>
      <c r="I355" s="3173">
        <v>600000.32120000001</v>
      </c>
      <c r="J355" s="3174" t="s">
        <v>3447</v>
      </c>
      <c r="K355" s="3161"/>
      <c r="M355" s="3161"/>
    </row>
    <row r="356" spans="1:13" ht="16.5">
      <c r="A356" s="3168">
        <v>354</v>
      </c>
      <c r="B356" s="3169" t="s">
        <v>4786</v>
      </c>
      <c r="C356" s="3170" t="s">
        <v>4786</v>
      </c>
      <c r="D356" s="3171" t="s">
        <v>5494</v>
      </c>
      <c r="E356" s="3170" t="s">
        <v>5495</v>
      </c>
      <c r="F356" s="3177" t="s">
        <v>4789</v>
      </c>
      <c r="G356" s="3169">
        <v>-1555</v>
      </c>
      <c r="H356" s="3172">
        <v>37.39</v>
      </c>
      <c r="I356" s="3173">
        <v>600000.32120000001</v>
      </c>
      <c r="J356" s="3174" t="s">
        <v>3447</v>
      </c>
      <c r="K356" s="3161"/>
      <c r="M356" s="3161"/>
    </row>
    <row r="357" spans="1:13" ht="16.5">
      <c r="A357" s="3168">
        <v>355</v>
      </c>
      <c r="B357" s="3169" t="s">
        <v>4786</v>
      </c>
      <c r="C357" s="3170" t="s">
        <v>4786</v>
      </c>
      <c r="D357" s="3171" t="s">
        <v>5496</v>
      </c>
      <c r="E357" s="3170" t="s">
        <v>5497</v>
      </c>
      <c r="F357" s="3177" t="s">
        <v>4789</v>
      </c>
      <c r="G357" s="3169">
        <v>-1556</v>
      </c>
      <c r="H357" s="3172">
        <v>37.39</v>
      </c>
      <c r="I357" s="3173">
        <v>600000.32120000001</v>
      </c>
      <c r="J357" s="3174" t="s">
        <v>3447</v>
      </c>
      <c r="K357" s="3161"/>
      <c r="M357" s="3161"/>
    </row>
    <row r="358" spans="1:13" ht="16.5">
      <c r="A358" s="3168">
        <v>356</v>
      </c>
      <c r="B358" s="3169" t="s">
        <v>4786</v>
      </c>
      <c r="C358" s="3170" t="s">
        <v>4786</v>
      </c>
      <c r="D358" s="3171" t="s">
        <v>5498</v>
      </c>
      <c r="E358" s="3170" t="s">
        <v>5499</v>
      </c>
      <c r="F358" s="3177" t="s">
        <v>4789</v>
      </c>
      <c r="G358" s="3169">
        <v>-1557</v>
      </c>
      <c r="H358" s="3172">
        <v>37.39</v>
      </c>
      <c r="I358" s="3173">
        <v>600000.32120000001</v>
      </c>
      <c r="J358" s="3174" t="s">
        <v>3447</v>
      </c>
      <c r="K358" s="3161"/>
      <c r="M358" s="3161"/>
    </row>
    <row r="359" spans="1:13" ht="16.5">
      <c r="A359" s="3168">
        <v>357</v>
      </c>
      <c r="B359" s="3169" t="s">
        <v>4786</v>
      </c>
      <c r="C359" s="3170" t="s">
        <v>4786</v>
      </c>
      <c r="D359" s="3171" t="s">
        <v>5500</v>
      </c>
      <c r="E359" s="3170" t="s">
        <v>5501</v>
      </c>
      <c r="F359" s="3177" t="s">
        <v>4789</v>
      </c>
      <c r="G359" s="3169">
        <v>-1558</v>
      </c>
      <c r="H359" s="3172">
        <v>37.39</v>
      </c>
      <c r="I359" s="3173">
        <v>600000.32120000001</v>
      </c>
      <c r="J359" s="3174" t="s">
        <v>3447</v>
      </c>
      <c r="K359" s="3161"/>
      <c r="M359" s="3161"/>
    </row>
    <row r="360" spans="1:13" ht="16.5">
      <c r="A360" s="3168">
        <v>358</v>
      </c>
      <c r="B360" s="3169" t="s">
        <v>4786</v>
      </c>
      <c r="C360" s="3170" t="s">
        <v>4786</v>
      </c>
      <c r="D360" s="3171" t="s">
        <v>5502</v>
      </c>
      <c r="E360" s="3170" t="s">
        <v>5503</v>
      </c>
      <c r="F360" s="3177" t="s">
        <v>4789</v>
      </c>
      <c r="G360" s="3169">
        <v>-1559</v>
      </c>
      <c r="H360" s="3172">
        <v>37.39</v>
      </c>
      <c r="I360" s="3173">
        <v>600000.32120000001</v>
      </c>
      <c r="J360" s="3174" t="s">
        <v>3447</v>
      </c>
      <c r="K360" s="3161"/>
      <c r="M360" s="3161"/>
    </row>
    <row r="361" spans="1:13" ht="16.5">
      <c r="A361" s="3168">
        <v>359</v>
      </c>
      <c r="B361" s="3169" t="s">
        <v>4786</v>
      </c>
      <c r="C361" s="3170" t="s">
        <v>4786</v>
      </c>
      <c r="D361" s="3171" t="s">
        <v>5504</v>
      </c>
      <c r="E361" s="3170" t="s">
        <v>5505</v>
      </c>
      <c r="F361" s="3177" t="s">
        <v>4789</v>
      </c>
      <c r="G361" s="3169">
        <v>-1560</v>
      </c>
      <c r="H361" s="3172">
        <v>37.39</v>
      </c>
      <c r="I361" s="3173">
        <v>600000.32120000001</v>
      </c>
      <c r="J361" s="3174" t="s">
        <v>3447</v>
      </c>
      <c r="K361" s="3161"/>
      <c r="M361" s="3161"/>
    </row>
    <row r="362" spans="1:13" ht="16.5">
      <c r="A362" s="3168">
        <v>360</v>
      </c>
      <c r="B362" s="3169" t="s">
        <v>4786</v>
      </c>
      <c r="C362" s="3170" t="s">
        <v>4786</v>
      </c>
      <c r="D362" s="3171" t="s">
        <v>5506</v>
      </c>
      <c r="E362" s="3170" t="s">
        <v>5507</v>
      </c>
      <c r="F362" s="3177" t="s">
        <v>4789</v>
      </c>
      <c r="G362" s="3169">
        <v>-1566</v>
      </c>
      <c r="H362" s="3172">
        <v>37.39</v>
      </c>
      <c r="I362" s="3173">
        <v>600000.32120000001</v>
      </c>
      <c r="J362" s="3174" t="s">
        <v>3447</v>
      </c>
      <c r="K362" s="3161"/>
      <c r="M362" s="3161"/>
    </row>
    <row r="363" spans="1:13" ht="16.5">
      <c r="A363" s="3168">
        <v>361</v>
      </c>
      <c r="B363" s="3169" t="s">
        <v>4786</v>
      </c>
      <c r="C363" s="3170" t="s">
        <v>4786</v>
      </c>
      <c r="D363" s="3171" t="s">
        <v>5508</v>
      </c>
      <c r="E363" s="3170" t="s">
        <v>5509</v>
      </c>
      <c r="F363" s="3177" t="s">
        <v>4789</v>
      </c>
      <c r="G363" s="3169">
        <v>-1568</v>
      </c>
      <c r="H363" s="3172">
        <v>37.39</v>
      </c>
      <c r="I363" s="3173">
        <v>600000.32120000001</v>
      </c>
      <c r="J363" s="3174" t="s">
        <v>3447</v>
      </c>
      <c r="K363" s="3161"/>
      <c r="M363" s="3161"/>
    </row>
    <row r="364" spans="1:13" ht="16.5">
      <c r="A364" s="3168">
        <v>362</v>
      </c>
      <c r="B364" s="3169" t="s">
        <v>4786</v>
      </c>
      <c r="C364" s="3170" t="s">
        <v>4786</v>
      </c>
      <c r="D364" s="3171" t="s">
        <v>5510</v>
      </c>
      <c r="E364" s="3170" t="s">
        <v>5511</v>
      </c>
      <c r="F364" s="3177" t="s">
        <v>4789</v>
      </c>
      <c r="G364" s="3169">
        <v>-1569</v>
      </c>
      <c r="H364" s="3172">
        <v>37.39</v>
      </c>
      <c r="I364" s="3173">
        <v>600000.32120000001</v>
      </c>
      <c r="J364" s="3174" t="s">
        <v>3447</v>
      </c>
      <c r="K364" s="3161"/>
      <c r="M364" s="3161"/>
    </row>
    <row r="365" spans="1:13" ht="16.5">
      <c r="A365" s="3168">
        <v>363</v>
      </c>
      <c r="B365" s="3169" t="s">
        <v>4786</v>
      </c>
      <c r="C365" s="3170" t="s">
        <v>4786</v>
      </c>
      <c r="D365" s="3171" t="s">
        <v>5512</v>
      </c>
      <c r="E365" s="3170" t="s">
        <v>5513</v>
      </c>
      <c r="F365" s="3177" t="s">
        <v>4789</v>
      </c>
      <c r="G365" s="3169">
        <v>-1574</v>
      </c>
      <c r="H365" s="3172">
        <v>37.39</v>
      </c>
      <c r="I365" s="3173">
        <v>600000.32120000001</v>
      </c>
      <c r="J365" s="3174" t="s">
        <v>3447</v>
      </c>
      <c r="K365" s="3161"/>
      <c r="M365" s="3161"/>
    </row>
    <row r="366" spans="1:13" ht="16.5">
      <c r="A366" s="3168">
        <v>364</v>
      </c>
      <c r="B366" s="3169" t="s">
        <v>4786</v>
      </c>
      <c r="C366" s="3170" t="s">
        <v>4786</v>
      </c>
      <c r="D366" s="3171" t="s">
        <v>5514</v>
      </c>
      <c r="E366" s="3170" t="s">
        <v>5515</v>
      </c>
      <c r="F366" s="3177" t="s">
        <v>4789</v>
      </c>
      <c r="G366" s="3169">
        <v>-1575</v>
      </c>
      <c r="H366" s="3172">
        <v>37.39</v>
      </c>
      <c r="I366" s="3173">
        <v>600000.32120000001</v>
      </c>
      <c r="J366" s="3174" t="s">
        <v>3447</v>
      </c>
      <c r="K366" s="3161"/>
      <c r="M366" s="3161"/>
    </row>
    <row r="367" spans="1:13" ht="16.5">
      <c r="A367" s="3168">
        <v>365</v>
      </c>
      <c r="B367" s="3169" t="s">
        <v>4786</v>
      </c>
      <c r="C367" s="3170" t="s">
        <v>4786</v>
      </c>
      <c r="D367" s="3171" t="s">
        <v>5516</v>
      </c>
      <c r="E367" s="3170" t="s">
        <v>5517</v>
      </c>
      <c r="F367" s="3177" t="s">
        <v>4789</v>
      </c>
      <c r="G367" s="3169">
        <v>-1576</v>
      </c>
      <c r="H367" s="3172">
        <v>37.39</v>
      </c>
      <c r="I367" s="3173">
        <v>600000.32120000001</v>
      </c>
      <c r="J367" s="3174" t="s">
        <v>3447</v>
      </c>
      <c r="K367" s="3161"/>
      <c r="M367" s="3161"/>
    </row>
    <row r="368" spans="1:13" ht="16.5">
      <c r="A368" s="3168">
        <v>366</v>
      </c>
      <c r="B368" s="3169" t="s">
        <v>4786</v>
      </c>
      <c r="C368" s="3170" t="s">
        <v>4786</v>
      </c>
      <c r="D368" s="3171" t="s">
        <v>5518</v>
      </c>
      <c r="E368" s="3170" t="s">
        <v>5519</v>
      </c>
      <c r="F368" s="3177" t="s">
        <v>4789</v>
      </c>
      <c r="G368" s="3169">
        <v>-1577</v>
      </c>
      <c r="H368" s="3172">
        <v>37.39</v>
      </c>
      <c r="I368" s="3173">
        <v>600000.32120000001</v>
      </c>
      <c r="J368" s="3174" t="s">
        <v>3447</v>
      </c>
      <c r="K368" s="3161"/>
      <c r="M368" s="3161"/>
    </row>
    <row r="369" spans="1:13" ht="16.5">
      <c r="A369" s="3168">
        <v>367</v>
      </c>
      <c r="B369" s="3169" t="s">
        <v>4786</v>
      </c>
      <c r="C369" s="3170" t="s">
        <v>4786</v>
      </c>
      <c r="D369" s="3171" t="s">
        <v>5520</v>
      </c>
      <c r="E369" s="3170" t="s">
        <v>5521</v>
      </c>
      <c r="F369" s="3177" t="s">
        <v>4789</v>
      </c>
      <c r="G369" s="3169">
        <v>-1578</v>
      </c>
      <c r="H369" s="3172">
        <v>37.39</v>
      </c>
      <c r="I369" s="3173">
        <v>600000.32120000001</v>
      </c>
      <c r="J369" s="3174" t="s">
        <v>3447</v>
      </c>
      <c r="K369" s="3161"/>
      <c r="M369" s="3161"/>
    </row>
    <row r="370" spans="1:13" ht="16.5">
      <c r="A370" s="3168">
        <v>368</v>
      </c>
      <c r="B370" s="3169" t="s">
        <v>4786</v>
      </c>
      <c r="C370" s="3170" t="s">
        <v>4786</v>
      </c>
      <c r="D370" s="3171" t="s">
        <v>5522</v>
      </c>
      <c r="E370" s="3170" t="s">
        <v>5523</v>
      </c>
      <c r="F370" s="3177" t="s">
        <v>4789</v>
      </c>
      <c r="G370" s="3169">
        <v>-1580</v>
      </c>
      <c r="H370" s="3172">
        <v>37.39</v>
      </c>
      <c r="I370" s="3173">
        <v>600000.32120000001</v>
      </c>
      <c r="J370" s="3174" t="s">
        <v>3447</v>
      </c>
      <c r="K370" s="3161"/>
      <c r="M370" s="3161"/>
    </row>
    <row r="371" spans="1:13" ht="16.5">
      <c r="A371" s="3168">
        <v>369</v>
      </c>
      <c r="B371" s="3169" t="s">
        <v>4786</v>
      </c>
      <c r="C371" s="3170" t="s">
        <v>4786</v>
      </c>
      <c r="D371" s="3171" t="s">
        <v>5524</v>
      </c>
      <c r="E371" s="3170" t="s">
        <v>5525</v>
      </c>
      <c r="F371" s="3177" t="s">
        <v>4789</v>
      </c>
      <c r="G371" s="3169">
        <v>-1581</v>
      </c>
      <c r="H371" s="3172">
        <v>37.39</v>
      </c>
      <c r="I371" s="3173">
        <v>600000.32120000001</v>
      </c>
      <c r="J371" s="3174" t="s">
        <v>3447</v>
      </c>
      <c r="K371" s="3161"/>
      <c r="M371" s="3161"/>
    </row>
    <row r="372" spans="1:13" ht="16.5">
      <c r="A372" s="3168">
        <v>370</v>
      </c>
      <c r="B372" s="3169" t="s">
        <v>4786</v>
      </c>
      <c r="C372" s="3170" t="s">
        <v>4786</v>
      </c>
      <c r="D372" s="3171" t="s">
        <v>5526</v>
      </c>
      <c r="E372" s="3170" t="s">
        <v>5527</v>
      </c>
      <c r="F372" s="3177" t="s">
        <v>4789</v>
      </c>
      <c r="G372" s="3169">
        <v>-1582</v>
      </c>
      <c r="H372" s="3172">
        <v>37.39</v>
      </c>
      <c r="I372" s="3173">
        <v>600000.32120000001</v>
      </c>
      <c r="J372" s="3174" t="s">
        <v>3447</v>
      </c>
      <c r="K372" s="3161"/>
      <c r="M372" s="3161"/>
    </row>
    <row r="373" spans="1:13" ht="16.5">
      <c r="A373" s="3168">
        <v>371</v>
      </c>
      <c r="B373" s="3169" t="s">
        <v>4786</v>
      </c>
      <c r="C373" s="3170" t="s">
        <v>4786</v>
      </c>
      <c r="D373" s="3171" t="s">
        <v>5528</v>
      </c>
      <c r="E373" s="3170" t="s">
        <v>5529</v>
      </c>
      <c r="F373" s="3177" t="s">
        <v>4789</v>
      </c>
      <c r="G373" s="3169">
        <v>-1584</v>
      </c>
      <c r="H373" s="3172">
        <v>37.39</v>
      </c>
      <c r="I373" s="3173">
        <v>600000.32120000001</v>
      </c>
      <c r="J373" s="3174" t="s">
        <v>3447</v>
      </c>
      <c r="K373" s="3161"/>
      <c r="M373" s="3161"/>
    </row>
    <row r="374" spans="1:13" ht="16.5">
      <c r="A374" s="3168">
        <v>372</v>
      </c>
      <c r="B374" s="3169" t="s">
        <v>4786</v>
      </c>
      <c r="C374" s="3170" t="s">
        <v>4786</v>
      </c>
      <c r="D374" s="3171" t="s">
        <v>5530</v>
      </c>
      <c r="E374" s="3170" t="s">
        <v>5531</v>
      </c>
      <c r="F374" s="3177" t="s">
        <v>4789</v>
      </c>
      <c r="G374" s="3169">
        <v>-1586</v>
      </c>
      <c r="H374" s="3172">
        <v>37.39</v>
      </c>
      <c r="I374" s="3173">
        <v>600000.32120000001</v>
      </c>
      <c r="J374" s="3174" t="s">
        <v>3447</v>
      </c>
      <c r="K374" s="3161"/>
      <c r="M374" s="3161"/>
    </row>
    <row r="375" spans="1:13" ht="16.5">
      <c r="A375" s="3168">
        <v>373</v>
      </c>
      <c r="B375" s="3169" t="s">
        <v>4786</v>
      </c>
      <c r="C375" s="3170" t="s">
        <v>4786</v>
      </c>
      <c r="D375" s="3171" t="s">
        <v>5532</v>
      </c>
      <c r="E375" s="3170" t="s">
        <v>5533</v>
      </c>
      <c r="F375" s="3177" t="s">
        <v>4789</v>
      </c>
      <c r="G375" s="3169">
        <v>-1587</v>
      </c>
      <c r="H375" s="3172">
        <v>37.39</v>
      </c>
      <c r="I375" s="3173">
        <v>600000.32120000001</v>
      </c>
      <c r="J375" s="3174" t="s">
        <v>3447</v>
      </c>
      <c r="K375" s="3161"/>
      <c r="M375" s="3161"/>
    </row>
    <row r="376" spans="1:13" ht="16.5">
      <c r="A376" s="3168">
        <v>374</v>
      </c>
      <c r="B376" s="3169" t="s">
        <v>4786</v>
      </c>
      <c r="C376" s="3170" t="s">
        <v>4786</v>
      </c>
      <c r="D376" s="3171" t="s">
        <v>5534</v>
      </c>
      <c r="E376" s="3170" t="s">
        <v>5535</v>
      </c>
      <c r="F376" s="3177" t="s">
        <v>4789</v>
      </c>
      <c r="G376" s="3169">
        <v>-1589</v>
      </c>
      <c r="H376" s="3172">
        <v>35.9</v>
      </c>
      <c r="I376" s="3173">
        <v>600000.29</v>
      </c>
      <c r="J376" s="3174" t="s">
        <v>3447</v>
      </c>
      <c r="K376" s="3161"/>
      <c r="M376" s="3161"/>
    </row>
    <row r="377" spans="1:13" ht="16.5">
      <c r="A377" s="3168">
        <v>375</v>
      </c>
      <c r="B377" s="3169" t="s">
        <v>4786</v>
      </c>
      <c r="C377" s="3170" t="s">
        <v>4786</v>
      </c>
      <c r="D377" s="3171" t="s">
        <v>5536</v>
      </c>
      <c r="E377" s="3170" t="s">
        <v>5537</v>
      </c>
      <c r="F377" s="3177" t="s">
        <v>4789</v>
      </c>
      <c r="G377" s="3169">
        <v>-1590</v>
      </c>
      <c r="H377" s="3172">
        <v>37.39</v>
      </c>
      <c r="I377" s="3173">
        <v>600000.32120000001</v>
      </c>
      <c r="J377" s="3174" t="s">
        <v>3447</v>
      </c>
      <c r="K377" s="3161"/>
      <c r="M377" s="3161"/>
    </row>
    <row r="378" spans="1:13" ht="16.5">
      <c r="A378" s="3168">
        <v>376</v>
      </c>
      <c r="B378" s="3169" t="s">
        <v>4786</v>
      </c>
      <c r="C378" s="3170" t="s">
        <v>4786</v>
      </c>
      <c r="D378" s="3171" t="s">
        <v>5538</v>
      </c>
      <c r="E378" s="3170" t="s">
        <v>5539</v>
      </c>
      <c r="F378" s="3177" t="s">
        <v>4789</v>
      </c>
      <c r="G378" s="3169">
        <v>-1591</v>
      </c>
      <c r="H378" s="3172">
        <v>37.39</v>
      </c>
      <c r="I378" s="3173">
        <v>600000.32120000001</v>
      </c>
      <c r="J378" s="3174" t="s">
        <v>3447</v>
      </c>
      <c r="K378" s="3161"/>
      <c r="M378" s="3161"/>
    </row>
    <row r="379" spans="1:13" ht="16.5">
      <c r="A379" s="3168">
        <v>377</v>
      </c>
      <c r="B379" s="3169" t="s">
        <v>4786</v>
      </c>
      <c r="C379" s="3170" t="s">
        <v>4786</v>
      </c>
      <c r="D379" s="3171" t="s">
        <v>5540</v>
      </c>
      <c r="E379" s="3170" t="s">
        <v>5541</v>
      </c>
      <c r="F379" s="3177" t="s">
        <v>4789</v>
      </c>
      <c r="G379" s="3169">
        <v>-1592</v>
      </c>
      <c r="H379" s="3172">
        <v>37.39</v>
      </c>
      <c r="I379" s="3173">
        <v>600000.32120000001</v>
      </c>
      <c r="J379" s="3174" t="s">
        <v>3447</v>
      </c>
      <c r="K379" s="3161"/>
      <c r="M379" s="3161"/>
    </row>
    <row r="380" spans="1:13" ht="16.5">
      <c r="A380" s="3168">
        <v>378</v>
      </c>
      <c r="B380" s="3169" t="s">
        <v>4786</v>
      </c>
      <c r="C380" s="3170" t="s">
        <v>4786</v>
      </c>
      <c r="D380" s="3171" t="s">
        <v>5542</v>
      </c>
      <c r="E380" s="3170" t="s">
        <v>5543</v>
      </c>
      <c r="F380" s="3177" t="s">
        <v>4789</v>
      </c>
      <c r="G380" s="3169">
        <v>-1593</v>
      </c>
      <c r="H380" s="3172">
        <v>37.39</v>
      </c>
      <c r="I380" s="3173">
        <v>600000.32120000001</v>
      </c>
      <c r="J380" s="3174" t="s">
        <v>3447</v>
      </c>
      <c r="K380" s="3161"/>
      <c r="M380" s="3161"/>
    </row>
    <row r="381" spans="1:13" ht="16.5">
      <c r="A381" s="3168">
        <v>379</v>
      </c>
      <c r="B381" s="3169" t="s">
        <v>4786</v>
      </c>
      <c r="C381" s="3170" t="s">
        <v>4786</v>
      </c>
      <c r="D381" s="3171" t="s">
        <v>5544</v>
      </c>
      <c r="E381" s="3170" t="s">
        <v>5545</v>
      </c>
      <c r="F381" s="3177" t="s">
        <v>4789</v>
      </c>
      <c r="G381" s="3169">
        <v>-1594</v>
      </c>
      <c r="H381" s="3172">
        <v>37.39</v>
      </c>
      <c r="I381" s="3173">
        <v>600000.32120000001</v>
      </c>
      <c r="J381" s="3174" t="s">
        <v>3447</v>
      </c>
      <c r="K381" s="3161"/>
      <c r="M381" s="3161"/>
    </row>
    <row r="382" spans="1:13" ht="16.5">
      <c r="A382" s="3168">
        <v>380</v>
      </c>
      <c r="B382" s="3169" t="s">
        <v>4786</v>
      </c>
      <c r="C382" s="3170" t="s">
        <v>4786</v>
      </c>
      <c r="D382" s="3171" t="s">
        <v>5546</v>
      </c>
      <c r="E382" s="3170" t="s">
        <v>5547</v>
      </c>
      <c r="F382" s="3177" t="s">
        <v>4789</v>
      </c>
      <c r="G382" s="3169">
        <v>-1595</v>
      </c>
      <c r="H382" s="3172">
        <v>37.39</v>
      </c>
      <c r="I382" s="3173">
        <v>600000.32120000001</v>
      </c>
      <c r="J382" s="3174" t="s">
        <v>3447</v>
      </c>
      <c r="K382" s="3161"/>
      <c r="M382" s="3161"/>
    </row>
    <row r="383" spans="1:13" ht="16.5">
      <c r="A383" s="3168">
        <v>381</v>
      </c>
      <c r="B383" s="3169" t="s">
        <v>4786</v>
      </c>
      <c r="C383" s="3170" t="s">
        <v>4786</v>
      </c>
      <c r="D383" s="3171" t="s">
        <v>5548</v>
      </c>
      <c r="E383" s="3170" t="s">
        <v>5549</v>
      </c>
      <c r="F383" s="3177" t="s">
        <v>4789</v>
      </c>
      <c r="G383" s="3169">
        <v>-1596</v>
      </c>
      <c r="H383" s="3172">
        <v>37.39</v>
      </c>
      <c r="I383" s="3173">
        <v>600000.32120000001</v>
      </c>
      <c r="J383" s="3174" t="s">
        <v>3447</v>
      </c>
      <c r="K383" s="3161"/>
      <c r="M383" s="3161"/>
    </row>
    <row r="384" spans="1:13" ht="16.5">
      <c r="A384" s="3168">
        <v>382</v>
      </c>
      <c r="B384" s="3169" t="s">
        <v>4786</v>
      </c>
      <c r="C384" s="3170" t="s">
        <v>4786</v>
      </c>
      <c r="D384" s="3171" t="s">
        <v>5550</v>
      </c>
      <c r="E384" s="3170" t="s">
        <v>5551</v>
      </c>
      <c r="F384" s="3177" t="s">
        <v>4789</v>
      </c>
      <c r="G384" s="3169">
        <v>-1597</v>
      </c>
      <c r="H384" s="3172">
        <v>37.39</v>
      </c>
      <c r="I384" s="3173">
        <v>600000.32120000001</v>
      </c>
      <c r="J384" s="3174" t="s">
        <v>3447</v>
      </c>
      <c r="K384" s="3161"/>
      <c r="M384" s="3161"/>
    </row>
    <row r="385" spans="1:13" ht="16.5">
      <c r="A385" s="3168">
        <v>383</v>
      </c>
      <c r="B385" s="3169" t="s">
        <v>4786</v>
      </c>
      <c r="C385" s="3170" t="s">
        <v>4786</v>
      </c>
      <c r="D385" s="3171" t="s">
        <v>5552</v>
      </c>
      <c r="E385" s="3170" t="s">
        <v>5553</v>
      </c>
      <c r="F385" s="3177" t="s">
        <v>4789</v>
      </c>
      <c r="G385" s="3169">
        <v>-1603</v>
      </c>
      <c r="H385" s="3172">
        <v>37.39</v>
      </c>
      <c r="I385" s="3173">
        <v>600000.32120000001</v>
      </c>
      <c r="J385" s="3174" t="s">
        <v>3447</v>
      </c>
      <c r="K385" s="3161"/>
      <c r="M385" s="3161"/>
    </row>
    <row r="386" spans="1:13" ht="16.5">
      <c r="A386" s="3168">
        <v>384</v>
      </c>
      <c r="B386" s="3169" t="s">
        <v>4786</v>
      </c>
      <c r="C386" s="3170" t="s">
        <v>4786</v>
      </c>
      <c r="D386" s="3171" t="s">
        <v>5554</v>
      </c>
      <c r="E386" s="3170" t="s">
        <v>5555</v>
      </c>
      <c r="F386" s="3177" t="s">
        <v>4789</v>
      </c>
      <c r="G386" s="3169">
        <v>-1604</v>
      </c>
      <c r="H386" s="3172">
        <v>37.39</v>
      </c>
      <c r="I386" s="3173">
        <v>600000.32120000001</v>
      </c>
      <c r="J386" s="3174" t="s">
        <v>3447</v>
      </c>
      <c r="K386" s="3161"/>
      <c r="M386" s="3161"/>
    </row>
    <row r="387" spans="1:13" ht="16.5">
      <c r="A387" s="3168">
        <v>385</v>
      </c>
      <c r="B387" s="3169" t="s">
        <v>4786</v>
      </c>
      <c r="C387" s="3170" t="s">
        <v>4786</v>
      </c>
      <c r="D387" s="3171" t="s">
        <v>5556</v>
      </c>
      <c r="E387" s="3170" t="s">
        <v>5557</v>
      </c>
      <c r="F387" s="3177" t="s">
        <v>4789</v>
      </c>
      <c r="G387" s="3169">
        <v>-1605</v>
      </c>
      <c r="H387" s="3172">
        <v>37.39</v>
      </c>
      <c r="I387" s="3173">
        <v>600000.32120000001</v>
      </c>
      <c r="J387" s="3174" t="s">
        <v>3463</v>
      </c>
      <c r="K387" s="3161"/>
      <c r="M387" s="3161"/>
    </row>
    <row r="388" spans="1:13" ht="16.5">
      <c r="A388" s="3168">
        <v>386</v>
      </c>
      <c r="B388" s="3169" t="s">
        <v>4786</v>
      </c>
      <c r="C388" s="3170" t="s">
        <v>4786</v>
      </c>
      <c r="D388" s="3171" t="s">
        <v>5558</v>
      </c>
      <c r="E388" s="3170" t="s">
        <v>5559</v>
      </c>
      <c r="F388" s="3177" t="s">
        <v>4789</v>
      </c>
      <c r="G388" s="3169">
        <v>-1606</v>
      </c>
      <c r="H388" s="3172">
        <v>37.39</v>
      </c>
      <c r="I388" s="3173">
        <v>600000.32120000001</v>
      </c>
      <c r="J388" s="3174" t="s">
        <v>3463</v>
      </c>
      <c r="K388" s="3161"/>
      <c r="M388" s="3161"/>
    </row>
    <row r="389" spans="1:13" ht="16.5">
      <c r="A389" s="3168">
        <v>387</v>
      </c>
      <c r="B389" s="3169" t="s">
        <v>4786</v>
      </c>
      <c r="C389" s="3170" t="s">
        <v>4786</v>
      </c>
      <c r="D389" s="3171" t="s">
        <v>5560</v>
      </c>
      <c r="E389" s="3170" t="s">
        <v>5561</v>
      </c>
      <c r="F389" s="3177" t="s">
        <v>4789</v>
      </c>
      <c r="G389" s="3169">
        <v>-1607</v>
      </c>
      <c r="H389" s="3172">
        <v>37.39</v>
      </c>
      <c r="I389" s="3173">
        <v>600000.32120000001</v>
      </c>
      <c r="J389" s="3174" t="s">
        <v>3447</v>
      </c>
      <c r="K389" s="3161"/>
      <c r="M389" s="3161"/>
    </row>
    <row r="390" spans="1:13" ht="16.5">
      <c r="A390" s="3168">
        <v>388</v>
      </c>
      <c r="B390" s="3169" t="s">
        <v>4786</v>
      </c>
      <c r="C390" s="3170" t="s">
        <v>4786</v>
      </c>
      <c r="D390" s="3171" t="s">
        <v>5562</v>
      </c>
      <c r="E390" s="3170" t="s">
        <v>5563</v>
      </c>
      <c r="F390" s="3177" t="s">
        <v>4789</v>
      </c>
      <c r="G390" s="3169">
        <v>-1608</v>
      </c>
      <c r="H390" s="3172">
        <v>37.39</v>
      </c>
      <c r="I390" s="3173">
        <v>600000.32120000001</v>
      </c>
      <c r="J390" s="3174" t="s">
        <v>3447</v>
      </c>
      <c r="K390" s="3161"/>
      <c r="M390" s="3161"/>
    </row>
    <row r="391" spans="1:13" ht="16.5">
      <c r="A391" s="3168">
        <v>389</v>
      </c>
      <c r="B391" s="3169" t="s">
        <v>4786</v>
      </c>
      <c r="C391" s="3170" t="s">
        <v>4786</v>
      </c>
      <c r="D391" s="3171" t="s">
        <v>5564</v>
      </c>
      <c r="E391" s="3170" t="s">
        <v>5565</v>
      </c>
      <c r="F391" s="3177" t="s">
        <v>4789</v>
      </c>
      <c r="G391" s="3169">
        <v>-1609</v>
      </c>
      <c r="H391" s="3172">
        <v>37.39</v>
      </c>
      <c r="I391" s="3173">
        <v>600000.32120000001</v>
      </c>
      <c r="J391" s="3174" t="s">
        <v>3447</v>
      </c>
      <c r="K391" s="3161"/>
      <c r="M391" s="3161"/>
    </row>
    <row r="392" spans="1:13" ht="16.5">
      <c r="A392" s="3168">
        <v>390</v>
      </c>
      <c r="B392" s="3169" t="s">
        <v>4786</v>
      </c>
      <c r="C392" s="3170" t="s">
        <v>4786</v>
      </c>
      <c r="D392" s="3171" t="s">
        <v>5566</v>
      </c>
      <c r="E392" s="3170" t="s">
        <v>5567</v>
      </c>
      <c r="F392" s="3177" t="s">
        <v>4789</v>
      </c>
      <c r="G392" s="3169">
        <v>-1610</v>
      </c>
      <c r="H392" s="3172">
        <v>37.39</v>
      </c>
      <c r="I392" s="3173">
        <v>600000.32120000001</v>
      </c>
      <c r="J392" s="3174" t="s">
        <v>3447</v>
      </c>
      <c r="K392" s="3161"/>
      <c r="M392" s="3161"/>
    </row>
    <row r="393" spans="1:13" ht="16.5">
      <c r="A393" s="3168">
        <v>391</v>
      </c>
      <c r="B393" s="3169" t="s">
        <v>4786</v>
      </c>
      <c r="C393" s="3170" t="s">
        <v>4786</v>
      </c>
      <c r="D393" s="3171" t="s">
        <v>5568</v>
      </c>
      <c r="E393" s="3170" t="s">
        <v>5569</v>
      </c>
      <c r="F393" s="3177" t="s">
        <v>4789</v>
      </c>
      <c r="G393" s="3169">
        <v>-1611</v>
      </c>
      <c r="H393" s="3172">
        <v>37.39</v>
      </c>
      <c r="I393" s="3173">
        <v>600000.32120000001</v>
      </c>
      <c r="J393" s="3174" t="s">
        <v>3447</v>
      </c>
      <c r="K393" s="3161"/>
      <c r="M393" s="3161"/>
    </row>
    <row r="394" spans="1:13" ht="16.5">
      <c r="A394" s="3168">
        <v>392</v>
      </c>
      <c r="B394" s="3169" t="s">
        <v>4786</v>
      </c>
      <c r="C394" s="3170" t="s">
        <v>4786</v>
      </c>
      <c r="D394" s="3171" t="s">
        <v>5570</v>
      </c>
      <c r="E394" s="3170" t="s">
        <v>5571</v>
      </c>
      <c r="F394" s="3177" t="s">
        <v>4789</v>
      </c>
      <c r="G394" s="3169">
        <v>-1612</v>
      </c>
      <c r="H394" s="3172">
        <v>37.39</v>
      </c>
      <c r="I394" s="3173">
        <v>600000.32120000001</v>
      </c>
      <c r="J394" s="3174" t="s">
        <v>3447</v>
      </c>
      <c r="K394" s="3161"/>
      <c r="M394" s="3161"/>
    </row>
    <row r="395" spans="1:13" ht="16.5">
      <c r="A395" s="3168">
        <v>393</v>
      </c>
      <c r="B395" s="3169" t="s">
        <v>4786</v>
      </c>
      <c r="C395" s="3170" t="s">
        <v>4786</v>
      </c>
      <c r="D395" s="3171" t="s">
        <v>5572</v>
      </c>
      <c r="E395" s="3170" t="s">
        <v>5573</v>
      </c>
      <c r="F395" s="3177" t="s">
        <v>4789</v>
      </c>
      <c r="G395" s="3169">
        <v>-1613</v>
      </c>
      <c r="H395" s="3172">
        <v>37.39</v>
      </c>
      <c r="I395" s="3173">
        <v>600000.32120000001</v>
      </c>
      <c r="J395" s="3174" t="s">
        <v>3447</v>
      </c>
      <c r="K395" s="3161"/>
      <c r="M395" s="3161"/>
    </row>
    <row r="396" spans="1:13" ht="16.5">
      <c r="A396" s="3168">
        <v>394</v>
      </c>
      <c r="B396" s="3169" t="s">
        <v>4786</v>
      </c>
      <c r="C396" s="3170" t="s">
        <v>4786</v>
      </c>
      <c r="D396" s="3171" t="s">
        <v>5574</v>
      </c>
      <c r="E396" s="3170" t="s">
        <v>5575</v>
      </c>
      <c r="F396" s="3177" t="s">
        <v>4789</v>
      </c>
      <c r="G396" s="3169">
        <v>-1614</v>
      </c>
      <c r="H396" s="3172">
        <v>37.39</v>
      </c>
      <c r="I396" s="3173">
        <v>600000.32120000001</v>
      </c>
      <c r="J396" s="3174" t="s">
        <v>3447</v>
      </c>
      <c r="K396" s="3161"/>
      <c r="M396" s="3161"/>
    </row>
    <row r="397" spans="1:13" ht="16.5">
      <c r="A397" s="3168">
        <v>395</v>
      </c>
      <c r="B397" s="3169" t="s">
        <v>4786</v>
      </c>
      <c r="C397" s="3170" t="s">
        <v>4786</v>
      </c>
      <c r="D397" s="3171" t="s">
        <v>5576</v>
      </c>
      <c r="E397" s="3170" t="s">
        <v>5577</v>
      </c>
      <c r="F397" s="3177" t="s">
        <v>4789</v>
      </c>
      <c r="G397" s="3169">
        <v>-1615</v>
      </c>
      <c r="H397" s="3172">
        <v>37.39</v>
      </c>
      <c r="I397" s="3173">
        <v>600000.32120000001</v>
      </c>
      <c r="J397" s="3174" t="s">
        <v>3447</v>
      </c>
      <c r="K397" s="3161"/>
      <c r="M397" s="3161"/>
    </row>
    <row r="398" spans="1:13" ht="16.5">
      <c r="A398" s="3168">
        <v>396</v>
      </c>
      <c r="B398" s="3169" t="s">
        <v>4786</v>
      </c>
      <c r="C398" s="3170" t="s">
        <v>4786</v>
      </c>
      <c r="D398" s="3171" t="s">
        <v>5578</v>
      </c>
      <c r="E398" s="3170" t="s">
        <v>5579</v>
      </c>
      <c r="F398" s="3177" t="s">
        <v>4789</v>
      </c>
      <c r="G398" s="3169">
        <v>-1616</v>
      </c>
      <c r="H398" s="3172">
        <v>37.39</v>
      </c>
      <c r="I398" s="3173">
        <v>600000.32120000001</v>
      </c>
      <c r="J398" s="3174" t="s">
        <v>3447</v>
      </c>
      <c r="K398" s="3161"/>
      <c r="M398" s="3161"/>
    </row>
    <row r="399" spans="1:13" ht="16.5">
      <c r="A399" s="3168">
        <v>397</v>
      </c>
      <c r="B399" s="3169" t="s">
        <v>4786</v>
      </c>
      <c r="C399" s="3170" t="s">
        <v>4786</v>
      </c>
      <c r="D399" s="3171" t="s">
        <v>5580</v>
      </c>
      <c r="E399" s="3170" t="s">
        <v>5581</v>
      </c>
      <c r="F399" s="3177" t="s">
        <v>4789</v>
      </c>
      <c r="G399" s="3169">
        <v>-1617</v>
      </c>
      <c r="H399" s="3172">
        <v>37.39</v>
      </c>
      <c r="I399" s="3173">
        <v>600000.32120000001</v>
      </c>
      <c r="J399" s="3174" t="s">
        <v>3447</v>
      </c>
      <c r="K399" s="3161"/>
      <c r="M399" s="3161"/>
    </row>
    <row r="400" spans="1:13" ht="16.5">
      <c r="A400" s="3168">
        <v>398</v>
      </c>
      <c r="B400" s="3169" t="s">
        <v>4786</v>
      </c>
      <c r="C400" s="3170" t="s">
        <v>4786</v>
      </c>
      <c r="D400" s="3171" t="s">
        <v>5582</v>
      </c>
      <c r="E400" s="3170" t="s">
        <v>5583</v>
      </c>
      <c r="F400" s="3177" t="s">
        <v>4789</v>
      </c>
      <c r="G400" s="3169">
        <v>-1618</v>
      </c>
      <c r="H400" s="3172">
        <v>37.39</v>
      </c>
      <c r="I400" s="3173">
        <v>600000.32120000001</v>
      </c>
      <c r="J400" s="3174" t="s">
        <v>3447</v>
      </c>
      <c r="K400" s="3161"/>
      <c r="M400" s="3161"/>
    </row>
    <row r="401" spans="1:13" ht="16.5">
      <c r="A401" s="3168">
        <v>399</v>
      </c>
      <c r="B401" s="3169" t="s">
        <v>4786</v>
      </c>
      <c r="C401" s="3170" t="s">
        <v>4786</v>
      </c>
      <c r="D401" s="3171" t="s">
        <v>5584</v>
      </c>
      <c r="E401" s="3170" t="s">
        <v>5585</v>
      </c>
      <c r="F401" s="3177" t="s">
        <v>4789</v>
      </c>
      <c r="G401" s="3169">
        <v>-1619</v>
      </c>
      <c r="H401" s="3172">
        <v>37.39</v>
      </c>
      <c r="I401" s="3173">
        <v>600000.32120000001</v>
      </c>
      <c r="J401" s="3174" t="s">
        <v>3447</v>
      </c>
      <c r="K401" s="3161"/>
      <c r="M401" s="3161"/>
    </row>
    <row r="402" spans="1:13" ht="16.5">
      <c r="A402" s="3168">
        <v>400</v>
      </c>
      <c r="B402" s="3169" t="s">
        <v>4786</v>
      </c>
      <c r="C402" s="3170" t="s">
        <v>4786</v>
      </c>
      <c r="D402" s="3171" t="s">
        <v>5586</v>
      </c>
      <c r="E402" s="3170" t="s">
        <v>5587</v>
      </c>
      <c r="F402" s="3177" t="s">
        <v>4789</v>
      </c>
      <c r="G402" s="3169">
        <v>-1620</v>
      </c>
      <c r="H402" s="3172">
        <v>37.39</v>
      </c>
      <c r="I402" s="3173">
        <v>600000.32120000001</v>
      </c>
      <c r="J402" s="3174" t="s">
        <v>3447</v>
      </c>
      <c r="K402" s="3161"/>
      <c r="M402" s="3161"/>
    </row>
    <row r="403" spans="1:13" ht="16.5">
      <c r="A403" s="3168">
        <v>401</v>
      </c>
      <c r="B403" s="3169" t="s">
        <v>4786</v>
      </c>
      <c r="C403" s="3170" t="s">
        <v>4786</v>
      </c>
      <c r="D403" s="3171" t="s">
        <v>5588</v>
      </c>
      <c r="E403" s="3170" t="s">
        <v>5589</v>
      </c>
      <c r="F403" s="3177" t="s">
        <v>4789</v>
      </c>
      <c r="G403" s="3169">
        <v>-1621</v>
      </c>
      <c r="H403" s="3172">
        <v>37.39</v>
      </c>
      <c r="I403" s="3173">
        <v>600000.32120000001</v>
      </c>
      <c r="J403" s="3174" t="s">
        <v>3447</v>
      </c>
      <c r="K403" s="3161"/>
      <c r="M403" s="3161"/>
    </row>
    <row r="404" spans="1:13" ht="16.5">
      <c r="A404" s="3168">
        <v>402</v>
      </c>
      <c r="B404" s="3169" t="s">
        <v>4786</v>
      </c>
      <c r="C404" s="3170" t="s">
        <v>4786</v>
      </c>
      <c r="D404" s="3171" t="s">
        <v>5590</v>
      </c>
      <c r="E404" s="3170" t="s">
        <v>5591</v>
      </c>
      <c r="F404" s="3177" t="s">
        <v>4789</v>
      </c>
      <c r="G404" s="3169">
        <v>-1622</v>
      </c>
      <c r="H404" s="3172">
        <v>37.39</v>
      </c>
      <c r="I404" s="3173">
        <v>600000.32120000001</v>
      </c>
      <c r="J404" s="3174" t="s">
        <v>3463</v>
      </c>
      <c r="K404" s="3161"/>
      <c r="M404" s="3161"/>
    </row>
    <row r="405" spans="1:13" ht="16.5">
      <c r="A405" s="3168">
        <v>403</v>
      </c>
      <c r="B405" s="3169" t="s">
        <v>4786</v>
      </c>
      <c r="C405" s="3170" t="s">
        <v>4786</v>
      </c>
      <c r="D405" s="3171" t="s">
        <v>5592</v>
      </c>
      <c r="E405" s="3170" t="s">
        <v>5593</v>
      </c>
      <c r="F405" s="3177" t="s">
        <v>4789</v>
      </c>
      <c r="G405" s="3169">
        <v>-1623</v>
      </c>
      <c r="H405" s="3172">
        <v>37.39</v>
      </c>
      <c r="I405" s="3173">
        <v>600000.32120000001</v>
      </c>
      <c r="J405" s="3174" t="s">
        <v>3447</v>
      </c>
      <c r="K405" s="3161"/>
      <c r="M405" s="3161"/>
    </row>
    <row r="406" spans="1:13" ht="16.5">
      <c r="A406" s="3168">
        <v>404</v>
      </c>
      <c r="B406" s="3169" t="s">
        <v>4786</v>
      </c>
      <c r="C406" s="3170" t="s">
        <v>4786</v>
      </c>
      <c r="D406" s="3171" t="s">
        <v>5594</v>
      </c>
      <c r="E406" s="3170" t="s">
        <v>5595</v>
      </c>
      <c r="F406" s="3177" t="s">
        <v>4789</v>
      </c>
      <c r="G406" s="3169">
        <v>-1624</v>
      </c>
      <c r="H406" s="3172">
        <v>37.39</v>
      </c>
      <c r="I406" s="3173">
        <v>600000.32120000001</v>
      </c>
      <c r="J406" s="3174" t="s">
        <v>3447</v>
      </c>
      <c r="K406" s="3161"/>
      <c r="M406" s="3161"/>
    </row>
    <row r="407" spans="1:13" ht="16.5">
      <c r="A407" s="3168">
        <v>405</v>
      </c>
      <c r="B407" s="3169" t="s">
        <v>4786</v>
      </c>
      <c r="C407" s="3170" t="s">
        <v>4786</v>
      </c>
      <c r="D407" s="3171" t="s">
        <v>5596</v>
      </c>
      <c r="E407" s="3170" t="s">
        <v>5597</v>
      </c>
      <c r="F407" s="3177" t="s">
        <v>4789</v>
      </c>
      <c r="G407" s="3169">
        <v>-1625</v>
      </c>
      <c r="H407" s="3172">
        <v>37.39</v>
      </c>
      <c r="I407" s="3173">
        <v>600000.32120000001</v>
      </c>
      <c r="J407" s="3174" t="s">
        <v>3447</v>
      </c>
      <c r="K407" s="3161"/>
      <c r="M407" s="3161"/>
    </row>
    <row r="408" spans="1:13" ht="16.5">
      <c r="A408" s="3168">
        <v>406</v>
      </c>
      <c r="B408" s="3169" t="s">
        <v>4786</v>
      </c>
      <c r="C408" s="3170" t="s">
        <v>4786</v>
      </c>
      <c r="D408" s="3171" t="s">
        <v>5598</v>
      </c>
      <c r="E408" s="3170" t="s">
        <v>5599</v>
      </c>
      <c r="F408" s="3177" t="s">
        <v>4789</v>
      </c>
      <c r="G408" s="3169">
        <v>-1626</v>
      </c>
      <c r="H408" s="3172">
        <v>37.39</v>
      </c>
      <c r="I408" s="3173">
        <v>600000.32120000001</v>
      </c>
      <c r="J408" s="3174" t="s">
        <v>3463</v>
      </c>
      <c r="K408" s="3161"/>
      <c r="M408" s="3161"/>
    </row>
    <row r="409" spans="1:13" ht="16.5">
      <c r="A409" s="3168">
        <v>407</v>
      </c>
      <c r="B409" s="3169" t="s">
        <v>4786</v>
      </c>
      <c r="C409" s="3170" t="s">
        <v>4786</v>
      </c>
      <c r="D409" s="3171" t="s">
        <v>5600</v>
      </c>
      <c r="E409" s="3170" t="s">
        <v>5601</v>
      </c>
      <c r="F409" s="3177" t="s">
        <v>4789</v>
      </c>
      <c r="G409" s="3169">
        <v>-1628</v>
      </c>
      <c r="H409" s="3172">
        <v>37.39</v>
      </c>
      <c r="I409" s="3173">
        <v>600000.32120000001</v>
      </c>
      <c r="J409" s="3174" t="s">
        <v>3447</v>
      </c>
      <c r="K409" s="3161"/>
      <c r="M409" s="3161"/>
    </row>
    <row r="410" spans="1:13" ht="16.5">
      <c r="A410" s="3168">
        <v>408</v>
      </c>
      <c r="B410" s="3169" t="s">
        <v>4786</v>
      </c>
      <c r="C410" s="3170" t="s">
        <v>4786</v>
      </c>
      <c r="D410" s="3171" t="s">
        <v>5602</v>
      </c>
      <c r="E410" s="3170" t="s">
        <v>5603</v>
      </c>
      <c r="F410" s="3177" t="s">
        <v>4789</v>
      </c>
      <c r="G410" s="3169">
        <v>-1630</v>
      </c>
      <c r="H410" s="3172">
        <v>37.39</v>
      </c>
      <c r="I410" s="3173">
        <v>600000.32120000001</v>
      </c>
      <c r="J410" s="3174" t="s">
        <v>3447</v>
      </c>
      <c r="K410" s="3161"/>
      <c r="M410" s="3161"/>
    </row>
    <row r="411" spans="1:13" ht="16.5">
      <c r="A411" s="3168">
        <v>409</v>
      </c>
      <c r="B411" s="3169" t="s">
        <v>4786</v>
      </c>
      <c r="C411" s="3170" t="s">
        <v>4786</v>
      </c>
      <c r="D411" s="3171" t="s">
        <v>5604</v>
      </c>
      <c r="E411" s="3170" t="s">
        <v>5605</v>
      </c>
      <c r="F411" s="3177" t="s">
        <v>4789</v>
      </c>
      <c r="G411" s="3169">
        <v>-1632</v>
      </c>
      <c r="H411" s="3172">
        <v>37.39</v>
      </c>
      <c r="I411" s="3173">
        <v>600000.32120000001</v>
      </c>
      <c r="J411" s="3174" t="s">
        <v>3447</v>
      </c>
      <c r="K411" s="3161"/>
      <c r="M411" s="3161"/>
    </row>
    <row r="412" spans="1:13" ht="16.5">
      <c r="A412" s="3168">
        <v>410</v>
      </c>
      <c r="B412" s="3169" t="s">
        <v>4786</v>
      </c>
      <c r="C412" s="3170" t="s">
        <v>4786</v>
      </c>
      <c r="D412" s="3171" t="s">
        <v>5606</v>
      </c>
      <c r="E412" s="3170" t="s">
        <v>5607</v>
      </c>
      <c r="F412" s="3177" t="s">
        <v>4789</v>
      </c>
      <c r="G412" s="3169">
        <v>-1633</v>
      </c>
      <c r="H412" s="3172">
        <v>37.39</v>
      </c>
      <c r="I412" s="3173">
        <v>600000.32120000001</v>
      </c>
      <c r="J412" s="3174" t="s">
        <v>3447</v>
      </c>
      <c r="K412" s="3161"/>
      <c r="M412" s="3161"/>
    </row>
    <row r="413" spans="1:13" ht="16.5">
      <c r="A413" s="3168">
        <v>411</v>
      </c>
      <c r="B413" s="3169" t="s">
        <v>4786</v>
      </c>
      <c r="C413" s="3170" t="s">
        <v>4786</v>
      </c>
      <c r="D413" s="3171" t="s">
        <v>5608</v>
      </c>
      <c r="E413" s="3170" t="s">
        <v>5609</v>
      </c>
      <c r="F413" s="3177" t="s">
        <v>4789</v>
      </c>
      <c r="G413" s="3169">
        <v>-1635</v>
      </c>
      <c r="H413" s="3172">
        <v>37.39</v>
      </c>
      <c r="I413" s="3173">
        <v>600000.32120000001</v>
      </c>
      <c r="J413" s="3174" t="s">
        <v>3447</v>
      </c>
      <c r="K413" s="3161"/>
      <c r="M413" s="3161"/>
    </row>
    <row r="414" spans="1:13" ht="16.5">
      <c r="A414" s="3168">
        <v>412</v>
      </c>
      <c r="B414" s="3169" t="s">
        <v>4786</v>
      </c>
      <c r="C414" s="3170" t="s">
        <v>4786</v>
      </c>
      <c r="D414" s="3171" t="s">
        <v>5610</v>
      </c>
      <c r="E414" s="3170" t="s">
        <v>5611</v>
      </c>
      <c r="F414" s="3177" t="s">
        <v>4789</v>
      </c>
      <c r="G414" s="3169">
        <v>-1637</v>
      </c>
      <c r="H414" s="3172">
        <v>37.39</v>
      </c>
      <c r="I414" s="3173">
        <v>600000.32120000001</v>
      </c>
      <c r="J414" s="3174" t="s">
        <v>3463</v>
      </c>
      <c r="K414" s="3161"/>
      <c r="M414" s="3161"/>
    </row>
    <row r="415" spans="1:13" ht="16.5">
      <c r="A415" s="3168">
        <v>413</v>
      </c>
      <c r="B415" s="3169" t="s">
        <v>4786</v>
      </c>
      <c r="C415" s="3170" t="s">
        <v>4786</v>
      </c>
      <c r="D415" s="3171" t="s">
        <v>5612</v>
      </c>
      <c r="E415" s="3170" t="s">
        <v>5613</v>
      </c>
      <c r="F415" s="3177" t="s">
        <v>4789</v>
      </c>
      <c r="G415" s="3169">
        <v>-1638</v>
      </c>
      <c r="H415" s="3172">
        <v>37.39</v>
      </c>
      <c r="I415" s="3173">
        <v>600000.32120000001</v>
      </c>
      <c r="J415" s="3174" t="s">
        <v>3447</v>
      </c>
      <c r="K415" s="3161"/>
      <c r="M415" s="3161"/>
    </row>
    <row r="416" spans="1:13" ht="16.5">
      <c r="A416" s="3168">
        <v>414</v>
      </c>
      <c r="B416" s="3169" t="s">
        <v>4786</v>
      </c>
      <c r="C416" s="3170" t="s">
        <v>4786</v>
      </c>
      <c r="D416" s="3171" t="s">
        <v>5614</v>
      </c>
      <c r="E416" s="3170" t="s">
        <v>5615</v>
      </c>
      <c r="F416" s="3177" t="s">
        <v>4789</v>
      </c>
      <c r="G416" s="3169">
        <v>-1640</v>
      </c>
      <c r="H416" s="3172">
        <v>37.39</v>
      </c>
      <c r="I416" s="3173">
        <v>600000.32120000001</v>
      </c>
      <c r="J416" s="3174" t="s">
        <v>3447</v>
      </c>
      <c r="K416" s="3161"/>
      <c r="M416" s="3161"/>
    </row>
    <row r="417" spans="1:13" ht="16.5">
      <c r="A417" s="3168">
        <v>415</v>
      </c>
      <c r="B417" s="3169" t="s">
        <v>4786</v>
      </c>
      <c r="C417" s="3170" t="s">
        <v>4786</v>
      </c>
      <c r="D417" s="3171" t="s">
        <v>5616</v>
      </c>
      <c r="E417" s="3170" t="s">
        <v>5617</v>
      </c>
      <c r="F417" s="3177" t="s">
        <v>4789</v>
      </c>
      <c r="G417" s="3169">
        <v>-1641</v>
      </c>
      <c r="H417" s="3172">
        <v>37.39</v>
      </c>
      <c r="I417" s="3173">
        <v>600000.32120000001</v>
      </c>
      <c r="J417" s="3174" t="s">
        <v>3447</v>
      </c>
      <c r="K417" s="3161"/>
      <c r="M417" s="3161"/>
    </row>
    <row r="418" spans="1:13" ht="16.5">
      <c r="A418" s="3168">
        <v>416</v>
      </c>
      <c r="B418" s="3169" t="s">
        <v>4786</v>
      </c>
      <c r="C418" s="3170" t="s">
        <v>4786</v>
      </c>
      <c r="D418" s="3171" t="s">
        <v>5618</v>
      </c>
      <c r="E418" s="3170" t="s">
        <v>5619</v>
      </c>
      <c r="F418" s="3177" t="s">
        <v>4789</v>
      </c>
      <c r="G418" s="3169">
        <v>-1648</v>
      </c>
      <c r="H418" s="3172">
        <v>37.39</v>
      </c>
      <c r="I418" s="3173">
        <v>600000.32120000001</v>
      </c>
      <c r="J418" s="3174" t="s">
        <v>3447</v>
      </c>
      <c r="K418" s="3161"/>
      <c r="M418" s="3161"/>
    </row>
    <row r="419" spans="1:13" ht="16.5">
      <c r="A419" s="3168">
        <v>417</v>
      </c>
      <c r="B419" s="3169" t="s">
        <v>4786</v>
      </c>
      <c r="C419" s="3170" t="s">
        <v>4786</v>
      </c>
      <c r="D419" s="3171" t="s">
        <v>5620</v>
      </c>
      <c r="E419" s="3170" t="s">
        <v>5621</v>
      </c>
      <c r="F419" s="3177" t="s">
        <v>4789</v>
      </c>
      <c r="G419" s="3169">
        <v>-1663</v>
      </c>
      <c r="H419" s="3172">
        <v>37.39</v>
      </c>
      <c r="I419" s="3173">
        <v>600000.32120000001</v>
      </c>
      <c r="J419" s="3174" t="s">
        <v>3447</v>
      </c>
      <c r="K419" s="3161"/>
      <c r="M419" s="3161"/>
    </row>
    <row r="420" spans="1:13" ht="16.5">
      <c r="A420" s="3168">
        <v>418</v>
      </c>
      <c r="B420" s="3169" t="s">
        <v>4786</v>
      </c>
      <c r="C420" s="3170" t="s">
        <v>4786</v>
      </c>
      <c r="D420" s="3171" t="s">
        <v>5622</v>
      </c>
      <c r="E420" s="3170" t="s">
        <v>5623</v>
      </c>
      <c r="F420" s="3177" t="s">
        <v>4789</v>
      </c>
      <c r="G420" s="3169">
        <v>-1664</v>
      </c>
      <c r="H420" s="3172">
        <v>37.39</v>
      </c>
      <c r="I420" s="3173">
        <v>600000.32120000001</v>
      </c>
      <c r="J420" s="3174" t="s">
        <v>3447</v>
      </c>
      <c r="K420" s="3161"/>
      <c r="M420" s="3161"/>
    </row>
    <row r="421" spans="1:13" ht="16.5">
      <c r="A421" s="3168">
        <v>419</v>
      </c>
      <c r="B421" s="3169" t="s">
        <v>4786</v>
      </c>
      <c r="C421" s="3170" t="s">
        <v>4786</v>
      </c>
      <c r="D421" s="3171" t="s">
        <v>5624</v>
      </c>
      <c r="E421" s="3170" t="s">
        <v>5625</v>
      </c>
      <c r="F421" s="3177" t="s">
        <v>4789</v>
      </c>
      <c r="G421" s="3169">
        <v>-1665</v>
      </c>
      <c r="H421" s="3172">
        <v>37.39</v>
      </c>
      <c r="I421" s="3173">
        <v>600000.32120000001</v>
      </c>
      <c r="J421" s="3174" t="s">
        <v>3447</v>
      </c>
      <c r="K421" s="3161"/>
      <c r="M421" s="3161"/>
    </row>
    <row r="422" spans="1:13" ht="16.5">
      <c r="A422" s="3168">
        <v>420</v>
      </c>
      <c r="B422" s="3169" t="s">
        <v>4786</v>
      </c>
      <c r="C422" s="3170" t="s">
        <v>4786</v>
      </c>
      <c r="D422" s="3171" t="s">
        <v>5626</v>
      </c>
      <c r="E422" s="3170" t="s">
        <v>5627</v>
      </c>
      <c r="F422" s="3177" t="s">
        <v>4789</v>
      </c>
      <c r="G422" s="3169">
        <v>-1666</v>
      </c>
      <c r="H422" s="3172">
        <v>37.39</v>
      </c>
      <c r="I422" s="3173">
        <v>600000.32120000001</v>
      </c>
      <c r="J422" s="3174" t="s">
        <v>3447</v>
      </c>
      <c r="K422" s="3161"/>
      <c r="M422" s="3161"/>
    </row>
    <row r="423" spans="1:13" ht="16.5">
      <c r="A423" s="3168">
        <v>421</v>
      </c>
      <c r="B423" s="3169" t="s">
        <v>4786</v>
      </c>
      <c r="C423" s="3170" t="s">
        <v>4786</v>
      </c>
      <c r="D423" s="3171" t="s">
        <v>5628</v>
      </c>
      <c r="E423" s="3170" t="s">
        <v>5629</v>
      </c>
      <c r="F423" s="3177" t="s">
        <v>4789</v>
      </c>
      <c r="G423" s="3169">
        <v>-1667</v>
      </c>
      <c r="H423" s="3172">
        <v>37.39</v>
      </c>
      <c r="I423" s="3173">
        <v>600000.32120000001</v>
      </c>
      <c r="J423" s="3174" t="s">
        <v>3447</v>
      </c>
      <c r="K423" s="3161"/>
      <c r="M423" s="3161"/>
    </row>
    <row r="424" spans="1:13" ht="16.5">
      <c r="A424" s="3168">
        <v>422</v>
      </c>
      <c r="B424" s="3169" t="s">
        <v>4786</v>
      </c>
      <c r="C424" s="3170" t="s">
        <v>4786</v>
      </c>
      <c r="D424" s="3171" t="s">
        <v>5630</v>
      </c>
      <c r="E424" s="3170" t="s">
        <v>5631</v>
      </c>
      <c r="F424" s="3177" t="s">
        <v>4789</v>
      </c>
      <c r="G424" s="3169">
        <v>-1668</v>
      </c>
      <c r="H424" s="3172">
        <v>37.39</v>
      </c>
      <c r="I424" s="3173">
        <v>600000.32120000001</v>
      </c>
      <c r="J424" s="3174" t="s">
        <v>3447</v>
      </c>
      <c r="K424" s="3161"/>
      <c r="M424" s="3161"/>
    </row>
    <row r="425" spans="1:13" ht="16.5">
      <c r="A425" s="3168">
        <v>423</v>
      </c>
      <c r="B425" s="3169" t="s">
        <v>4786</v>
      </c>
      <c r="C425" s="3170" t="s">
        <v>4786</v>
      </c>
      <c r="D425" s="3171" t="s">
        <v>5632</v>
      </c>
      <c r="E425" s="3170" t="s">
        <v>5633</v>
      </c>
      <c r="F425" s="3177" t="s">
        <v>4789</v>
      </c>
      <c r="G425" s="3169">
        <v>-1669</v>
      </c>
      <c r="H425" s="3172">
        <v>35.9</v>
      </c>
      <c r="I425" s="3173">
        <v>600000.29</v>
      </c>
      <c r="J425" s="3174" t="s">
        <v>3447</v>
      </c>
      <c r="K425" s="3161"/>
      <c r="M425" s="3161"/>
    </row>
    <row r="426" spans="1:13" ht="16.5">
      <c r="A426" s="3168">
        <v>424</v>
      </c>
      <c r="B426" s="3169" t="s">
        <v>4786</v>
      </c>
      <c r="C426" s="3170" t="s">
        <v>4786</v>
      </c>
      <c r="D426" s="3171" t="s">
        <v>5634</v>
      </c>
      <c r="E426" s="3170" t="s">
        <v>5635</v>
      </c>
      <c r="F426" s="3177" t="s">
        <v>4789</v>
      </c>
      <c r="G426" s="3169">
        <v>-1671</v>
      </c>
      <c r="H426" s="3172">
        <v>37.39</v>
      </c>
      <c r="I426" s="3173">
        <v>600000.32120000001</v>
      </c>
      <c r="J426" s="3174" t="s">
        <v>3447</v>
      </c>
      <c r="K426" s="3161"/>
      <c r="M426" s="3161"/>
    </row>
    <row r="427" spans="1:13" ht="16.5">
      <c r="A427" s="3168">
        <v>425</v>
      </c>
      <c r="B427" s="3169" t="s">
        <v>4786</v>
      </c>
      <c r="C427" s="3170" t="s">
        <v>4786</v>
      </c>
      <c r="D427" s="3171" t="s">
        <v>5636</v>
      </c>
      <c r="E427" s="3170" t="s">
        <v>5637</v>
      </c>
      <c r="F427" s="3177" t="s">
        <v>4789</v>
      </c>
      <c r="G427" s="3169">
        <v>-1672</v>
      </c>
      <c r="H427" s="3172">
        <v>37.39</v>
      </c>
      <c r="I427" s="3173">
        <v>600000.32120000001</v>
      </c>
      <c r="J427" s="3174" t="s">
        <v>3447</v>
      </c>
      <c r="K427" s="3161"/>
      <c r="M427" s="3161"/>
    </row>
    <row r="428" spans="1:13" ht="16.5">
      <c r="A428" s="3168">
        <v>426</v>
      </c>
      <c r="B428" s="3169" t="s">
        <v>4786</v>
      </c>
      <c r="C428" s="3170" t="s">
        <v>4786</v>
      </c>
      <c r="D428" s="3171" t="s">
        <v>5638</v>
      </c>
      <c r="E428" s="3170" t="s">
        <v>5639</v>
      </c>
      <c r="F428" s="3177" t="s">
        <v>4789</v>
      </c>
      <c r="G428" s="3169">
        <v>-1674</v>
      </c>
      <c r="H428" s="3172">
        <v>37.39</v>
      </c>
      <c r="I428" s="3173">
        <v>600000.32120000001</v>
      </c>
      <c r="J428" s="3174" t="s">
        <v>3447</v>
      </c>
      <c r="K428" s="3161"/>
      <c r="M428" s="3161"/>
    </row>
    <row r="429" spans="1:13" ht="16.5">
      <c r="A429" s="3168">
        <v>427</v>
      </c>
      <c r="B429" s="3169" t="s">
        <v>4786</v>
      </c>
      <c r="C429" s="3170" t="s">
        <v>4786</v>
      </c>
      <c r="D429" s="3171" t="s">
        <v>5640</v>
      </c>
      <c r="E429" s="3170" t="s">
        <v>5641</v>
      </c>
      <c r="F429" s="3177" t="s">
        <v>4789</v>
      </c>
      <c r="G429" s="3169">
        <v>-1675</v>
      </c>
      <c r="H429" s="3172">
        <v>37.39</v>
      </c>
      <c r="I429" s="3173">
        <v>600000.32120000001</v>
      </c>
      <c r="J429" s="3174" t="s">
        <v>3463</v>
      </c>
      <c r="K429" s="3161"/>
      <c r="M429" s="3161"/>
    </row>
    <row r="430" spans="1:13" ht="16.5">
      <c r="A430" s="3168">
        <v>428</v>
      </c>
      <c r="B430" s="3169" t="s">
        <v>4786</v>
      </c>
      <c r="C430" s="3170" t="s">
        <v>4786</v>
      </c>
      <c r="D430" s="3171" t="s">
        <v>5642</v>
      </c>
      <c r="E430" s="3170" t="s">
        <v>5643</v>
      </c>
      <c r="F430" s="3177" t="s">
        <v>4789</v>
      </c>
      <c r="G430" s="3169">
        <v>-1677</v>
      </c>
      <c r="H430" s="3172">
        <v>37.39</v>
      </c>
      <c r="I430" s="3173">
        <v>600000.32120000001</v>
      </c>
      <c r="J430" s="3174" t="s">
        <v>3447</v>
      </c>
      <c r="K430" s="3161"/>
      <c r="M430" s="3161"/>
    </row>
    <row r="431" spans="1:13" ht="16.5">
      <c r="A431" s="3168">
        <v>429</v>
      </c>
      <c r="B431" s="3169" t="s">
        <v>4786</v>
      </c>
      <c r="C431" s="3170" t="s">
        <v>4786</v>
      </c>
      <c r="D431" s="3171" t="s">
        <v>5644</v>
      </c>
      <c r="E431" s="3170" t="s">
        <v>5645</v>
      </c>
      <c r="F431" s="3177" t="s">
        <v>4789</v>
      </c>
      <c r="G431" s="3169">
        <v>-1678</v>
      </c>
      <c r="H431" s="3172">
        <v>37.39</v>
      </c>
      <c r="I431" s="3173">
        <v>600000.32120000001</v>
      </c>
      <c r="J431" s="3174" t="s">
        <v>3447</v>
      </c>
      <c r="K431" s="3161"/>
      <c r="M431" s="3161"/>
    </row>
    <row r="432" spans="1:13" ht="16.5">
      <c r="A432" s="3168">
        <v>430</v>
      </c>
      <c r="B432" s="3169" t="s">
        <v>4786</v>
      </c>
      <c r="C432" s="3170" t="s">
        <v>4786</v>
      </c>
      <c r="D432" s="3171" t="s">
        <v>5646</v>
      </c>
      <c r="E432" s="3170" t="s">
        <v>5647</v>
      </c>
      <c r="F432" s="3177" t="s">
        <v>4789</v>
      </c>
      <c r="G432" s="3169">
        <v>-1682</v>
      </c>
      <c r="H432" s="3172">
        <v>37.39</v>
      </c>
      <c r="I432" s="3173">
        <v>600000.32120000001</v>
      </c>
      <c r="J432" s="3174" t="s">
        <v>3463</v>
      </c>
      <c r="K432" s="3161"/>
      <c r="M432" s="3161"/>
    </row>
    <row r="433" spans="1:10" ht="16.5">
      <c r="A433" s="3168">
        <v>431</v>
      </c>
      <c r="B433" s="3169" t="s">
        <v>4786</v>
      </c>
      <c r="C433" s="3170" t="s">
        <v>4786</v>
      </c>
      <c r="D433" s="3171" t="s">
        <v>5648</v>
      </c>
      <c r="E433" s="3170" t="s">
        <v>5649</v>
      </c>
      <c r="F433" s="3177" t="s">
        <v>4789</v>
      </c>
      <c r="G433" s="3169">
        <v>-1683</v>
      </c>
      <c r="H433" s="3172">
        <v>37.39</v>
      </c>
      <c r="I433" s="3173">
        <v>600000.32120000001</v>
      </c>
      <c r="J433" s="3174" t="s">
        <v>3447</v>
      </c>
    </row>
    <row r="434" spans="1:10" ht="16.5">
      <c r="A434" s="3168">
        <v>432</v>
      </c>
      <c r="B434" s="3169" t="s">
        <v>4786</v>
      </c>
      <c r="C434" s="3170" t="s">
        <v>4786</v>
      </c>
      <c r="D434" s="3171" t="s">
        <v>5650</v>
      </c>
      <c r="E434" s="3170" t="s">
        <v>5651</v>
      </c>
      <c r="F434" s="3177" t="s">
        <v>4789</v>
      </c>
      <c r="G434" s="3169">
        <v>-1684</v>
      </c>
      <c r="H434" s="3172">
        <v>37.39</v>
      </c>
      <c r="I434" s="3173">
        <v>600000.32120000001</v>
      </c>
      <c r="J434" s="3174" t="s">
        <v>3447</v>
      </c>
    </row>
    <row r="435" spans="1:10" ht="16.5">
      <c r="A435" s="3168">
        <v>433</v>
      </c>
      <c r="B435" s="3169" t="s">
        <v>4786</v>
      </c>
      <c r="C435" s="3170" t="s">
        <v>4786</v>
      </c>
      <c r="D435" s="3171" t="s">
        <v>5652</v>
      </c>
      <c r="E435" s="3170" t="s">
        <v>5653</v>
      </c>
      <c r="F435" s="3177" t="s">
        <v>4789</v>
      </c>
      <c r="G435" s="3169">
        <v>-1688</v>
      </c>
      <c r="H435" s="3172">
        <v>37.39</v>
      </c>
      <c r="I435" s="3173">
        <v>600000.32120000001</v>
      </c>
      <c r="J435" s="3174" t="s">
        <v>3447</v>
      </c>
    </row>
    <row r="436" spans="1:10" ht="16.5">
      <c r="A436" s="3168">
        <v>434</v>
      </c>
      <c r="B436" s="3169" t="s">
        <v>4786</v>
      </c>
      <c r="C436" s="3170" t="s">
        <v>4786</v>
      </c>
      <c r="D436" s="3171" t="s">
        <v>5654</v>
      </c>
      <c r="E436" s="3170" t="s">
        <v>5655</v>
      </c>
      <c r="F436" s="3177" t="s">
        <v>4789</v>
      </c>
      <c r="G436" s="3169">
        <v>-1689</v>
      </c>
      <c r="H436" s="3172">
        <v>37.39</v>
      </c>
      <c r="I436" s="3173">
        <v>600000.32120000001</v>
      </c>
      <c r="J436" s="3174" t="s">
        <v>3447</v>
      </c>
    </row>
    <row r="437" spans="1:10" ht="16.5">
      <c r="A437" s="3168">
        <v>435</v>
      </c>
      <c r="B437" s="3169" t="s">
        <v>4786</v>
      </c>
      <c r="C437" s="3170" t="s">
        <v>4786</v>
      </c>
      <c r="D437" s="3171" t="s">
        <v>5656</v>
      </c>
      <c r="E437" s="3170" t="s">
        <v>5657</v>
      </c>
      <c r="F437" s="3177" t="s">
        <v>4789</v>
      </c>
      <c r="G437" s="3169">
        <v>-1690</v>
      </c>
      <c r="H437" s="3172">
        <v>37.39</v>
      </c>
      <c r="I437" s="3173">
        <v>600000.32120000001</v>
      </c>
      <c r="J437" s="3174" t="s">
        <v>3447</v>
      </c>
    </row>
    <row r="438" spans="1:10" ht="16.5">
      <c r="A438" s="3168">
        <v>436</v>
      </c>
      <c r="B438" s="3169" t="s">
        <v>4786</v>
      </c>
      <c r="C438" s="3170" t="s">
        <v>4786</v>
      </c>
      <c r="D438" s="3171" t="s">
        <v>5658</v>
      </c>
      <c r="E438" s="3170" t="s">
        <v>5659</v>
      </c>
      <c r="F438" s="3177" t="s">
        <v>4789</v>
      </c>
      <c r="G438" s="3169">
        <v>-1692</v>
      </c>
      <c r="H438" s="3172">
        <v>37.39</v>
      </c>
      <c r="I438" s="3173">
        <v>600000.32120000001</v>
      </c>
      <c r="J438" s="3174" t="s">
        <v>3447</v>
      </c>
    </row>
    <row r="439" spans="1:10" ht="16.5">
      <c r="A439" s="3168">
        <v>437</v>
      </c>
      <c r="B439" s="3169" t="s">
        <v>4786</v>
      </c>
      <c r="C439" s="3170" t="s">
        <v>4786</v>
      </c>
      <c r="D439" s="3171" t="s">
        <v>5660</v>
      </c>
      <c r="E439" s="3170" t="s">
        <v>5661</v>
      </c>
      <c r="F439" s="3177" t="s">
        <v>4789</v>
      </c>
      <c r="G439" s="3169">
        <v>-1693</v>
      </c>
      <c r="H439" s="3172">
        <v>37.39</v>
      </c>
      <c r="I439" s="3173">
        <v>600000.32120000001</v>
      </c>
      <c r="J439" s="3174" t="s">
        <v>3447</v>
      </c>
    </row>
    <row r="440" spans="1:10" ht="16.5">
      <c r="A440" s="3168">
        <v>438</v>
      </c>
      <c r="B440" s="3169" t="s">
        <v>4786</v>
      </c>
      <c r="C440" s="3170" t="s">
        <v>4786</v>
      </c>
      <c r="D440" s="3171" t="s">
        <v>5662</v>
      </c>
      <c r="E440" s="3170" t="s">
        <v>5663</v>
      </c>
      <c r="F440" s="3177" t="s">
        <v>4789</v>
      </c>
      <c r="G440" s="3169">
        <v>-1694</v>
      </c>
      <c r="H440" s="3172">
        <v>37.39</v>
      </c>
      <c r="I440" s="3173">
        <v>600000.32120000001</v>
      </c>
      <c r="J440" s="3174" t="s">
        <v>3447</v>
      </c>
    </row>
    <row r="441" spans="1:10" ht="16.5">
      <c r="A441" s="3168">
        <v>439</v>
      </c>
      <c r="B441" s="3169" t="s">
        <v>4786</v>
      </c>
      <c r="C441" s="3170" t="s">
        <v>4786</v>
      </c>
      <c r="D441" s="3171" t="s">
        <v>5664</v>
      </c>
      <c r="E441" s="3170" t="s">
        <v>5665</v>
      </c>
      <c r="F441" s="3177" t="s">
        <v>4789</v>
      </c>
      <c r="G441" s="3169">
        <v>-1696</v>
      </c>
      <c r="H441" s="3172">
        <v>37.39</v>
      </c>
      <c r="I441" s="3173">
        <v>600000.32120000001</v>
      </c>
      <c r="J441" s="3174" t="s">
        <v>3447</v>
      </c>
    </row>
    <row r="442" spans="1:10" ht="16.5">
      <c r="A442" s="3168">
        <v>440</v>
      </c>
      <c r="B442" s="3169" t="s">
        <v>4786</v>
      </c>
      <c r="C442" s="3170" t="s">
        <v>4786</v>
      </c>
      <c r="D442" s="3171" t="s">
        <v>5666</v>
      </c>
      <c r="E442" s="3170" t="s">
        <v>5667</v>
      </c>
      <c r="F442" s="3177" t="s">
        <v>4789</v>
      </c>
      <c r="G442" s="3169">
        <v>-1697</v>
      </c>
      <c r="H442" s="3172">
        <v>37.39</v>
      </c>
      <c r="I442" s="3173">
        <v>600000.32120000001</v>
      </c>
      <c r="J442" s="3174" t="s">
        <v>3447</v>
      </c>
    </row>
    <row r="443" spans="1:10" ht="16.5">
      <c r="A443" s="3168">
        <v>441</v>
      </c>
      <c r="B443" s="3169" t="s">
        <v>4786</v>
      </c>
      <c r="C443" s="3170" t="s">
        <v>4786</v>
      </c>
      <c r="D443" s="3171" t="s">
        <v>5668</v>
      </c>
      <c r="E443" s="3170" t="s">
        <v>5669</v>
      </c>
      <c r="F443" s="3177" t="s">
        <v>4789</v>
      </c>
      <c r="G443" s="3169">
        <v>-1699</v>
      </c>
      <c r="H443" s="3172">
        <v>37.39</v>
      </c>
      <c r="I443" s="3173">
        <v>600000.32120000001</v>
      </c>
      <c r="J443" s="3174" t="s">
        <v>3447</v>
      </c>
    </row>
    <row r="444" spans="1:10" ht="16.5">
      <c r="A444" s="3168">
        <v>442</v>
      </c>
      <c r="B444" s="3169" t="s">
        <v>4786</v>
      </c>
      <c r="C444" s="3170" t="s">
        <v>4786</v>
      </c>
      <c r="D444" s="3171" t="s">
        <v>5670</v>
      </c>
      <c r="E444" s="3170" t="s">
        <v>5671</v>
      </c>
      <c r="F444" s="3177" t="s">
        <v>4789</v>
      </c>
      <c r="G444" s="3169">
        <v>-1700</v>
      </c>
      <c r="H444" s="3172">
        <v>35.9</v>
      </c>
      <c r="I444" s="3173">
        <v>600000.29</v>
      </c>
      <c r="J444" s="3174" t="s">
        <v>3447</v>
      </c>
    </row>
    <row r="445" spans="1:10" ht="16.5">
      <c r="A445" s="3168">
        <v>443</v>
      </c>
      <c r="B445" s="3169" t="s">
        <v>4786</v>
      </c>
      <c r="C445" s="3170" t="s">
        <v>4786</v>
      </c>
      <c r="D445" s="3171" t="s">
        <v>5672</v>
      </c>
      <c r="E445" s="3170" t="s">
        <v>5673</v>
      </c>
      <c r="F445" s="3177" t="s">
        <v>4789</v>
      </c>
      <c r="G445" s="3169">
        <v>-1703</v>
      </c>
      <c r="H445" s="3172">
        <v>37.39</v>
      </c>
      <c r="I445" s="3173">
        <v>600000.32120000001</v>
      </c>
      <c r="J445" s="3174" t="s">
        <v>3447</v>
      </c>
    </row>
    <row r="446" spans="1:10" ht="16.5">
      <c r="A446" s="3168">
        <v>444</v>
      </c>
      <c r="B446" s="3169" t="s">
        <v>4786</v>
      </c>
      <c r="C446" s="3170" t="s">
        <v>4786</v>
      </c>
      <c r="D446" s="3171" t="s">
        <v>5674</v>
      </c>
      <c r="E446" s="3170" t="s">
        <v>5675</v>
      </c>
      <c r="F446" s="3177" t="s">
        <v>4789</v>
      </c>
      <c r="G446" s="3169">
        <v>-1704</v>
      </c>
      <c r="H446" s="3172">
        <v>37.39</v>
      </c>
      <c r="I446" s="3173">
        <v>600000.32120000001</v>
      </c>
      <c r="J446" s="3174" t="s">
        <v>3447</v>
      </c>
    </row>
    <row r="447" spans="1:10" ht="16.5">
      <c r="A447" s="3168">
        <v>445</v>
      </c>
      <c r="B447" s="3169" t="s">
        <v>4786</v>
      </c>
      <c r="C447" s="3170" t="s">
        <v>4786</v>
      </c>
      <c r="D447" s="3171" t="s">
        <v>5676</v>
      </c>
      <c r="E447" s="3170" t="s">
        <v>5677</v>
      </c>
      <c r="F447" s="3177" t="s">
        <v>4789</v>
      </c>
      <c r="G447" s="3169">
        <v>-1705</v>
      </c>
      <c r="H447" s="3172">
        <v>37.39</v>
      </c>
      <c r="I447" s="3173">
        <v>600000.32120000001</v>
      </c>
      <c r="J447" s="3174" t="s">
        <v>3447</v>
      </c>
    </row>
    <row r="448" spans="1:10" ht="16.5">
      <c r="A448" s="3168">
        <v>446</v>
      </c>
      <c r="B448" s="3169" t="s">
        <v>4786</v>
      </c>
      <c r="C448" s="3170" t="s">
        <v>4786</v>
      </c>
      <c r="D448" s="3171" t="s">
        <v>5678</v>
      </c>
      <c r="E448" s="3170" t="s">
        <v>5679</v>
      </c>
      <c r="F448" s="3177" t="s">
        <v>4789</v>
      </c>
      <c r="G448" s="3169">
        <v>-1706</v>
      </c>
      <c r="H448" s="3172">
        <v>37.39</v>
      </c>
      <c r="I448" s="3173">
        <v>600000.32120000001</v>
      </c>
      <c r="J448" s="3174" t="s">
        <v>3447</v>
      </c>
    </row>
    <row r="449" spans="1:10" ht="16.5">
      <c r="A449" s="3168">
        <v>447</v>
      </c>
      <c r="B449" s="3169" t="s">
        <v>4786</v>
      </c>
      <c r="C449" s="3170" t="s">
        <v>4786</v>
      </c>
      <c r="D449" s="3171" t="s">
        <v>5680</v>
      </c>
      <c r="E449" s="3170" t="s">
        <v>5681</v>
      </c>
      <c r="F449" s="3177" t="s">
        <v>4789</v>
      </c>
      <c r="G449" s="3169">
        <v>-1707</v>
      </c>
      <c r="H449" s="3172">
        <v>37.39</v>
      </c>
      <c r="I449" s="3173">
        <v>600000.32120000001</v>
      </c>
      <c r="J449" s="3174" t="s">
        <v>3447</v>
      </c>
    </row>
    <row r="450" spans="1:10" ht="16.5">
      <c r="A450" s="3168">
        <v>448</v>
      </c>
      <c r="B450" s="3169" t="s">
        <v>4786</v>
      </c>
      <c r="C450" s="3170" t="s">
        <v>4786</v>
      </c>
      <c r="D450" s="3171" t="s">
        <v>5682</v>
      </c>
      <c r="E450" s="3170" t="s">
        <v>5683</v>
      </c>
      <c r="F450" s="3177" t="s">
        <v>4789</v>
      </c>
      <c r="G450" s="3169">
        <v>-1708</v>
      </c>
      <c r="H450" s="3172">
        <v>37.39</v>
      </c>
      <c r="I450" s="3173">
        <v>600000.32120000001</v>
      </c>
      <c r="J450" s="3174" t="s">
        <v>3447</v>
      </c>
    </row>
    <row r="451" spans="1:10" ht="16.5">
      <c r="A451" s="3168">
        <v>449</v>
      </c>
      <c r="B451" s="3169" t="s">
        <v>4786</v>
      </c>
      <c r="C451" s="3170" t="s">
        <v>4786</v>
      </c>
      <c r="D451" s="3171" t="s">
        <v>5684</v>
      </c>
      <c r="E451" s="3170" t="s">
        <v>5685</v>
      </c>
      <c r="F451" s="3177" t="s">
        <v>4789</v>
      </c>
      <c r="G451" s="3169">
        <v>-1709</v>
      </c>
      <c r="H451" s="3172">
        <v>35.9</v>
      </c>
      <c r="I451" s="3173">
        <v>600000.29</v>
      </c>
      <c r="J451" s="3174" t="s">
        <v>3447</v>
      </c>
    </row>
    <row r="452" spans="1:10">
      <c r="H452" s="3176">
        <f>SUM(H3:H451)</f>
        <v>16849.759999999893</v>
      </c>
    </row>
    <row r="453" spans="1:10">
      <c r="H453" s="3176">
        <f>'新范围-车位'!F430</f>
        <v>0</v>
      </c>
    </row>
    <row r="454" spans="1:10">
      <c r="H454" s="3176">
        <f>H452-H453</f>
        <v>16849.759999999893</v>
      </c>
    </row>
  </sheetData>
  <autoFilter ref="A2:P432" xr:uid="{00000000-0009-0000-0000-000010000000}"/>
  <mergeCells count="1">
    <mergeCell ref="A1:H1"/>
  </mergeCells>
  <phoneticPr fontId="134" type="noConversion"/>
  <conditionalFormatting sqref="D3">
    <cfRule type="expression" dxfId="1048" priority="898">
      <formula>AND(SUMPRODUCT(IFERROR(1*(($D$660&amp;"x")=(D3&amp;"x")),0))&gt;1,NOT(ISBLANK(D3)))</formula>
    </cfRule>
    <cfRule type="duplicateValues" dxfId="1047" priority="449"/>
  </conditionalFormatting>
  <conditionalFormatting sqref="D4">
    <cfRule type="expression" dxfId="1046" priority="897">
      <formula>AND(SUMPRODUCT(IFERROR(1*(($D$661&amp;"x")=(D4&amp;"x")),0))&gt;1,NOT(ISBLANK(D4)))</formula>
    </cfRule>
    <cfRule type="duplicateValues" dxfId="1045" priority="448"/>
  </conditionalFormatting>
  <conditionalFormatting sqref="D5">
    <cfRule type="duplicateValues" dxfId="1044" priority="447"/>
    <cfRule type="expression" dxfId="1043" priority="896">
      <formula>AND(SUMPRODUCT(IFERROR(1*(($D$662&amp;"x")=(D5&amp;"x")),0))&gt;1,NOT(ISBLANK(D5)))</formula>
    </cfRule>
  </conditionalFormatting>
  <conditionalFormatting sqref="D6">
    <cfRule type="duplicateValues" dxfId="1042" priority="446"/>
    <cfRule type="expression" dxfId="1041" priority="895">
      <formula>AND(SUMPRODUCT(IFERROR(1*(($D$663&amp;"x")=(D6&amp;"x")),0))&gt;1,NOT(ISBLANK(D6)))</formula>
    </cfRule>
  </conditionalFormatting>
  <conditionalFormatting sqref="D7">
    <cfRule type="expression" dxfId="1040" priority="894">
      <formula>AND(SUMPRODUCT(IFERROR(1*(($D$664&amp;"x")=(D7&amp;"x")),0))&gt;1,NOT(ISBLANK(D7)))</formula>
    </cfRule>
    <cfRule type="duplicateValues" dxfId="1039" priority="445"/>
  </conditionalFormatting>
  <conditionalFormatting sqref="D8">
    <cfRule type="expression" dxfId="1038" priority="893">
      <formula>AND(SUMPRODUCT(IFERROR(1*(($D$665&amp;"x")=(D8&amp;"x")),0))&gt;1,NOT(ISBLANK(D8)))</formula>
    </cfRule>
    <cfRule type="duplicateValues" dxfId="1037" priority="444"/>
  </conditionalFormatting>
  <conditionalFormatting sqref="D9">
    <cfRule type="expression" dxfId="1036" priority="892">
      <formula>AND(SUMPRODUCT(IFERROR(1*(($D$666&amp;"x")=(D9&amp;"x")),0))&gt;1,NOT(ISBLANK(D9)))</formula>
    </cfRule>
    <cfRule type="duplicateValues" dxfId="1035" priority="443"/>
  </conditionalFormatting>
  <conditionalFormatting sqref="D10">
    <cfRule type="expression" dxfId="1034" priority="891">
      <formula>AND(SUMPRODUCT(IFERROR(1*(($D$667&amp;"x")=(D10&amp;"x")),0))&gt;1,NOT(ISBLANK(D10)))</formula>
    </cfRule>
    <cfRule type="duplicateValues" dxfId="1033" priority="442"/>
  </conditionalFormatting>
  <conditionalFormatting sqref="D11">
    <cfRule type="expression" dxfId="1032" priority="890">
      <formula>AND(SUMPRODUCT(IFERROR(1*(($D$668&amp;"x")=(D11&amp;"x")),0))&gt;1,NOT(ISBLANK(D11)))</formula>
    </cfRule>
    <cfRule type="duplicateValues" dxfId="1031" priority="441"/>
  </conditionalFormatting>
  <conditionalFormatting sqref="D12">
    <cfRule type="expression" dxfId="1030" priority="889">
      <formula>AND(SUMPRODUCT(IFERROR(1*(($D$669&amp;"x")=(D12&amp;"x")),0))&gt;1,NOT(ISBLANK(D12)))</formula>
    </cfRule>
    <cfRule type="duplicateValues" dxfId="1029" priority="440"/>
  </conditionalFormatting>
  <conditionalFormatting sqref="D13">
    <cfRule type="duplicateValues" dxfId="1028" priority="439"/>
    <cfRule type="expression" dxfId="1027" priority="888">
      <formula>AND(SUMPRODUCT(IFERROR(1*(($D$670&amp;"x")=(D13&amp;"x")),0))&gt;1,NOT(ISBLANK(D13)))</formula>
    </cfRule>
  </conditionalFormatting>
  <conditionalFormatting sqref="D14">
    <cfRule type="expression" dxfId="1026" priority="887">
      <formula>AND(SUMPRODUCT(IFERROR(1*(($D$671&amp;"x")=(D14&amp;"x")),0))&gt;1,NOT(ISBLANK(D14)))</formula>
    </cfRule>
    <cfRule type="duplicateValues" dxfId="1025" priority="438"/>
  </conditionalFormatting>
  <conditionalFormatting sqref="D15">
    <cfRule type="expression" dxfId="1024" priority="886">
      <formula>AND(SUMPRODUCT(IFERROR(1*(($D$672&amp;"x")=(D15&amp;"x")),0))&gt;1,NOT(ISBLANK(D15)))</formula>
    </cfRule>
    <cfRule type="duplicateValues" dxfId="1023" priority="437"/>
  </conditionalFormatting>
  <conditionalFormatting sqref="D16">
    <cfRule type="expression" dxfId="1022" priority="885">
      <formula>AND(SUMPRODUCT(IFERROR(1*(($D$673&amp;"x")=(D16&amp;"x")),0))&gt;1,NOT(ISBLANK(D16)))</formula>
    </cfRule>
    <cfRule type="duplicateValues" dxfId="1021" priority="436"/>
  </conditionalFormatting>
  <conditionalFormatting sqref="D17">
    <cfRule type="expression" dxfId="1020" priority="884">
      <formula>AND(SUMPRODUCT(IFERROR(1*(($D$674&amp;"x")=(D17&amp;"x")),0))&gt;1,NOT(ISBLANK(D17)))</formula>
    </cfRule>
    <cfRule type="duplicateValues" dxfId="1019" priority="435"/>
  </conditionalFormatting>
  <conditionalFormatting sqref="D18">
    <cfRule type="expression" dxfId="1018" priority="883">
      <formula>AND(SUMPRODUCT(IFERROR(1*(($D$675&amp;"x")=(D18&amp;"x")),0))&gt;1,NOT(ISBLANK(D18)))</formula>
    </cfRule>
    <cfRule type="duplicateValues" dxfId="1017" priority="434"/>
  </conditionalFormatting>
  <conditionalFormatting sqref="D19">
    <cfRule type="expression" dxfId="1016" priority="882">
      <formula>AND(SUMPRODUCT(IFERROR(1*(($D$676&amp;"x")=(D19&amp;"x")),0))&gt;1,NOT(ISBLANK(D19)))</formula>
    </cfRule>
    <cfRule type="duplicateValues" dxfId="1015" priority="433"/>
  </conditionalFormatting>
  <conditionalFormatting sqref="D20">
    <cfRule type="expression" dxfId="1014" priority="881">
      <formula>AND(SUMPRODUCT(IFERROR(1*(($D$677&amp;"x")=(D20&amp;"x")),0))&gt;1,NOT(ISBLANK(D20)))</formula>
    </cfRule>
    <cfRule type="duplicateValues" dxfId="1013" priority="432"/>
  </conditionalFormatting>
  <conditionalFormatting sqref="D21">
    <cfRule type="expression" dxfId="1012" priority="880">
      <formula>AND(SUMPRODUCT(IFERROR(1*(($D$678&amp;"x")=(D21&amp;"x")),0))&gt;1,NOT(ISBLANK(D21)))</formula>
    </cfRule>
    <cfRule type="duplicateValues" dxfId="1011" priority="431"/>
  </conditionalFormatting>
  <conditionalFormatting sqref="D22">
    <cfRule type="duplicateValues" dxfId="1010" priority="430"/>
    <cfRule type="expression" dxfId="1009" priority="879">
      <formula>AND(SUMPRODUCT(IFERROR(1*(($D$679&amp;"x")=(D22&amp;"x")),0))&gt;1,NOT(ISBLANK(D22)))</formula>
    </cfRule>
  </conditionalFormatting>
  <conditionalFormatting sqref="D23">
    <cfRule type="duplicateValues" dxfId="1008" priority="429"/>
    <cfRule type="expression" dxfId="1007" priority="878">
      <formula>AND(SUMPRODUCT(IFERROR(1*(($D$680&amp;"x")=(D23&amp;"x")),0))&gt;1,NOT(ISBLANK(D23)))</formula>
    </cfRule>
  </conditionalFormatting>
  <conditionalFormatting sqref="D24">
    <cfRule type="duplicateValues" dxfId="1006" priority="428"/>
    <cfRule type="expression" dxfId="1005" priority="877">
      <formula>AND(SUMPRODUCT(IFERROR(1*(($D$681&amp;"x")=(D24&amp;"x")),0))&gt;1,NOT(ISBLANK(D24)))</formula>
    </cfRule>
  </conditionalFormatting>
  <conditionalFormatting sqref="D25">
    <cfRule type="duplicateValues" dxfId="1004" priority="427"/>
    <cfRule type="expression" dxfId="1003" priority="876">
      <formula>AND(SUMPRODUCT(IFERROR(1*(($D$682&amp;"x")=(D25&amp;"x")),0))&gt;1,NOT(ISBLANK(D25)))</formula>
    </cfRule>
  </conditionalFormatting>
  <conditionalFormatting sqref="D26">
    <cfRule type="duplicateValues" dxfId="1002" priority="426"/>
    <cfRule type="expression" dxfId="1001" priority="875">
      <formula>AND(SUMPRODUCT(IFERROR(1*(($D$683&amp;"x")=(D26&amp;"x")),0))&gt;1,NOT(ISBLANK(D26)))</formula>
    </cfRule>
  </conditionalFormatting>
  <conditionalFormatting sqref="D27">
    <cfRule type="duplicateValues" dxfId="1000" priority="425"/>
    <cfRule type="expression" dxfId="999" priority="874">
      <formula>AND(SUMPRODUCT(IFERROR(1*(($D$684&amp;"x")=(D27&amp;"x")),0))&gt;1,NOT(ISBLANK(D27)))</formula>
    </cfRule>
  </conditionalFormatting>
  <conditionalFormatting sqref="D28">
    <cfRule type="duplicateValues" dxfId="998" priority="424"/>
    <cfRule type="expression" dxfId="997" priority="873">
      <formula>AND(SUMPRODUCT(IFERROR(1*(($D$685&amp;"x")=(D28&amp;"x")),0))&gt;1,NOT(ISBLANK(D28)))</formula>
    </cfRule>
  </conditionalFormatting>
  <conditionalFormatting sqref="D29">
    <cfRule type="expression" dxfId="996" priority="872">
      <formula>AND(SUMPRODUCT(IFERROR(1*(($D$686&amp;"x")=(D29&amp;"x")),0))&gt;1,NOT(ISBLANK(D29)))</formula>
    </cfRule>
    <cfRule type="duplicateValues" dxfId="995" priority="423"/>
  </conditionalFormatting>
  <conditionalFormatting sqref="D30">
    <cfRule type="duplicateValues" dxfId="994" priority="422"/>
    <cfRule type="expression" dxfId="993" priority="871">
      <formula>AND(SUMPRODUCT(IFERROR(1*(($D$687&amp;"x")=(D30&amp;"x")),0))&gt;1,NOT(ISBLANK(D30)))</formula>
    </cfRule>
  </conditionalFormatting>
  <conditionalFormatting sqref="D31">
    <cfRule type="expression" dxfId="992" priority="870">
      <formula>AND(SUMPRODUCT(IFERROR(1*(($D$688&amp;"x")=(D31&amp;"x")),0))&gt;1,NOT(ISBLANK(D31)))</formula>
    </cfRule>
    <cfRule type="duplicateValues" dxfId="991" priority="421"/>
  </conditionalFormatting>
  <conditionalFormatting sqref="D32">
    <cfRule type="expression" dxfId="990" priority="869">
      <formula>AND(SUMPRODUCT(IFERROR(1*(($D$689&amp;"x")=(D32&amp;"x")),0))&gt;1,NOT(ISBLANK(D32)))</formula>
    </cfRule>
    <cfRule type="duplicateValues" dxfId="989" priority="420"/>
  </conditionalFormatting>
  <conditionalFormatting sqref="D33">
    <cfRule type="expression" dxfId="988" priority="868">
      <formula>AND(SUMPRODUCT(IFERROR(1*(($D$690&amp;"x")=(D33&amp;"x")),0))&gt;1,NOT(ISBLANK(D33)))</formula>
    </cfRule>
    <cfRule type="duplicateValues" dxfId="987" priority="419"/>
  </conditionalFormatting>
  <conditionalFormatting sqref="D34">
    <cfRule type="expression" dxfId="986" priority="867">
      <formula>AND(SUMPRODUCT(IFERROR(1*(($D$691&amp;"x")=(D34&amp;"x")),0))&gt;1,NOT(ISBLANK(D34)))</formula>
    </cfRule>
    <cfRule type="duplicateValues" dxfId="985" priority="418"/>
  </conditionalFormatting>
  <conditionalFormatting sqref="D35">
    <cfRule type="expression" dxfId="984" priority="866">
      <formula>AND(SUMPRODUCT(IFERROR(1*(($D$692&amp;"x")=(D35&amp;"x")),0))&gt;1,NOT(ISBLANK(D35)))</formula>
    </cfRule>
    <cfRule type="duplicateValues" dxfId="983" priority="417"/>
  </conditionalFormatting>
  <conditionalFormatting sqref="D36">
    <cfRule type="expression" dxfId="982" priority="865">
      <formula>AND(SUMPRODUCT(IFERROR(1*(($D$693&amp;"x")=(D36&amp;"x")),0))&gt;1,NOT(ISBLANK(D36)))</formula>
    </cfRule>
    <cfRule type="duplicateValues" dxfId="981" priority="416"/>
  </conditionalFormatting>
  <conditionalFormatting sqref="D37">
    <cfRule type="expression" dxfId="980" priority="864">
      <formula>AND(SUMPRODUCT(IFERROR(1*(($D$694&amp;"x")=(D37&amp;"x")),0))&gt;1,NOT(ISBLANK(D37)))</formula>
    </cfRule>
    <cfRule type="duplicateValues" dxfId="979" priority="415"/>
  </conditionalFormatting>
  <conditionalFormatting sqref="D38">
    <cfRule type="expression" dxfId="978" priority="863">
      <formula>AND(SUMPRODUCT(IFERROR(1*(($D$695&amp;"x")=(D38&amp;"x")),0))&gt;1,NOT(ISBLANK(D38)))</formula>
    </cfRule>
    <cfRule type="duplicateValues" dxfId="977" priority="414"/>
  </conditionalFormatting>
  <conditionalFormatting sqref="D39">
    <cfRule type="expression" dxfId="976" priority="862">
      <formula>AND(SUMPRODUCT(IFERROR(1*(($D$696&amp;"x")=(D39&amp;"x")),0))&gt;1,NOT(ISBLANK(D39)))</formula>
    </cfRule>
    <cfRule type="duplicateValues" dxfId="975" priority="413"/>
  </conditionalFormatting>
  <conditionalFormatting sqref="D40">
    <cfRule type="expression" dxfId="974" priority="861">
      <formula>AND(SUMPRODUCT(IFERROR(1*(($D$697&amp;"x")=(D40&amp;"x")),0))&gt;1,NOT(ISBLANK(D40)))</formula>
    </cfRule>
    <cfRule type="duplicateValues" dxfId="973" priority="412"/>
  </conditionalFormatting>
  <conditionalFormatting sqref="D41">
    <cfRule type="expression" dxfId="972" priority="860">
      <formula>AND(SUMPRODUCT(IFERROR(1*(($D$698&amp;"x")=(D41&amp;"x")),0))&gt;1,NOT(ISBLANK(D41)))</formula>
    </cfRule>
    <cfRule type="duplicateValues" dxfId="971" priority="411"/>
  </conditionalFormatting>
  <conditionalFormatting sqref="D42">
    <cfRule type="expression" dxfId="970" priority="859">
      <formula>AND(SUMPRODUCT(IFERROR(1*(($D$699&amp;"x")=(D42&amp;"x")),0))&gt;1,NOT(ISBLANK(D42)))</formula>
    </cfRule>
    <cfRule type="duplicateValues" dxfId="969" priority="410"/>
  </conditionalFormatting>
  <conditionalFormatting sqref="D43">
    <cfRule type="expression" dxfId="968" priority="858">
      <formula>AND(SUMPRODUCT(IFERROR(1*(($D$700&amp;"x")=(D43&amp;"x")),0))&gt;1,NOT(ISBLANK(D43)))</formula>
    </cfRule>
    <cfRule type="duplicateValues" dxfId="967" priority="409"/>
  </conditionalFormatting>
  <conditionalFormatting sqref="D44">
    <cfRule type="expression" dxfId="966" priority="857">
      <formula>AND(SUMPRODUCT(IFERROR(1*(($D$701&amp;"x")=(D44&amp;"x")),0))&gt;1,NOT(ISBLANK(D44)))</formula>
    </cfRule>
    <cfRule type="duplicateValues" dxfId="965" priority="408"/>
  </conditionalFormatting>
  <conditionalFormatting sqref="D45">
    <cfRule type="expression" dxfId="964" priority="856">
      <formula>AND(SUMPRODUCT(IFERROR(1*(($D$702&amp;"x")=(D45&amp;"x")),0))&gt;1,NOT(ISBLANK(D45)))</formula>
    </cfRule>
    <cfRule type="duplicateValues" dxfId="963" priority="407"/>
  </conditionalFormatting>
  <conditionalFormatting sqref="D46">
    <cfRule type="expression" dxfId="962" priority="855">
      <formula>AND(SUMPRODUCT(IFERROR(1*(($D$703&amp;"x")=(D46&amp;"x")),0))&gt;1,NOT(ISBLANK(D46)))</formula>
    </cfRule>
    <cfRule type="duplicateValues" dxfId="961" priority="406"/>
  </conditionalFormatting>
  <conditionalFormatting sqref="D47">
    <cfRule type="expression" dxfId="960" priority="854">
      <formula>AND(SUMPRODUCT(IFERROR(1*(($D$704&amp;"x")=(D47&amp;"x")),0))&gt;1,NOT(ISBLANK(D47)))</formula>
    </cfRule>
    <cfRule type="duplicateValues" dxfId="959" priority="405"/>
  </conditionalFormatting>
  <conditionalFormatting sqref="D48">
    <cfRule type="expression" dxfId="958" priority="853">
      <formula>AND(SUMPRODUCT(IFERROR(1*(($D$705&amp;"x")=(D48&amp;"x")),0))&gt;1,NOT(ISBLANK(D48)))</formula>
    </cfRule>
    <cfRule type="duplicateValues" dxfId="957" priority="404"/>
  </conditionalFormatting>
  <conditionalFormatting sqref="D49">
    <cfRule type="expression" dxfId="956" priority="852">
      <formula>AND(SUMPRODUCT(IFERROR(1*(($D$706&amp;"x")=(D49&amp;"x")),0))&gt;1,NOT(ISBLANK(D49)))</formula>
    </cfRule>
    <cfRule type="duplicateValues" dxfId="955" priority="403"/>
  </conditionalFormatting>
  <conditionalFormatting sqref="D50">
    <cfRule type="expression" dxfId="954" priority="851">
      <formula>AND(SUMPRODUCT(IFERROR(1*(($D$707&amp;"x")=(D50&amp;"x")),0))&gt;1,NOT(ISBLANK(D50)))</formula>
    </cfRule>
    <cfRule type="duplicateValues" dxfId="953" priority="402"/>
  </conditionalFormatting>
  <conditionalFormatting sqref="D51">
    <cfRule type="expression" dxfId="952" priority="850">
      <formula>AND(SUMPRODUCT(IFERROR(1*(($D$708&amp;"x")=(D51&amp;"x")),0))&gt;1,NOT(ISBLANK(D51)))</formula>
    </cfRule>
    <cfRule type="duplicateValues" dxfId="951" priority="401"/>
  </conditionalFormatting>
  <conditionalFormatting sqref="D52">
    <cfRule type="expression" dxfId="950" priority="849">
      <formula>AND(SUMPRODUCT(IFERROR(1*(($D$709&amp;"x")=(D52&amp;"x")),0))&gt;1,NOT(ISBLANK(D52)))</formula>
    </cfRule>
    <cfRule type="duplicateValues" dxfId="949" priority="400"/>
  </conditionalFormatting>
  <conditionalFormatting sqref="D53">
    <cfRule type="expression" dxfId="948" priority="848">
      <formula>AND(SUMPRODUCT(IFERROR(1*(($D$710&amp;"x")=(D53&amp;"x")),0))&gt;1,NOT(ISBLANK(D53)))</formula>
    </cfRule>
    <cfRule type="duplicateValues" dxfId="947" priority="399"/>
  </conditionalFormatting>
  <conditionalFormatting sqref="D54">
    <cfRule type="expression" dxfId="946" priority="847">
      <formula>AND(SUMPRODUCT(IFERROR(1*(($D$711&amp;"x")=(D54&amp;"x")),0))&gt;1,NOT(ISBLANK(D54)))</formula>
    </cfRule>
    <cfRule type="duplicateValues" dxfId="945" priority="398"/>
  </conditionalFormatting>
  <conditionalFormatting sqref="D55">
    <cfRule type="expression" dxfId="944" priority="846">
      <formula>AND(SUMPRODUCT(IFERROR(1*(($D$712&amp;"x")=(D55&amp;"x")),0))&gt;1,NOT(ISBLANK(D55)))</formula>
    </cfRule>
    <cfRule type="duplicateValues" dxfId="943" priority="397"/>
  </conditionalFormatting>
  <conditionalFormatting sqref="D56">
    <cfRule type="expression" dxfId="942" priority="845">
      <formula>AND(SUMPRODUCT(IFERROR(1*(($D$713&amp;"x")=(D56&amp;"x")),0))&gt;1,NOT(ISBLANK(D56)))</formula>
    </cfRule>
    <cfRule type="duplicateValues" dxfId="941" priority="396"/>
  </conditionalFormatting>
  <conditionalFormatting sqref="D57">
    <cfRule type="expression" dxfId="940" priority="844">
      <formula>AND(SUMPRODUCT(IFERROR(1*(($D$714&amp;"x")=(D57&amp;"x")),0))&gt;1,NOT(ISBLANK(D57)))</formula>
    </cfRule>
    <cfRule type="duplicateValues" dxfId="939" priority="395"/>
  </conditionalFormatting>
  <conditionalFormatting sqref="D58">
    <cfRule type="expression" dxfId="938" priority="843">
      <formula>AND(SUMPRODUCT(IFERROR(1*(($D$715&amp;"x")=(D58&amp;"x")),0))&gt;1,NOT(ISBLANK(D58)))</formula>
    </cfRule>
    <cfRule type="duplicateValues" dxfId="937" priority="394"/>
  </conditionalFormatting>
  <conditionalFormatting sqref="D59">
    <cfRule type="expression" dxfId="936" priority="842">
      <formula>AND(SUMPRODUCT(IFERROR(1*(($D$716&amp;"x")=(D59&amp;"x")),0))&gt;1,NOT(ISBLANK(D59)))</formula>
    </cfRule>
    <cfRule type="duplicateValues" dxfId="935" priority="393"/>
  </conditionalFormatting>
  <conditionalFormatting sqref="D60">
    <cfRule type="expression" dxfId="934" priority="841">
      <formula>AND(SUMPRODUCT(IFERROR(1*(($D$717&amp;"x")=(D60&amp;"x")),0))&gt;1,NOT(ISBLANK(D60)))</formula>
    </cfRule>
    <cfRule type="duplicateValues" dxfId="933" priority="392"/>
  </conditionalFormatting>
  <conditionalFormatting sqref="D61">
    <cfRule type="expression" dxfId="932" priority="840">
      <formula>AND(SUMPRODUCT(IFERROR(1*(($D$718&amp;"x")=(D61&amp;"x")),0))&gt;1,NOT(ISBLANK(D61)))</formula>
    </cfRule>
    <cfRule type="duplicateValues" dxfId="931" priority="391"/>
  </conditionalFormatting>
  <conditionalFormatting sqref="D62">
    <cfRule type="expression" dxfId="930" priority="839">
      <formula>AND(SUMPRODUCT(IFERROR(1*(($D$719&amp;"x")=(D62&amp;"x")),0))&gt;1,NOT(ISBLANK(D62)))</formula>
    </cfRule>
    <cfRule type="duplicateValues" dxfId="929" priority="390"/>
  </conditionalFormatting>
  <conditionalFormatting sqref="D63">
    <cfRule type="expression" dxfId="928" priority="838">
      <formula>AND(SUMPRODUCT(IFERROR(1*(($D$720&amp;"x")=(D63&amp;"x")),0))&gt;1,NOT(ISBLANK(D63)))</formula>
    </cfRule>
    <cfRule type="duplicateValues" dxfId="927" priority="389"/>
  </conditionalFormatting>
  <conditionalFormatting sqref="D64">
    <cfRule type="expression" dxfId="926" priority="837">
      <formula>AND(SUMPRODUCT(IFERROR(1*(($D$721&amp;"x")=(D64&amp;"x")),0))&gt;1,NOT(ISBLANK(D64)))</formula>
    </cfRule>
    <cfRule type="duplicateValues" dxfId="925" priority="388"/>
  </conditionalFormatting>
  <conditionalFormatting sqref="D65">
    <cfRule type="expression" dxfId="924" priority="836">
      <formula>AND(SUMPRODUCT(IFERROR(1*(($D$722&amp;"x")=(D65&amp;"x")),0))&gt;1,NOT(ISBLANK(D65)))</formula>
    </cfRule>
    <cfRule type="duplicateValues" dxfId="923" priority="387"/>
  </conditionalFormatting>
  <conditionalFormatting sqref="D66">
    <cfRule type="expression" dxfId="922" priority="835">
      <formula>AND(SUMPRODUCT(IFERROR(1*(($D$723&amp;"x")=(D66&amp;"x")),0))&gt;1,NOT(ISBLANK(D66)))</formula>
    </cfRule>
    <cfRule type="duplicateValues" dxfId="921" priority="386"/>
  </conditionalFormatting>
  <conditionalFormatting sqref="D67">
    <cfRule type="duplicateValues" dxfId="920" priority="385"/>
    <cfRule type="expression" dxfId="919" priority="834">
      <formula>AND(SUMPRODUCT(IFERROR(1*(($D$724&amp;"x")=(D67&amp;"x")),0))&gt;1,NOT(ISBLANK(D67)))</formula>
    </cfRule>
  </conditionalFormatting>
  <conditionalFormatting sqref="D68">
    <cfRule type="duplicateValues" dxfId="918" priority="384"/>
    <cfRule type="expression" dxfId="917" priority="833">
      <formula>AND(SUMPRODUCT(IFERROR(1*(($D$725&amp;"x")=(D68&amp;"x")),0))&gt;1,NOT(ISBLANK(D68)))</formula>
    </cfRule>
  </conditionalFormatting>
  <conditionalFormatting sqref="D69">
    <cfRule type="duplicateValues" dxfId="916" priority="383"/>
    <cfRule type="expression" dxfId="915" priority="832">
      <formula>AND(SUMPRODUCT(IFERROR(1*(($D$726&amp;"x")=(D69&amp;"x")),0))&gt;1,NOT(ISBLANK(D69)))</formula>
    </cfRule>
  </conditionalFormatting>
  <conditionalFormatting sqref="D70">
    <cfRule type="duplicateValues" dxfId="914" priority="382"/>
    <cfRule type="expression" dxfId="913" priority="831">
      <formula>AND(SUMPRODUCT(IFERROR(1*(($D$727&amp;"x")=(D70&amp;"x")),0))&gt;1,NOT(ISBLANK(D70)))</formula>
    </cfRule>
  </conditionalFormatting>
  <conditionalFormatting sqref="D71">
    <cfRule type="expression" dxfId="912" priority="830">
      <formula>AND(SUMPRODUCT(IFERROR(1*(($D$728&amp;"x")=(D71&amp;"x")),0))&gt;1,NOT(ISBLANK(D71)))</formula>
    </cfRule>
    <cfRule type="duplicateValues" dxfId="911" priority="381"/>
  </conditionalFormatting>
  <conditionalFormatting sqref="D72">
    <cfRule type="expression" dxfId="910" priority="829">
      <formula>AND(SUMPRODUCT(IFERROR(1*(($D$729&amp;"x")=(D72&amp;"x")),0))&gt;1,NOT(ISBLANK(D72)))</formula>
    </cfRule>
    <cfRule type="duplicateValues" dxfId="909" priority="380"/>
  </conditionalFormatting>
  <conditionalFormatting sqref="D73">
    <cfRule type="expression" dxfId="908" priority="828">
      <formula>AND(SUMPRODUCT(IFERROR(1*(($D$730&amp;"x")=(D73&amp;"x")),0))&gt;1,NOT(ISBLANK(D73)))</formula>
    </cfRule>
    <cfRule type="duplicateValues" dxfId="907" priority="379"/>
  </conditionalFormatting>
  <conditionalFormatting sqref="D74">
    <cfRule type="duplicateValues" dxfId="906" priority="378"/>
    <cfRule type="expression" dxfId="905" priority="827">
      <formula>AND(SUMPRODUCT(IFERROR(1*(($D$731&amp;"x")=(D74&amp;"x")),0))&gt;1,NOT(ISBLANK(D74)))</formula>
    </cfRule>
  </conditionalFormatting>
  <conditionalFormatting sqref="D75">
    <cfRule type="expression" dxfId="904" priority="826">
      <formula>AND(SUMPRODUCT(IFERROR(1*(($D$732&amp;"x")=(D75&amp;"x")),0))&gt;1,NOT(ISBLANK(D75)))</formula>
    </cfRule>
    <cfRule type="duplicateValues" dxfId="903" priority="377"/>
  </conditionalFormatting>
  <conditionalFormatting sqref="D76">
    <cfRule type="expression" dxfId="902" priority="825">
      <formula>AND(SUMPRODUCT(IFERROR(1*(($D$733&amp;"x")=(D76&amp;"x")),0))&gt;1,NOT(ISBLANK(D76)))</formula>
    </cfRule>
    <cfRule type="duplicateValues" dxfId="901" priority="376"/>
  </conditionalFormatting>
  <conditionalFormatting sqref="D77">
    <cfRule type="expression" dxfId="900" priority="824">
      <formula>AND(SUMPRODUCT(IFERROR(1*(($D$734&amp;"x")=(D77&amp;"x")),0))&gt;1,NOT(ISBLANK(D77)))</formula>
    </cfRule>
    <cfRule type="duplicateValues" dxfId="899" priority="375"/>
  </conditionalFormatting>
  <conditionalFormatting sqref="D78">
    <cfRule type="expression" dxfId="898" priority="823">
      <formula>AND(SUMPRODUCT(IFERROR(1*(($D$735&amp;"x")=(D78&amp;"x")),0))&gt;1,NOT(ISBLANK(D78)))</formula>
    </cfRule>
    <cfRule type="duplicateValues" dxfId="897" priority="374"/>
  </conditionalFormatting>
  <conditionalFormatting sqref="D79">
    <cfRule type="expression" dxfId="896" priority="822">
      <formula>AND(SUMPRODUCT(IFERROR(1*(($D$736&amp;"x")=(D79&amp;"x")),0))&gt;1,NOT(ISBLANK(D79)))</formula>
    </cfRule>
    <cfRule type="duplicateValues" dxfId="895" priority="373"/>
  </conditionalFormatting>
  <conditionalFormatting sqref="D80">
    <cfRule type="expression" dxfId="894" priority="821">
      <formula>AND(SUMPRODUCT(IFERROR(1*(($D$737&amp;"x")=(D80&amp;"x")),0))&gt;1,NOT(ISBLANK(D80)))</formula>
    </cfRule>
    <cfRule type="duplicateValues" dxfId="893" priority="372"/>
  </conditionalFormatting>
  <conditionalFormatting sqref="D81">
    <cfRule type="expression" dxfId="892" priority="820">
      <formula>AND(SUMPRODUCT(IFERROR(1*(($D$738&amp;"x")=(D81&amp;"x")),0))&gt;1,NOT(ISBLANK(D81)))</formula>
    </cfRule>
    <cfRule type="duplicateValues" dxfId="891" priority="371"/>
  </conditionalFormatting>
  <conditionalFormatting sqref="D82">
    <cfRule type="expression" dxfId="890" priority="819">
      <formula>AND(SUMPRODUCT(IFERROR(1*(($D$739&amp;"x")=(D82&amp;"x")),0))&gt;1,NOT(ISBLANK(D82)))</formula>
    </cfRule>
    <cfRule type="duplicateValues" dxfId="889" priority="370"/>
  </conditionalFormatting>
  <conditionalFormatting sqref="D83">
    <cfRule type="expression" dxfId="888" priority="818">
      <formula>AND(SUMPRODUCT(IFERROR(1*(($D$740&amp;"x")=(D83&amp;"x")),0))&gt;1,NOT(ISBLANK(D83)))</formula>
    </cfRule>
    <cfRule type="duplicateValues" dxfId="887" priority="369"/>
  </conditionalFormatting>
  <conditionalFormatting sqref="D84">
    <cfRule type="expression" dxfId="886" priority="817">
      <formula>AND(SUMPRODUCT(IFERROR(1*(($D$741&amp;"x")=(D84&amp;"x")),0))&gt;1,NOT(ISBLANK(D84)))</formula>
    </cfRule>
    <cfRule type="duplicateValues" dxfId="885" priority="368"/>
  </conditionalFormatting>
  <conditionalFormatting sqref="D85">
    <cfRule type="expression" dxfId="884" priority="816">
      <formula>AND(SUMPRODUCT(IFERROR(1*(($D$742&amp;"x")=(D85&amp;"x")),0))&gt;1,NOT(ISBLANK(D85)))</formula>
    </cfRule>
    <cfRule type="duplicateValues" dxfId="883" priority="367"/>
  </conditionalFormatting>
  <conditionalFormatting sqref="D86">
    <cfRule type="expression" dxfId="882" priority="815">
      <formula>AND(SUMPRODUCT(IFERROR(1*(($D$743&amp;"x")=(D86&amp;"x")),0))&gt;1,NOT(ISBLANK(D86)))</formula>
    </cfRule>
    <cfRule type="duplicateValues" dxfId="881" priority="366"/>
  </conditionalFormatting>
  <conditionalFormatting sqref="D87">
    <cfRule type="expression" dxfId="880" priority="814">
      <formula>AND(SUMPRODUCT(IFERROR(1*(($D$744&amp;"x")=(D87&amp;"x")),0))&gt;1,NOT(ISBLANK(D87)))</formula>
    </cfRule>
    <cfRule type="duplicateValues" dxfId="879" priority="365"/>
  </conditionalFormatting>
  <conditionalFormatting sqref="D88">
    <cfRule type="expression" dxfId="878" priority="813">
      <formula>AND(SUMPRODUCT(IFERROR(1*(($D$745&amp;"x")=(D88&amp;"x")),0))&gt;1,NOT(ISBLANK(D88)))</formula>
    </cfRule>
    <cfRule type="duplicateValues" dxfId="877" priority="364"/>
  </conditionalFormatting>
  <conditionalFormatting sqref="D89">
    <cfRule type="expression" dxfId="876" priority="812">
      <formula>AND(SUMPRODUCT(IFERROR(1*(($D$746&amp;"x")=(D89&amp;"x")),0))&gt;1,NOT(ISBLANK(D89)))</formula>
    </cfRule>
    <cfRule type="duplicateValues" dxfId="875" priority="363"/>
  </conditionalFormatting>
  <conditionalFormatting sqref="D90">
    <cfRule type="expression" dxfId="874" priority="811">
      <formula>AND(SUMPRODUCT(IFERROR(1*(($D$747&amp;"x")=(D90&amp;"x")),0))&gt;1,NOT(ISBLANK(D90)))</formula>
    </cfRule>
    <cfRule type="duplicateValues" dxfId="873" priority="362"/>
  </conditionalFormatting>
  <conditionalFormatting sqref="D91">
    <cfRule type="expression" dxfId="872" priority="810">
      <formula>AND(SUMPRODUCT(IFERROR(1*(($D$748&amp;"x")=(D91&amp;"x")),0))&gt;1,NOT(ISBLANK(D91)))</formula>
    </cfRule>
    <cfRule type="duplicateValues" dxfId="871" priority="361"/>
  </conditionalFormatting>
  <conditionalFormatting sqref="D92">
    <cfRule type="expression" dxfId="870" priority="809">
      <formula>AND(SUMPRODUCT(IFERROR(1*(($D$749&amp;"x")=(D92&amp;"x")),0))&gt;1,NOT(ISBLANK(D92)))</formula>
    </cfRule>
    <cfRule type="duplicateValues" dxfId="869" priority="360"/>
  </conditionalFormatting>
  <conditionalFormatting sqref="D93">
    <cfRule type="expression" dxfId="868" priority="808">
      <formula>AND(SUMPRODUCT(IFERROR(1*(($D$750&amp;"x")=(D93&amp;"x")),0))&gt;1,NOT(ISBLANK(D93)))</formula>
    </cfRule>
    <cfRule type="duplicateValues" dxfId="867" priority="359"/>
  </conditionalFormatting>
  <conditionalFormatting sqref="D94">
    <cfRule type="expression" dxfId="866" priority="807">
      <formula>AND(SUMPRODUCT(IFERROR(1*(($D$751&amp;"x")=(D94&amp;"x")),0))&gt;1,NOT(ISBLANK(D94)))</formula>
    </cfRule>
    <cfRule type="duplicateValues" dxfId="865" priority="358"/>
  </conditionalFormatting>
  <conditionalFormatting sqref="D95">
    <cfRule type="duplicateValues" dxfId="864" priority="357"/>
    <cfRule type="expression" dxfId="863" priority="806">
      <formula>AND(SUMPRODUCT(IFERROR(1*(($D$752&amp;"x")=(D95&amp;"x")),0))&gt;1,NOT(ISBLANK(D95)))</formula>
    </cfRule>
  </conditionalFormatting>
  <conditionalFormatting sqref="D96">
    <cfRule type="expression" dxfId="862" priority="805">
      <formula>AND(SUMPRODUCT(IFERROR(1*(($D$753&amp;"x")=(D96&amp;"x")),0))&gt;1,NOT(ISBLANK(D96)))</formula>
    </cfRule>
    <cfRule type="duplicateValues" dxfId="861" priority="356"/>
  </conditionalFormatting>
  <conditionalFormatting sqref="D97">
    <cfRule type="duplicateValues" dxfId="860" priority="355"/>
    <cfRule type="expression" dxfId="859" priority="804">
      <formula>AND(SUMPRODUCT(IFERROR(1*(($D$754&amp;"x")=(D97&amp;"x")),0))&gt;1,NOT(ISBLANK(D97)))</formula>
    </cfRule>
  </conditionalFormatting>
  <conditionalFormatting sqref="D98">
    <cfRule type="duplicateValues" dxfId="858" priority="354"/>
    <cfRule type="expression" dxfId="857" priority="803">
      <formula>AND(SUMPRODUCT(IFERROR(1*(($D$755&amp;"x")=(D98&amp;"x")),0))&gt;1,NOT(ISBLANK(D98)))</formula>
    </cfRule>
  </conditionalFormatting>
  <conditionalFormatting sqref="D99">
    <cfRule type="expression" dxfId="856" priority="802">
      <formula>AND(SUMPRODUCT(IFERROR(1*(($D$756&amp;"x")=(D99&amp;"x")),0))&gt;1,NOT(ISBLANK(D99)))</formula>
    </cfRule>
    <cfRule type="duplicateValues" dxfId="855" priority="353"/>
  </conditionalFormatting>
  <conditionalFormatting sqref="D100">
    <cfRule type="duplicateValues" dxfId="854" priority="352"/>
    <cfRule type="expression" dxfId="853" priority="801">
      <formula>AND(SUMPRODUCT(IFERROR(1*(($D$757&amp;"x")=(D100&amp;"x")),0))&gt;1,NOT(ISBLANK(D100)))</formula>
    </cfRule>
  </conditionalFormatting>
  <conditionalFormatting sqref="D101">
    <cfRule type="expression" dxfId="852" priority="800">
      <formula>AND(SUMPRODUCT(IFERROR(1*(($D$758&amp;"x")=(D101&amp;"x")),0))&gt;1,NOT(ISBLANK(D101)))</formula>
    </cfRule>
    <cfRule type="duplicateValues" dxfId="851" priority="351"/>
  </conditionalFormatting>
  <conditionalFormatting sqref="D102">
    <cfRule type="expression" dxfId="850" priority="799">
      <formula>AND(SUMPRODUCT(IFERROR(1*(($D$759&amp;"x")=(D102&amp;"x")),0))&gt;1,NOT(ISBLANK(D102)))</formula>
    </cfRule>
    <cfRule type="duplicateValues" dxfId="849" priority="350"/>
  </conditionalFormatting>
  <conditionalFormatting sqref="D103">
    <cfRule type="expression" dxfId="848" priority="798">
      <formula>AND(SUMPRODUCT(IFERROR(1*(($D$760&amp;"x")=(D103&amp;"x")),0))&gt;1,NOT(ISBLANK(D103)))</formula>
    </cfRule>
    <cfRule type="duplicateValues" dxfId="847" priority="349"/>
  </conditionalFormatting>
  <conditionalFormatting sqref="D104">
    <cfRule type="expression" dxfId="846" priority="797">
      <formula>AND(SUMPRODUCT(IFERROR(1*(($D$761&amp;"x")=(D104&amp;"x")),0))&gt;1,NOT(ISBLANK(D104)))</formula>
    </cfRule>
    <cfRule type="duplicateValues" dxfId="845" priority="348"/>
  </conditionalFormatting>
  <conditionalFormatting sqref="D105">
    <cfRule type="duplicateValues" dxfId="844" priority="347"/>
    <cfRule type="expression" dxfId="843" priority="796">
      <formula>AND(SUMPRODUCT(IFERROR(1*(($D$762&amp;"x")=(D105&amp;"x")),0))&gt;1,NOT(ISBLANK(D105)))</formula>
    </cfRule>
  </conditionalFormatting>
  <conditionalFormatting sqref="D106">
    <cfRule type="expression" dxfId="842" priority="795">
      <formula>AND(SUMPRODUCT(IFERROR(1*(($D$763&amp;"x")=(D106&amp;"x")),0))&gt;1,NOT(ISBLANK(D106)))</formula>
    </cfRule>
    <cfRule type="duplicateValues" dxfId="841" priority="346"/>
  </conditionalFormatting>
  <conditionalFormatting sqref="D107">
    <cfRule type="duplicateValues" dxfId="840" priority="345"/>
    <cfRule type="expression" dxfId="839" priority="794">
      <formula>AND(SUMPRODUCT(IFERROR(1*(($D$764&amp;"x")=(D107&amp;"x")),0))&gt;1,NOT(ISBLANK(D107)))</formula>
    </cfRule>
  </conditionalFormatting>
  <conditionalFormatting sqref="D108">
    <cfRule type="expression" dxfId="838" priority="793">
      <formula>AND(SUMPRODUCT(IFERROR(1*(($D$765&amp;"x")=(D108&amp;"x")),0))&gt;1,NOT(ISBLANK(D108)))</formula>
    </cfRule>
    <cfRule type="duplicateValues" dxfId="837" priority="344"/>
  </conditionalFormatting>
  <conditionalFormatting sqref="D109">
    <cfRule type="expression" dxfId="836" priority="792">
      <formula>AND(SUMPRODUCT(IFERROR(1*(($D$766&amp;"x")=(D109&amp;"x")),0))&gt;1,NOT(ISBLANK(D109)))</formula>
    </cfRule>
    <cfRule type="duplicateValues" dxfId="835" priority="343"/>
  </conditionalFormatting>
  <conditionalFormatting sqref="D110">
    <cfRule type="duplicateValues" dxfId="834" priority="342"/>
    <cfRule type="expression" dxfId="833" priority="791">
      <formula>AND(SUMPRODUCT(IFERROR(1*(($D$767&amp;"x")=(D110&amp;"x")),0))&gt;1,NOT(ISBLANK(D110)))</formula>
    </cfRule>
  </conditionalFormatting>
  <conditionalFormatting sqref="D111">
    <cfRule type="expression" dxfId="832" priority="790">
      <formula>AND(SUMPRODUCT(IFERROR(1*(($D$768&amp;"x")=(D111&amp;"x")),0))&gt;1,NOT(ISBLANK(D111)))</formula>
    </cfRule>
    <cfRule type="duplicateValues" dxfId="831" priority="341"/>
  </conditionalFormatting>
  <conditionalFormatting sqref="D112">
    <cfRule type="expression" dxfId="830" priority="789">
      <formula>AND(SUMPRODUCT(IFERROR(1*(($D$769&amp;"x")=(D112&amp;"x")),0))&gt;1,NOT(ISBLANK(D112)))</formula>
    </cfRule>
    <cfRule type="duplicateValues" dxfId="829" priority="340"/>
  </conditionalFormatting>
  <conditionalFormatting sqref="D113">
    <cfRule type="expression" dxfId="828" priority="788">
      <formula>AND(SUMPRODUCT(IFERROR(1*(($D$770&amp;"x")=(D113&amp;"x")),0))&gt;1,NOT(ISBLANK(D113)))</formula>
    </cfRule>
    <cfRule type="duplicateValues" dxfId="827" priority="339"/>
  </conditionalFormatting>
  <conditionalFormatting sqref="D114">
    <cfRule type="expression" dxfId="826" priority="787">
      <formula>AND(SUMPRODUCT(IFERROR(1*(($D$771&amp;"x")=(D114&amp;"x")),0))&gt;1,NOT(ISBLANK(D114)))</formula>
    </cfRule>
    <cfRule type="duplicateValues" dxfId="825" priority="338"/>
  </conditionalFormatting>
  <conditionalFormatting sqref="D115">
    <cfRule type="duplicateValues" dxfId="824" priority="337"/>
    <cfRule type="expression" dxfId="823" priority="786">
      <formula>AND(SUMPRODUCT(IFERROR(1*(($D$772&amp;"x")=(D115&amp;"x")),0))&gt;1,NOT(ISBLANK(D115)))</formula>
    </cfRule>
  </conditionalFormatting>
  <conditionalFormatting sqref="D116">
    <cfRule type="expression" dxfId="822" priority="785">
      <formula>AND(SUMPRODUCT(IFERROR(1*(($D$773&amp;"x")=(D116&amp;"x")),0))&gt;1,NOT(ISBLANK(D116)))</formula>
    </cfRule>
    <cfRule type="duplicateValues" dxfId="821" priority="336"/>
  </conditionalFormatting>
  <conditionalFormatting sqref="D117">
    <cfRule type="expression" dxfId="820" priority="784">
      <formula>AND(SUMPRODUCT(IFERROR(1*(($D$774&amp;"x")=(D117&amp;"x")),0))&gt;1,NOT(ISBLANK(D117)))</formula>
    </cfRule>
    <cfRule type="duplicateValues" dxfId="819" priority="335"/>
  </conditionalFormatting>
  <conditionalFormatting sqref="D118">
    <cfRule type="expression" dxfId="818" priority="783">
      <formula>AND(SUMPRODUCT(IFERROR(1*(($D$775&amp;"x")=(D118&amp;"x")),0))&gt;1,NOT(ISBLANK(D118)))</formula>
    </cfRule>
    <cfRule type="duplicateValues" dxfId="817" priority="334"/>
  </conditionalFormatting>
  <conditionalFormatting sqref="D119">
    <cfRule type="expression" dxfId="816" priority="782">
      <formula>AND(SUMPRODUCT(IFERROR(1*(($D$776&amp;"x")=(D119&amp;"x")),0))&gt;1,NOT(ISBLANK(D119)))</formula>
    </cfRule>
    <cfRule type="duplicateValues" dxfId="815" priority="333"/>
  </conditionalFormatting>
  <conditionalFormatting sqref="D120">
    <cfRule type="duplicateValues" dxfId="814" priority="332"/>
    <cfRule type="expression" dxfId="813" priority="781">
      <formula>AND(SUMPRODUCT(IFERROR(1*(($D$777&amp;"x")=(D120&amp;"x")),0))&gt;1,NOT(ISBLANK(D120)))</formula>
    </cfRule>
  </conditionalFormatting>
  <conditionalFormatting sqref="D121">
    <cfRule type="duplicateValues" dxfId="812" priority="331"/>
    <cfRule type="expression" dxfId="811" priority="780">
      <formula>AND(SUMPRODUCT(IFERROR(1*(($D$778&amp;"x")=(D121&amp;"x")),0))&gt;1,NOT(ISBLANK(D121)))</formula>
    </cfRule>
  </conditionalFormatting>
  <conditionalFormatting sqref="D122">
    <cfRule type="duplicateValues" dxfId="810" priority="330"/>
    <cfRule type="expression" dxfId="809" priority="779">
      <formula>AND(SUMPRODUCT(IFERROR(1*(($D$779&amp;"x")=(D122&amp;"x")),0))&gt;1,NOT(ISBLANK(D122)))</formula>
    </cfRule>
  </conditionalFormatting>
  <conditionalFormatting sqref="D123">
    <cfRule type="duplicateValues" dxfId="808" priority="329"/>
    <cfRule type="expression" dxfId="807" priority="778">
      <formula>AND(SUMPRODUCT(IFERROR(1*(($D$780&amp;"x")=(D123&amp;"x")),0))&gt;1,NOT(ISBLANK(D123)))</formula>
    </cfRule>
  </conditionalFormatting>
  <conditionalFormatting sqref="D124">
    <cfRule type="duplicateValues" dxfId="806" priority="328"/>
    <cfRule type="expression" dxfId="805" priority="777">
      <formula>AND(SUMPRODUCT(IFERROR(1*(($D$781&amp;"x")=(D124&amp;"x")),0))&gt;1,NOT(ISBLANK(D124)))</formula>
    </cfRule>
  </conditionalFormatting>
  <conditionalFormatting sqref="D125">
    <cfRule type="duplicateValues" dxfId="804" priority="327"/>
    <cfRule type="expression" dxfId="803" priority="776">
      <formula>AND(SUMPRODUCT(IFERROR(1*(($D$782&amp;"x")=(D125&amp;"x")),0))&gt;1,NOT(ISBLANK(D125)))</formula>
    </cfRule>
  </conditionalFormatting>
  <conditionalFormatting sqref="D126">
    <cfRule type="duplicateValues" dxfId="802" priority="326"/>
    <cfRule type="expression" dxfId="801" priority="775">
      <formula>AND(SUMPRODUCT(IFERROR(1*(($D$783&amp;"x")=(D126&amp;"x")),0))&gt;1,NOT(ISBLANK(D126)))</formula>
    </cfRule>
  </conditionalFormatting>
  <conditionalFormatting sqref="D127">
    <cfRule type="expression" dxfId="800" priority="774">
      <formula>AND(SUMPRODUCT(IFERROR(1*(($D$784&amp;"x")=(D127&amp;"x")),0))&gt;1,NOT(ISBLANK(D127)))</formula>
    </cfRule>
    <cfRule type="duplicateValues" dxfId="799" priority="325"/>
  </conditionalFormatting>
  <conditionalFormatting sqref="D128">
    <cfRule type="duplicateValues" dxfId="798" priority="324"/>
    <cfRule type="expression" dxfId="797" priority="773">
      <formula>AND(SUMPRODUCT(IFERROR(1*(($D$785&amp;"x")=(D128&amp;"x")),0))&gt;1,NOT(ISBLANK(D128)))</formula>
    </cfRule>
  </conditionalFormatting>
  <conditionalFormatting sqref="D129">
    <cfRule type="expression" dxfId="796" priority="772">
      <formula>AND(SUMPRODUCT(IFERROR(1*(($D$786&amp;"x")=(D129&amp;"x")),0))&gt;1,NOT(ISBLANK(D129)))</formula>
    </cfRule>
    <cfRule type="duplicateValues" dxfId="795" priority="323"/>
  </conditionalFormatting>
  <conditionalFormatting sqref="D130">
    <cfRule type="expression" dxfId="794" priority="771">
      <formula>AND(SUMPRODUCT(IFERROR(1*(($D$787&amp;"x")=(D130&amp;"x")),0))&gt;1,NOT(ISBLANK(D130)))</formula>
    </cfRule>
    <cfRule type="duplicateValues" dxfId="793" priority="322"/>
  </conditionalFormatting>
  <conditionalFormatting sqref="D131">
    <cfRule type="expression" dxfId="792" priority="770">
      <formula>AND(SUMPRODUCT(IFERROR(1*(($D$788&amp;"x")=(D131&amp;"x")),0))&gt;1,NOT(ISBLANK(D131)))</formula>
    </cfRule>
    <cfRule type="duplicateValues" dxfId="791" priority="321"/>
  </conditionalFormatting>
  <conditionalFormatting sqref="D132">
    <cfRule type="expression" dxfId="790" priority="769">
      <formula>AND(SUMPRODUCT(IFERROR(1*(($D$789&amp;"x")=(D132&amp;"x")),0))&gt;1,NOT(ISBLANK(D132)))</formula>
    </cfRule>
    <cfRule type="duplicateValues" dxfId="789" priority="320"/>
  </conditionalFormatting>
  <conditionalFormatting sqref="D133">
    <cfRule type="expression" dxfId="788" priority="768">
      <formula>AND(SUMPRODUCT(IFERROR(1*(($D$790&amp;"x")=(D133&amp;"x")),0))&gt;1,NOT(ISBLANK(D133)))</formula>
    </cfRule>
    <cfRule type="duplicateValues" dxfId="787" priority="319"/>
  </conditionalFormatting>
  <conditionalFormatting sqref="D134">
    <cfRule type="expression" dxfId="786" priority="767">
      <formula>AND(SUMPRODUCT(IFERROR(1*(($D$791&amp;"x")=(D134&amp;"x")),0))&gt;1,NOT(ISBLANK(D134)))</formula>
    </cfRule>
    <cfRule type="duplicateValues" dxfId="785" priority="318"/>
  </conditionalFormatting>
  <conditionalFormatting sqref="D135">
    <cfRule type="expression" dxfId="784" priority="766">
      <formula>AND(SUMPRODUCT(IFERROR(1*(($D$792&amp;"x")=(D135&amp;"x")),0))&gt;1,NOT(ISBLANK(D135)))</formula>
    </cfRule>
    <cfRule type="duplicateValues" dxfId="783" priority="317"/>
  </conditionalFormatting>
  <conditionalFormatting sqref="D136">
    <cfRule type="duplicateValues" dxfId="782" priority="316"/>
    <cfRule type="expression" dxfId="781" priority="765">
      <formula>AND(SUMPRODUCT(IFERROR(1*(($D$793&amp;"x")=(D136&amp;"x")),0))&gt;1,NOT(ISBLANK(D136)))</formula>
    </cfRule>
  </conditionalFormatting>
  <conditionalFormatting sqref="D137">
    <cfRule type="expression" dxfId="780" priority="764">
      <formula>AND(SUMPRODUCT(IFERROR(1*(($D$794&amp;"x")=(D137&amp;"x")),0))&gt;1,NOT(ISBLANK(D137)))</formula>
    </cfRule>
    <cfRule type="duplicateValues" dxfId="779" priority="315"/>
  </conditionalFormatting>
  <conditionalFormatting sqref="D138">
    <cfRule type="duplicateValues" dxfId="778" priority="314"/>
    <cfRule type="expression" dxfId="777" priority="763">
      <formula>AND(SUMPRODUCT(IFERROR(1*(($D$795&amp;"x")=(D138&amp;"x")),0))&gt;1,NOT(ISBLANK(D138)))</formula>
    </cfRule>
  </conditionalFormatting>
  <conditionalFormatting sqref="D139">
    <cfRule type="duplicateValues" dxfId="776" priority="313"/>
    <cfRule type="expression" dxfId="775" priority="762">
      <formula>AND(SUMPRODUCT(IFERROR(1*(($D$796&amp;"x")=(D139&amp;"x")),0))&gt;1,NOT(ISBLANK(D139)))</formula>
    </cfRule>
  </conditionalFormatting>
  <conditionalFormatting sqref="D140">
    <cfRule type="duplicateValues" dxfId="774" priority="312"/>
    <cfRule type="expression" dxfId="773" priority="761">
      <formula>AND(SUMPRODUCT(IFERROR(1*(($D$797&amp;"x")=(D140&amp;"x")),0))&gt;1,NOT(ISBLANK(D140)))</formula>
    </cfRule>
  </conditionalFormatting>
  <conditionalFormatting sqref="D141">
    <cfRule type="duplicateValues" dxfId="772" priority="311"/>
    <cfRule type="expression" dxfId="771" priority="760">
      <formula>AND(SUMPRODUCT(IFERROR(1*(($D$798&amp;"x")=(D141&amp;"x")),0))&gt;1,NOT(ISBLANK(D141)))</formula>
    </cfRule>
  </conditionalFormatting>
  <conditionalFormatting sqref="D142">
    <cfRule type="duplicateValues" dxfId="770" priority="310"/>
    <cfRule type="expression" dxfId="769" priority="759">
      <formula>AND(SUMPRODUCT(IFERROR(1*(($D$799&amp;"x")=(D142&amp;"x")),0))&gt;1,NOT(ISBLANK(D142)))</formula>
    </cfRule>
  </conditionalFormatting>
  <conditionalFormatting sqref="D143">
    <cfRule type="duplicateValues" dxfId="768" priority="309"/>
    <cfRule type="expression" dxfId="767" priority="758">
      <formula>AND(SUMPRODUCT(IFERROR(1*(($D$800&amp;"x")=(D143&amp;"x")),0))&gt;1,NOT(ISBLANK(D143)))</formula>
    </cfRule>
  </conditionalFormatting>
  <conditionalFormatting sqref="D144">
    <cfRule type="expression" dxfId="766" priority="757">
      <formula>AND(SUMPRODUCT(IFERROR(1*(($D$801&amp;"x")=(D144&amp;"x")),0))&gt;1,NOT(ISBLANK(D144)))</formula>
    </cfRule>
    <cfRule type="duplicateValues" dxfId="765" priority="308"/>
  </conditionalFormatting>
  <conditionalFormatting sqref="D145">
    <cfRule type="duplicateValues" dxfId="764" priority="307"/>
    <cfRule type="expression" dxfId="763" priority="756">
      <formula>AND(SUMPRODUCT(IFERROR(1*(($D$802&amp;"x")=(D145&amp;"x")),0))&gt;1,NOT(ISBLANK(D145)))</formula>
    </cfRule>
  </conditionalFormatting>
  <conditionalFormatting sqref="D146">
    <cfRule type="duplicateValues" dxfId="762" priority="306"/>
    <cfRule type="expression" dxfId="761" priority="755">
      <formula>AND(SUMPRODUCT(IFERROR(1*(($D$803&amp;"x")=(D146&amp;"x")),0))&gt;1,NOT(ISBLANK(D146)))</formula>
    </cfRule>
  </conditionalFormatting>
  <conditionalFormatting sqref="D147">
    <cfRule type="duplicateValues" dxfId="760" priority="305"/>
    <cfRule type="expression" dxfId="759" priority="754">
      <formula>AND(SUMPRODUCT(IFERROR(1*(($D$804&amp;"x")=(D147&amp;"x")),0))&gt;1,NOT(ISBLANK(D147)))</formula>
    </cfRule>
  </conditionalFormatting>
  <conditionalFormatting sqref="D148">
    <cfRule type="duplicateValues" dxfId="758" priority="304"/>
    <cfRule type="expression" dxfId="757" priority="753">
      <formula>AND(SUMPRODUCT(IFERROR(1*(($D$805&amp;"x")=(D148&amp;"x")),0))&gt;1,NOT(ISBLANK(D148)))</formula>
    </cfRule>
  </conditionalFormatting>
  <conditionalFormatting sqref="D149">
    <cfRule type="expression" dxfId="756" priority="752">
      <formula>AND(SUMPRODUCT(IFERROR(1*(($D$806&amp;"x")=(D149&amp;"x")),0))&gt;1,NOT(ISBLANK(D149)))</formula>
    </cfRule>
    <cfRule type="duplicateValues" dxfId="755" priority="303"/>
  </conditionalFormatting>
  <conditionalFormatting sqref="D150">
    <cfRule type="expression" dxfId="754" priority="751">
      <formula>AND(SUMPRODUCT(IFERROR(1*(($D$807&amp;"x")=(D150&amp;"x")),0))&gt;1,NOT(ISBLANK(D150)))</formula>
    </cfRule>
    <cfRule type="duplicateValues" dxfId="753" priority="302"/>
  </conditionalFormatting>
  <conditionalFormatting sqref="D151">
    <cfRule type="duplicateValues" dxfId="752" priority="301"/>
    <cfRule type="expression" dxfId="751" priority="750">
      <formula>AND(SUMPRODUCT(IFERROR(1*(($D$808&amp;"x")=(D151&amp;"x")),0))&gt;1,NOT(ISBLANK(D151)))</formula>
    </cfRule>
  </conditionalFormatting>
  <conditionalFormatting sqref="D152">
    <cfRule type="expression" dxfId="750" priority="749">
      <formula>AND(SUMPRODUCT(IFERROR(1*(($D$809&amp;"x")=(D152&amp;"x")),0))&gt;1,NOT(ISBLANK(D152)))</formula>
    </cfRule>
    <cfRule type="duplicateValues" dxfId="749" priority="300"/>
  </conditionalFormatting>
  <conditionalFormatting sqref="D153">
    <cfRule type="expression" dxfId="748" priority="748">
      <formula>AND(SUMPRODUCT(IFERROR(1*(($D$810&amp;"x")=(D153&amp;"x")),0))&gt;1,NOT(ISBLANK(D153)))</formula>
    </cfRule>
    <cfRule type="duplicateValues" dxfId="747" priority="299"/>
  </conditionalFormatting>
  <conditionalFormatting sqref="D154">
    <cfRule type="expression" dxfId="746" priority="747">
      <formula>AND(SUMPRODUCT(IFERROR(1*(($D$811&amp;"x")=(D154&amp;"x")),0))&gt;1,NOT(ISBLANK(D154)))</formula>
    </cfRule>
    <cfRule type="duplicateValues" dxfId="745" priority="298"/>
  </conditionalFormatting>
  <conditionalFormatting sqref="D155">
    <cfRule type="duplicateValues" dxfId="744" priority="297"/>
    <cfRule type="expression" dxfId="743" priority="746">
      <formula>AND(SUMPRODUCT(IFERROR(1*(($D$812&amp;"x")=(D155&amp;"x")),0))&gt;1,NOT(ISBLANK(D155)))</formula>
    </cfRule>
  </conditionalFormatting>
  <conditionalFormatting sqref="D156">
    <cfRule type="expression" dxfId="742" priority="745">
      <formula>AND(SUMPRODUCT(IFERROR(1*(($D$813&amp;"x")=(D156&amp;"x")),0))&gt;1,NOT(ISBLANK(D156)))</formula>
    </cfRule>
    <cfRule type="duplicateValues" dxfId="741" priority="296"/>
  </conditionalFormatting>
  <conditionalFormatting sqref="D157">
    <cfRule type="expression" dxfId="740" priority="744">
      <formula>AND(SUMPRODUCT(IFERROR(1*(($D$814&amp;"x")=(D157&amp;"x")),0))&gt;1,NOT(ISBLANK(D157)))</formula>
    </cfRule>
    <cfRule type="duplicateValues" dxfId="739" priority="295"/>
  </conditionalFormatting>
  <conditionalFormatting sqref="D158">
    <cfRule type="expression" dxfId="738" priority="743">
      <formula>AND(SUMPRODUCT(IFERROR(1*(($D$815&amp;"x")=(D158&amp;"x")),0))&gt;1,NOT(ISBLANK(D158)))</formula>
    </cfRule>
    <cfRule type="duplicateValues" dxfId="737" priority="294"/>
  </conditionalFormatting>
  <conditionalFormatting sqref="D159">
    <cfRule type="expression" dxfId="736" priority="742">
      <formula>AND(SUMPRODUCT(IFERROR(1*(($D$816&amp;"x")=(D159&amp;"x")),0))&gt;1,NOT(ISBLANK(D159)))</formula>
    </cfRule>
    <cfRule type="duplicateValues" dxfId="735" priority="293"/>
  </conditionalFormatting>
  <conditionalFormatting sqref="D160">
    <cfRule type="expression" dxfId="734" priority="741">
      <formula>AND(SUMPRODUCT(IFERROR(1*(($D$817&amp;"x")=(D160&amp;"x")),0))&gt;1,NOT(ISBLANK(D160)))</formula>
    </cfRule>
    <cfRule type="duplicateValues" dxfId="733" priority="292"/>
  </conditionalFormatting>
  <conditionalFormatting sqref="D161">
    <cfRule type="duplicateValues" dxfId="732" priority="291"/>
    <cfRule type="expression" dxfId="731" priority="740">
      <formula>AND(SUMPRODUCT(IFERROR(1*(($D$818&amp;"x")=(D161&amp;"x")),0))&gt;1,NOT(ISBLANK(D161)))</formula>
    </cfRule>
  </conditionalFormatting>
  <conditionalFormatting sqref="D162">
    <cfRule type="duplicateValues" dxfId="730" priority="290"/>
    <cfRule type="expression" dxfId="729" priority="739">
      <formula>AND(SUMPRODUCT(IFERROR(1*(($D$819&amp;"x")=(D162&amp;"x")),0))&gt;1,NOT(ISBLANK(D162)))</formula>
    </cfRule>
  </conditionalFormatting>
  <conditionalFormatting sqref="D163">
    <cfRule type="duplicateValues" dxfId="728" priority="289"/>
    <cfRule type="expression" dxfId="727" priority="738">
      <formula>AND(SUMPRODUCT(IFERROR(1*(($D$820&amp;"x")=(D163&amp;"x")),0))&gt;1,NOT(ISBLANK(D163)))</formula>
    </cfRule>
  </conditionalFormatting>
  <conditionalFormatting sqref="D164">
    <cfRule type="expression" dxfId="726" priority="737">
      <formula>AND(SUMPRODUCT(IFERROR(1*(($D$821&amp;"x")=(D164&amp;"x")),0))&gt;1,NOT(ISBLANK(D164)))</formula>
    </cfRule>
    <cfRule type="duplicateValues" dxfId="725" priority="288"/>
  </conditionalFormatting>
  <conditionalFormatting sqref="D165">
    <cfRule type="expression" dxfId="724" priority="736">
      <formula>AND(SUMPRODUCT(IFERROR(1*(($D$822&amp;"x")=(D165&amp;"x")),0))&gt;1,NOT(ISBLANK(D165)))</formula>
    </cfRule>
    <cfRule type="duplicateValues" dxfId="723" priority="287"/>
  </conditionalFormatting>
  <conditionalFormatting sqref="D166">
    <cfRule type="expression" dxfId="722" priority="735">
      <formula>AND(SUMPRODUCT(IFERROR(1*(($D$823&amp;"x")=(D166&amp;"x")),0))&gt;1,NOT(ISBLANK(D166)))</formula>
    </cfRule>
    <cfRule type="duplicateValues" dxfId="721" priority="286"/>
  </conditionalFormatting>
  <conditionalFormatting sqref="D167">
    <cfRule type="expression" dxfId="720" priority="734">
      <formula>AND(SUMPRODUCT(IFERROR(1*(($D$824&amp;"x")=(D167&amp;"x")),0))&gt;1,NOT(ISBLANK(D167)))</formula>
    </cfRule>
    <cfRule type="duplicateValues" dxfId="719" priority="285"/>
  </conditionalFormatting>
  <conditionalFormatting sqref="D168">
    <cfRule type="expression" dxfId="718" priority="733">
      <formula>AND(SUMPRODUCT(IFERROR(1*(($D$825&amp;"x")=(D168&amp;"x")),0))&gt;1,NOT(ISBLANK(D168)))</formula>
    </cfRule>
    <cfRule type="duplicateValues" dxfId="717" priority="284"/>
  </conditionalFormatting>
  <conditionalFormatting sqref="D169">
    <cfRule type="expression" dxfId="716" priority="732">
      <formula>AND(SUMPRODUCT(IFERROR(1*(($D$826&amp;"x")=(D169&amp;"x")),0))&gt;1,NOT(ISBLANK(D169)))</formula>
    </cfRule>
    <cfRule type="duplicateValues" dxfId="715" priority="283"/>
  </conditionalFormatting>
  <conditionalFormatting sqref="D170">
    <cfRule type="expression" dxfId="714" priority="731">
      <formula>AND(SUMPRODUCT(IFERROR(1*(($D$827&amp;"x")=(D170&amp;"x")),0))&gt;1,NOT(ISBLANK(D170)))</formula>
    </cfRule>
    <cfRule type="duplicateValues" dxfId="713" priority="282"/>
  </conditionalFormatting>
  <conditionalFormatting sqref="D171">
    <cfRule type="expression" dxfId="712" priority="730">
      <formula>AND(SUMPRODUCT(IFERROR(1*(($D$828&amp;"x")=(D171&amp;"x")),0))&gt;1,NOT(ISBLANK(D171)))</formula>
    </cfRule>
    <cfRule type="duplicateValues" dxfId="711" priority="281"/>
  </conditionalFormatting>
  <conditionalFormatting sqref="D172">
    <cfRule type="expression" dxfId="710" priority="729">
      <formula>AND(SUMPRODUCT(IFERROR(1*(($D$829&amp;"x")=(D172&amp;"x")),0))&gt;1,NOT(ISBLANK(D172)))</formula>
    </cfRule>
    <cfRule type="duplicateValues" dxfId="709" priority="280"/>
  </conditionalFormatting>
  <conditionalFormatting sqref="D173">
    <cfRule type="expression" dxfId="708" priority="728">
      <formula>AND(SUMPRODUCT(IFERROR(1*(($D$830&amp;"x")=(D173&amp;"x")),0))&gt;1,NOT(ISBLANK(D173)))</formula>
    </cfRule>
    <cfRule type="duplicateValues" dxfId="707" priority="279"/>
  </conditionalFormatting>
  <conditionalFormatting sqref="D174">
    <cfRule type="expression" dxfId="706" priority="727">
      <formula>AND(SUMPRODUCT(IFERROR(1*(($D$831&amp;"x")=(D174&amp;"x")),0))&gt;1,NOT(ISBLANK(D174)))</formula>
    </cfRule>
    <cfRule type="duplicateValues" dxfId="705" priority="278"/>
  </conditionalFormatting>
  <conditionalFormatting sqref="D175">
    <cfRule type="expression" dxfId="704" priority="726">
      <formula>AND(SUMPRODUCT(IFERROR(1*(($D$832&amp;"x")=(D175&amp;"x")),0))&gt;1,NOT(ISBLANK(D175)))</formula>
    </cfRule>
    <cfRule type="duplicateValues" dxfId="703" priority="277"/>
  </conditionalFormatting>
  <conditionalFormatting sqref="D176">
    <cfRule type="duplicateValues" dxfId="702" priority="276"/>
    <cfRule type="expression" dxfId="701" priority="725">
      <formula>AND(SUMPRODUCT(IFERROR(1*(($D$833&amp;"x")=(D176&amp;"x")),0))&gt;1,NOT(ISBLANK(D176)))</formula>
    </cfRule>
  </conditionalFormatting>
  <conditionalFormatting sqref="D177">
    <cfRule type="duplicateValues" dxfId="700" priority="275"/>
    <cfRule type="expression" dxfId="699" priority="724">
      <formula>AND(SUMPRODUCT(IFERROR(1*(($D$834&amp;"x")=(D177&amp;"x")),0))&gt;1,NOT(ISBLANK(D177)))</formula>
    </cfRule>
  </conditionalFormatting>
  <conditionalFormatting sqref="D178">
    <cfRule type="duplicateValues" dxfId="698" priority="274"/>
    <cfRule type="expression" dxfId="697" priority="723">
      <formula>AND(SUMPRODUCT(IFERROR(1*(($D$835&amp;"x")=(D178&amp;"x")),0))&gt;1,NOT(ISBLANK(D178)))</formula>
    </cfRule>
  </conditionalFormatting>
  <conditionalFormatting sqref="D179">
    <cfRule type="duplicateValues" dxfId="696" priority="273"/>
    <cfRule type="expression" dxfId="695" priority="722">
      <formula>AND(SUMPRODUCT(IFERROR(1*(($D$836&amp;"x")=(D179&amp;"x")),0))&gt;1,NOT(ISBLANK(D179)))</formula>
    </cfRule>
  </conditionalFormatting>
  <conditionalFormatting sqref="D180">
    <cfRule type="duplicateValues" dxfId="694" priority="272"/>
    <cfRule type="expression" dxfId="693" priority="721">
      <formula>AND(SUMPRODUCT(IFERROR(1*(($D$837&amp;"x")=(D180&amp;"x")),0))&gt;1,NOT(ISBLANK(D180)))</formula>
    </cfRule>
  </conditionalFormatting>
  <conditionalFormatting sqref="D181">
    <cfRule type="duplicateValues" dxfId="692" priority="271"/>
    <cfRule type="expression" dxfId="691" priority="720">
      <formula>AND(SUMPRODUCT(IFERROR(1*(($D$838&amp;"x")=(D181&amp;"x")),0))&gt;1,NOT(ISBLANK(D181)))</formula>
    </cfRule>
  </conditionalFormatting>
  <conditionalFormatting sqref="D182">
    <cfRule type="expression" dxfId="690" priority="719">
      <formula>AND(SUMPRODUCT(IFERROR(1*(($D$839&amp;"x")=(D182&amp;"x")),0))&gt;1,NOT(ISBLANK(D182)))</formula>
    </cfRule>
    <cfRule type="duplicateValues" dxfId="689" priority="270"/>
  </conditionalFormatting>
  <conditionalFormatting sqref="D183">
    <cfRule type="duplicateValues" dxfId="688" priority="269"/>
    <cfRule type="expression" dxfId="687" priority="718">
      <formula>AND(SUMPRODUCT(IFERROR(1*(($D$840&amp;"x")=(D183&amp;"x")),0))&gt;1,NOT(ISBLANK(D183)))</formula>
    </cfRule>
  </conditionalFormatting>
  <conditionalFormatting sqref="D184">
    <cfRule type="duplicateValues" dxfId="686" priority="268"/>
    <cfRule type="expression" dxfId="685" priority="717">
      <formula>AND(SUMPRODUCT(IFERROR(1*(($D$841&amp;"x")=(D184&amp;"x")),0))&gt;1,NOT(ISBLANK(D184)))</formula>
    </cfRule>
  </conditionalFormatting>
  <conditionalFormatting sqref="D185">
    <cfRule type="duplicateValues" dxfId="684" priority="267"/>
    <cfRule type="expression" dxfId="683" priority="716">
      <formula>AND(SUMPRODUCT(IFERROR(1*(($D$842&amp;"x")=(D185&amp;"x")),0))&gt;1,NOT(ISBLANK(D185)))</formula>
    </cfRule>
  </conditionalFormatting>
  <conditionalFormatting sqref="D186">
    <cfRule type="duplicateValues" dxfId="682" priority="266"/>
    <cfRule type="expression" dxfId="681" priority="715">
      <formula>AND(SUMPRODUCT(IFERROR(1*(($D$843&amp;"x")=(D186&amp;"x")),0))&gt;1,NOT(ISBLANK(D186)))</formula>
    </cfRule>
  </conditionalFormatting>
  <conditionalFormatting sqref="D187">
    <cfRule type="duplicateValues" dxfId="680" priority="265"/>
    <cfRule type="expression" dxfId="679" priority="714">
      <formula>AND(SUMPRODUCT(IFERROR(1*(($D$844&amp;"x")=(D187&amp;"x")),0))&gt;1,NOT(ISBLANK(D187)))</formula>
    </cfRule>
  </conditionalFormatting>
  <conditionalFormatting sqref="D188">
    <cfRule type="duplicateValues" dxfId="678" priority="264"/>
    <cfRule type="expression" dxfId="677" priority="713">
      <formula>AND(SUMPRODUCT(IFERROR(1*(($D$845&amp;"x")=(D188&amp;"x")),0))&gt;1,NOT(ISBLANK(D188)))</formula>
    </cfRule>
  </conditionalFormatting>
  <conditionalFormatting sqref="D189">
    <cfRule type="duplicateValues" dxfId="676" priority="263"/>
    <cfRule type="expression" dxfId="675" priority="712">
      <formula>AND(SUMPRODUCT(IFERROR(1*(($D$846&amp;"x")=(D189&amp;"x")),0))&gt;1,NOT(ISBLANK(D189)))</formula>
    </cfRule>
  </conditionalFormatting>
  <conditionalFormatting sqref="D190">
    <cfRule type="expression" dxfId="674" priority="711">
      <formula>AND(SUMPRODUCT(IFERROR(1*(($D$847&amp;"x")=(D190&amp;"x")),0))&gt;1,NOT(ISBLANK(D190)))</formula>
    </cfRule>
    <cfRule type="duplicateValues" dxfId="673" priority="262"/>
  </conditionalFormatting>
  <conditionalFormatting sqref="D191">
    <cfRule type="expression" dxfId="672" priority="710">
      <formula>AND(SUMPRODUCT(IFERROR(1*(($D$848&amp;"x")=(D191&amp;"x")),0))&gt;1,NOT(ISBLANK(D191)))</formula>
    </cfRule>
    <cfRule type="duplicateValues" dxfId="671" priority="261"/>
  </conditionalFormatting>
  <conditionalFormatting sqref="D192">
    <cfRule type="expression" dxfId="670" priority="709">
      <formula>AND(SUMPRODUCT(IFERROR(1*(($D$849&amp;"x")=(D192&amp;"x")),0))&gt;1,NOT(ISBLANK(D192)))</formula>
    </cfRule>
    <cfRule type="duplicateValues" dxfId="669" priority="260"/>
  </conditionalFormatting>
  <conditionalFormatting sqref="D193">
    <cfRule type="duplicateValues" dxfId="668" priority="259"/>
    <cfRule type="expression" dxfId="667" priority="708">
      <formula>AND(SUMPRODUCT(IFERROR(1*(($D$850&amp;"x")=(D193&amp;"x")),0))&gt;1,NOT(ISBLANK(D193)))</formula>
    </cfRule>
  </conditionalFormatting>
  <conditionalFormatting sqref="D194">
    <cfRule type="expression" dxfId="666" priority="707">
      <formula>AND(SUMPRODUCT(IFERROR(1*(($D$851&amp;"x")=(D194&amp;"x")),0))&gt;1,NOT(ISBLANK(D194)))</formula>
    </cfRule>
    <cfRule type="duplicateValues" dxfId="665" priority="258"/>
  </conditionalFormatting>
  <conditionalFormatting sqref="D195">
    <cfRule type="duplicateValues" dxfId="664" priority="257"/>
    <cfRule type="expression" dxfId="663" priority="706">
      <formula>AND(SUMPRODUCT(IFERROR(1*(($D$852&amp;"x")=(D195&amp;"x")),0))&gt;1,NOT(ISBLANK(D195)))</formula>
    </cfRule>
  </conditionalFormatting>
  <conditionalFormatting sqref="D196">
    <cfRule type="expression" dxfId="662" priority="705">
      <formula>AND(SUMPRODUCT(IFERROR(1*(($D$853&amp;"x")=(D196&amp;"x")),0))&gt;1,NOT(ISBLANK(D196)))</formula>
    </cfRule>
    <cfRule type="duplicateValues" dxfId="661" priority="256"/>
  </conditionalFormatting>
  <conditionalFormatting sqref="D197">
    <cfRule type="expression" dxfId="660" priority="704">
      <formula>AND(SUMPRODUCT(IFERROR(1*(($D$854&amp;"x")=(D197&amp;"x")),0))&gt;1,NOT(ISBLANK(D197)))</formula>
    </cfRule>
    <cfRule type="duplicateValues" dxfId="659" priority="255"/>
  </conditionalFormatting>
  <conditionalFormatting sqref="D198">
    <cfRule type="expression" dxfId="658" priority="703">
      <formula>AND(SUMPRODUCT(IFERROR(1*(($D$855&amp;"x")=(D198&amp;"x")),0))&gt;1,NOT(ISBLANK(D198)))</formula>
    </cfRule>
    <cfRule type="duplicateValues" dxfId="657" priority="254"/>
  </conditionalFormatting>
  <conditionalFormatting sqref="D199">
    <cfRule type="duplicateValues" dxfId="656" priority="253"/>
    <cfRule type="expression" dxfId="655" priority="702">
      <formula>AND(SUMPRODUCT(IFERROR(1*(($D$856&amp;"x")=(D199&amp;"x")),0))&gt;1,NOT(ISBLANK(D199)))</formula>
    </cfRule>
  </conditionalFormatting>
  <conditionalFormatting sqref="D200">
    <cfRule type="duplicateValues" dxfId="654" priority="252"/>
    <cfRule type="expression" dxfId="653" priority="701">
      <formula>AND(SUMPRODUCT(IFERROR(1*(($D$857&amp;"x")=(D200&amp;"x")),0))&gt;1,NOT(ISBLANK(D200)))</formula>
    </cfRule>
  </conditionalFormatting>
  <conditionalFormatting sqref="D201">
    <cfRule type="duplicateValues" dxfId="652" priority="251"/>
    <cfRule type="expression" dxfId="651" priority="700">
      <formula>AND(SUMPRODUCT(IFERROR(1*(($D$858&amp;"x")=(D201&amp;"x")),0))&gt;1,NOT(ISBLANK(D201)))</formula>
    </cfRule>
  </conditionalFormatting>
  <conditionalFormatting sqref="D202">
    <cfRule type="duplicateValues" dxfId="650" priority="250"/>
    <cfRule type="expression" dxfId="649" priority="699">
      <formula>AND(SUMPRODUCT(IFERROR(1*(($D$859&amp;"x")=(D202&amp;"x")),0))&gt;1,NOT(ISBLANK(D202)))</formula>
    </cfRule>
  </conditionalFormatting>
  <conditionalFormatting sqref="D203">
    <cfRule type="duplicateValues" dxfId="648" priority="249"/>
    <cfRule type="expression" dxfId="647" priority="698">
      <formula>AND(SUMPRODUCT(IFERROR(1*(($D$860&amp;"x")=(D203&amp;"x")),0))&gt;1,NOT(ISBLANK(D203)))</formula>
    </cfRule>
  </conditionalFormatting>
  <conditionalFormatting sqref="D204">
    <cfRule type="duplicateValues" dxfId="646" priority="248"/>
    <cfRule type="expression" dxfId="645" priority="697">
      <formula>AND(SUMPRODUCT(IFERROR(1*(($D$861&amp;"x")=(D204&amp;"x")),0))&gt;1,NOT(ISBLANK(D204)))</formula>
    </cfRule>
  </conditionalFormatting>
  <conditionalFormatting sqref="D205">
    <cfRule type="duplicateValues" dxfId="644" priority="247"/>
    <cfRule type="expression" dxfId="643" priority="696">
      <formula>AND(SUMPRODUCT(IFERROR(1*(($D$862&amp;"x")=(D205&amp;"x")),0))&gt;1,NOT(ISBLANK(D205)))</formula>
    </cfRule>
  </conditionalFormatting>
  <conditionalFormatting sqref="D206">
    <cfRule type="duplicateValues" dxfId="642" priority="246"/>
    <cfRule type="expression" dxfId="641" priority="695">
      <formula>AND(SUMPRODUCT(IFERROR(1*(($D$863&amp;"x")=(D206&amp;"x")),0))&gt;1,NOT(ISBLANK(D206)))</formula>
    </cfRule>
  </conditionalFormatting>
  <conditionalFormatting sqref="D207">
    <cfRule type="duplicateValues" dxfId="640" priority="245"/>
    <cfRule type="expression" dxfId="639" priority="694">
      <formula>AND(SUMPRODUCT(IFERROR(1*(($D$864&amp;"x")=(D207&amp;"x")),0))&gt;1,NOT(ISBLANK(D207)))</formula>
    </cfRule>
  </conditionalFormatting>
  <conditionalFormatting sqref="D208">
    <cfRule type="duplicateValues" dxfId="638" priority="244"/>
    <cfRule type="expression" dxfId="637" priority="693">
      <formula>AND(SUMPRODUCT(IFERROR(1*(($D$865&amp;"x")=(D208&amp;"x")),0))&gt;1,NOT(ISBLANK(D208)))</formula>
    </cfRule>
  </conditionalFormatting>
  <conditionalFormatting sqref="D209">
    <cfRule type="duplicateValues" dxfId="636" priority="243"/>
    <cfRule type="expression" dxfId="635" priority="692">
      <formula>AND(SUMPRODUCT(IFERROR(1*(($D$866&amp;"x")=(D209&amp;"x")),0))&gt;1,NOT(ISBLANK(D209)))</formula>
    </cfRule>
  </conditionalFormatting>
  <conditionalFormatting sqref="D210">
    <cfRule type="duplicateValues" dxfId="634" priority="242"/>
    <cfRule type="expression" dxfId="633" priority="691">
      <formula>AND(SUMPRODUCT(IFERROR(1*(($D$867&amp;"x")=(D210&amp;"x")),0))&gt;1,NOT(ISBLANK(D210)))</formula>
    </cfRule>
  </conditionalFormatting>
  <conditionalFormatting sqref="D211">
    <cfRule type="expression" dxfId="632" priority="690">
      <formula>AND(SUMPRODUCT(IFERROR(1*(($D$868&amp;"x")=(D211&amp;"x")),0))&gt;1,NOT(ISBLANK(D211)))</formula>
    </cfRule>
    <cfRule type="duplicateValues" dxfId="631" priority="241"/>
  </conditionalFormatting>
  <conditionalFormatting sqref="D212">
    <cfRule type="duplicateValues" dxfId="630" priority="240"/>
    <cfRule type="expression" dxfId="629" priority="689">
      <formula>AND(SUMPRODUCT(IFERROR(1*(($D$869&amp;"x")=(D212&amp;"x")),0))&gt;1,NOT(ISBLANK(D212)))</formula>
    </cfRule>
  </conditionalFormatting>
  <conditionalFormatting sqref="D213">
    <cfRule type="duplicateValues" dxfId="628" priority="239"/>
    <cfRule type="expression" dxfId="627" priority="688">
      <formula>AND(SUMPRODUCT(IFERROR(1*(($D$870&amp;"x")=(D213&amp;"x")),0))&gt;1,NOT(ISBLANK(D213)))</formula>
    </cfRule>
  </conditionalFormatting>
  <conditionalFormatting sqref="D214">
    <cfRule type="duplicateValues" dxfId="626" priority="238"/>
    <cfRule type="expression" dxfId="625" priority="687">
      <formula>AND(SUMPRODUCT(IFERROR(1*(($D$871&amp;"x")=(D214&amp;"x")),0))&gt;1,NOT(ISBLANK(D214)))</formula>
    </cfRule>
  </conditionalFormatting>
  <conditionalFormatting sqref="D215">
    <cfRule type="duplicateValues" dxfId="624" priority="237"/>
    <cfRule type="expression" dxfId="623" priority="686">
      <formula>AND(SUMPRODUCT(IFERROR(1*(($D$872&amp;"x")=(D215&amp;"x")),0))&gt;1,NOT(ISBLANK(D215)))</formula>
    </cfRule>
  </conditionalFormatting>
  <conditionalFormatting sqref="D216">
    <cfRule type="duplicateValues" dxfId="622" priority="236"/>
    <cfRule type="expression" dxfId="621" priority="685">
      <formula>AND(SUMPRODUCT(IFERROR(1*(($D$873&amp;"x")=(D216&amp;"x")),0))&gt;1,NOT(ISBLANK(D216)))</formula>
    </cfRule>
  </conditionalFormatting>
  <conditionalFormatting sqref="D217">
    <cfRule type="expression" dxfId="620" priority="684">
      <formula>AND(SUMPRODUCT(IFERROR(1*(($D$874&amp;"x")=(D217&amp;"x")),0))&gt;1,NOT(ISBLANK(D217)))</formula>
    </cfRule>
    <cfRule type="duplicateValues" dxfId="619" priority="235"/>
  </conditionalFormatting>
  <conditionalFormatting sqref="D218">
    <cfRule type="duplicateValues" dxfId="618" priority="234"/>
    <cfRule type="expression" dxfId="617" priority="683">
      <formula>AND(SUMPRODUCT(IFERROR(1*(($D$875&amp;"x")=(D218&amp;"x")),0))&gt;1,NOT(ISBLANK(D218)))</formula>
    </cfRule>
  </conditionalFormatting>
  <conditionalFormatting sqref="D219">
    <cfRule type="duplicateValues" dxfId="616" priority="233"/>
    <cfRule type="expression" dxfId="615" priority="682">
      <formula>AND(SUMPRODUCT(IFERROR(1*(($D$876&amp;"x")=(D219&amp;"x")),0))&gt;1,NOT(ISBLANK(D219)))</formula>
    </cfRule>
  </conditionalFormatting>
  <conditionalFormatting sqref="D220">
    <cfRule type="duplicateValues" dxfId="614" priority="232"/>
    <cfRule type="expression" dxfId="613" priority="681">
      <formula>AND(SUMPRODUCT(IFERROR(1*(($D$877&amp;"x")=(D220&amp;"x")),0))&gt;1,NOT(ISBLANK(D220)))</formula>
    </cfRule>
  </conditionalFormatting>
  <conditionalFormatting sqref="D221">
    <cfRule type="duplicateValues" dxfId="612" priority="231"/>
    <cfRule type="expression" dxfId="611" priority="680">
      <formula>AND(SUMPRODUCT(IFERROR(1*(($D$878&amp;"x")=(D221&amp;"x")),0))&gt;1,NOT(ISBLANK(D221)))</formula>
    </cfRule>
  </conditionalFormatting>
  <conditionalFormatting sqref="D222">
    <cfRule type="duplicateValues" dxfId="610" priority="230"/>
    <cfRule type="expression" dxfId="609" priority="679">
      <formula>AND(SUMPRODUCT(IFERROR(1*(($D$879&amp;"x")=(D222&amp;"x")),0))&gt;1,NOT(ISBLANK(D222)))</formula>
    </cfRule>
  </conditionalFormatting>
  <conditionalFormatting sqref="D223">
    <cfRule type="duplicateValues" dxfId="608" priority="229"/>
    <cfRule type="expression" dxfId="607" priority="678">
      <formula>AND(SUMPRODUCT(IFERROR(1*(($D$880&amp;"x")=(D223&amp;"x")),0))&gt;1,NOT(ISBLANK(D223)))</formula>
    </cfRule>
  </conditionalFormatting>
  <conditionalFormatting sqref="D224">
    <cfRule type="duplicateValues" dxfId="606" priority="228"/>
    <cfRule type="expression" dxfId="605" priority="677">
      <formula>AND(SUMPRODUCT(IFERROR(1*(($D$881&amp;"x")=(D224&amp;"x")),0))&gt;1,NOT(ISBLANK(D224)))</formula>
    </cfRule>
  </conditionalFormatting>
  <conditionalFormatting sqref="D225">
    <cfRule type="duplicateValues" dxfId="604" priority="227"/>
    <cfRule type="expression" dxfId="603" priority="676">
      <formula>AND(SUMPRODUCT(IFERROR(1*(($D$882&amp;"x")=(D225&amp;"x")),0))&gt;1,NOT(ISBLANK(D225)))</formula>
    </cfRule>
  </conditionalFormatting>
  <conditionalFormatting sqref="D226">
    <cfRule type="duplicateValues" dxfId="602" priority="226"/>
    <cfRule type="expression" dxfId="601" priority="675">
      <formula>AND(SUMPRODUCT(IFERROR(1*(($D$883&amp;"x")=(D226&amp;"x")),0))&gt;1,NOT(ISBLANK(D226)))</formula>
    </cfRule>
  </conditionalFormatting>
  <conditionalFormatting sqref="D227">
    <cfRule type="expression" dxfId="600" priority="674">
      <formula>AND(SUMPRODUCT(IFERROR(1*(($D$884&amp;"x")=(D227&amp;"x")),0))&gt;1,NOT(ISBLANK(D227)))</formula>
    </cfRule>
    <cfRule type="duplicateValues" dxfId="599" priority="225"/>
  </conditionalFormatting>
  <conditionalFormatting sqref="D228">
    <cfRule type="duplicateValues" dxfId="598" priority="224"/>
    <cfRule type="expression" dxfId="597" priority="673">
      <formula>AND(SUMPRODUCT(IFERROR(1*(($D$885&amp;"x")=(D228&amp;"x")),0))&gt;1,NOT(ISBLANK(D228)))</formula>
    </cfRule>
  </conditionalFormatting>
  <conditionalFormatting sqref="D229">
    <cfRule type="duplicateValues" dxfId="596" priority="223"/>
    <cfRule type="expression" dxfId="595" priority="672">
      <formula>AND(SUMPRODUCT(IFERROR(1*(($D$886&amp;"x")=(D229&amp;"x")),0))&gt;1,NOT(ISBLANK(D229)))</formula>
    </cfRule>
  </conditionalFormatting>
  <conditionalFormatting sqref="D230">
    <cfRule type="duplicateValues" dxfId="594" priority="222"/>
    <cfRule type="expression" dxfId="593" priority="671">
      <formula>AND(SUMPRODUCT(IFERROR(1*(($D$887&amp;"x")=(D230&amp;"x")),0))&gt;1,NOT(ISBLANK(D230)))</formula>
    </cfRule>
  </conditionalFormatting>
  <conditionalFormatting sqref="D231">
    <cfRule type="duplicateValues" dxfId="592" priority="221"/>
    <cfRule type="expression" dxfId="591" priority="670">
      <formula>AND(SUMPRODUCT(IFERROR(1*(($D$888&amp;"x")=(D231&amp;"x")),0))&gt;1,NOT(ISBLANK(D231)))</formula>
    </cfRule>
  </conditionalFormatting>
  <conditionalFormatting sqref="D232">
    <cfRule type="duplicateValues" dxfId="590" priority="220"/>
    <cfRule type="expression" dxfId="589" priority="669">
      <formula>AND(SUMPRODUCT(IFERROR(1*(($D$889&amp;"x")=(D232&amp;"x")),0))&gt;1,NOT(ISBLANK(D232)))</formula>
    </cfRule>
  </conditionalFormatting>
  <conditionalFormatting sqref="D233">
    <cfRule type="duplicateValues" dxfId="588" priority="219"/>
    <cfRule type="expression" dxfId="587" priority="668">
      <formula>AND(SUMPRODUCT(IFERROR(1*(($D$890&amp;"x")=(D233&amp;"x")),0))&gt;1,NOT(ISBLANK(D233)))</formula>
    </cfRule>
  </conditionalFormatting>
  <conditionalFormatting sqref="D234">
    <cfRule type="duplicateValues" dxfId="586" priority="218"/>
    <cfRule type="expression" dxfId="585" priority="667">
      <formula>AND(SUMPRODUCT(IFERROR(1*(($D$891&amp;"x")=(D234&amp;"x")),0))&gt;1,NOT(ISBLANK(D234)))</formula>
    </cfRule>
  </conditionalFormatting>
  <conditionalFormatting sqref="D235">
    <cfRule type="duplicateValues" dxfId="584" priority="217"/>
    <cfRule type="expression" dxfId="583" priority="666">
      <formula>AND(SUMPRODUCT(IFERROR(1*(($D$892&amp;"x")=(D235&amp;"x")),0))&gt;1,NOT(ISBLANK(D235)))</formula>
    </cfRule>
  </conditionalFormatting>
  <conditionalFormatting sqref="D236">
    <cfRule type="duplicateValues" dxfId="582" priority="216"/>
    <cfRule type="expression" dxfId="581" priority="665">
      <formula>AND(SUMPRODUCT(IFERROR(1*(($D$893&amp;"x")=(D236&amp;"x")),0))&gt;1,NOT(ISBLANK(D236)))</formula>
    </cfRule>
  </conditionalFormatting>
  <conditionalFormatting sqref="D237">
    <cfRule type="expression" dxfId="580" priority="664">
      <formula>AND(SUMPRODUCT(IFERROR(1*(($D$894&amp;"x")=(D237&amp;"x")),0))&gt;1,NOT(ISBLANK(D237)))</formula>
    </cfRule>
    <cfRule type="duplicateValues" dxfId="579" priority="215"/>
  </conditionalFormatting>
  <conditionalFormatting sqref="D238">
    <cfRule type="duplicateValues" dxfId="578" priority="214"/>
    <cfRule type="expression" dxfId="577" priority="663">
      <formula>AND(SUMPRODUCT(IFERROR(1*(($D$895&amp;"x")=(D238&amp;"x")),0))&gt;1,NOT(ISBLANK(D238)))</formula>
    </cfRule>
  </conditionalFormatting>
  <conditionalFormatting sqref="D239">
    <cfRule type="expression" dxfId="576" priority="662">
      <formula>AND(SUMPRODUCT(IFERROR(1*(($D$896&amp;"x")=(D239&amp;"x")),0))&gt;1,NOT(ISBLANK(D239)))</formula>
    </cfRule>
    <cfRule type="duplicateValues" dxfId="575" priority="213"/>
  </conditionalFormatting>
  <conditionalFormatting sqref="D240">
    <cfRule type="duplicateValues" dxfId="574" priority="212"/>
    <cfRule type="expression" dxfId="573" priority="661">
      <formula>AND(SUMPRODUCT(IFERROR(1*(($D$897&amp;"x")=(D240&amp;"x")),0))&gt;1,NOT(ISBLANK(D240)))</formula>
    </cfRule>
  </conditionalFormatting>
  <conditionalFormatting sqref="D241">
    <cfRule type="expression" dxfId="572" priority="660">
      <formula>AND(SUMPRODUCT(IFERROR(1*(($D$898&amp;"x")=(D241&amp;"x")),0))&gt;1,NOT(ISBLANK(D241)))</formula>
    </cfRule>
    <cfRule type="duplicateValues" dxfId="571" priority="211"/>
  </conditionalFormatting>
  <conditionalFormatting sqref="D242">
    <cfRule type="expression" dxfId="570" priority="659">
      <formula>AND(SUMPRODUCT(IFERROR(1*(($D$899&amp;"x")=(D242&amp;"x")),0))&gt;1,NOT(ISBLANK(D242)))</formula>
    </cfRule>
    <cfRule type="duplicateValues" dxfId="569" priority="210"/>
  </conditionalFormatting>
  <conditionalFormatting sqref="D243">
    <cfRule type="expression" dxfId="568" priority="658">
      <formula>AND(SUMPRODUCT(IFERROR(1*(($D$900&amp;"x")=(D243&amp;"x")),0))&gt;1,NOT(ISBLANK(D243)))</formula>
    </cfRule>
    <cfRule type="duplicateValues" dxfId="567" priority="209"/>
  </conditionalFormatting>
  <conditionalFormatting sqref="D244">
    <cfRule type="duplicateValues" dxfId="566" priority="208"/>
    <cfRule type="expression" dxfId="565" priority="657">
      <formula>AND(SUMPRODUCT(IFERROR(1*(($D$901&amp;"x")=(D244&amp;"x")),0))&gt;1,NOT(ISBLANK(D244)))</formula>
    </cfRule>
  </conditionalFormatting>
  <conditionalFormatting sqref="D245">
    <cfRule type="expression" dxfId="564" priority="656">
      <formula>AND(SUMPRODUCT(IFERROR(1*(($D$902&amp;"x")=(D245&amp;"x")),0))&gt;1,NOT(ISBLANK(D245)))</formula>
    </cfRule>
    <cfRule type="duplicateValues" dxfId="563" priority="207"/>
  </conditionalFormatting>
  <conditionalFormatting sqref="D246">
    <cfRule type="duplicateValues" dxfId="562" priority="206"/>
    <cfRule type="expression" dxfId="561" priority="655">
      <formula>AND(SUMPRODUCT(IFERROR(1*(($D$903&amp;"x")=(D246&amp;"x")),0))&gt;1,NOT(ISBLANK(D246)))</formula>
    </cfRule>
  </conditionalFormatting>
  <conditionalFormatting sqref="D247">
    <cfRule type="duplicateValues" dxfId="560" priority="205"/>
    <cfRule type="expression" dxfId="559" priority="654">
      <formula>AND(SUMPRODUCT(IFERROR(1*(($D$904&amp;"x")=(D247&amp;"x")),0))&gt;1,NOT(ISBLANK(D247)))</formula>
    </cfRule>
  </conditionalFormatting>
  <conditionalFormatting sqref="D248">
    <cfRule type="duplicateValues" dxfId="558" priority="204"/>
    <cfRule type="expression" dxfId="557" priority="653">
      <formula>AND(SUMPRODUCT(IFERROR(1*(($D$905&amp;"x")=(D248&amp;"x")),0))&gt;1,NOT(ISBLANK(D248)))</formula>
    </cfRule>
  </conditionalFormatting>
  <conditionalFormatting sqref="D249">
    <cfRule type="duplicateValues" dxfId="556" priority="203"/>
    <cfRule type="expression" dxfId="555" priority="652">
      <formula>AND(SUMPRODUCT(IFERROR(1*(($D$906&amp;"x")=(D249&amp;"x")),0))&gt;1,NOT(ISBLANK(D249)))</formula>
    </cfRule>
  </conditionalFormatting>
  <conditionalFormatting sqref="D250">
    <cfRule type="expression" dxfId="554" priority="651">
      <formula>AND(SUMPRODUCT(IFERROR(1*(($D$907&amp;"x")=(D250&amp;"x")),0))&gt;1,NOT(ISBLANK(D250)))</formula>
    </cfRule>
    <cfRule type="duplicateValues" dxfId="553" priority="202"/>
  </conditionalFormatting>
  <conditionalFormatting sqref="D251">
    <cfRule type="duplicateValues" dxfId="552" priority="201"/>
    <cfRule type="expression" dxfId="551" priority="650">
      <formula>AND(SUMPRODUCT(IFERROR(1*(($D$908&amp;"x")=(D251&amp;"x")),0))&gt;1,NOT(ISBLANK(D251)))</formula>
    </cfRule>
  </conditionalFormatting>
  <conditionalFormatting sqref="D252">
    <cfRule type="duplicateValues" dxfId="550" priority="200"/>
    <cfRule type="expression" dxfId="549" priority="649">
      <formula>AND(SUMPRODUCT(IFERROR(1*(($D$909&amp;"x")=(D252&amp;"x")),0))&gt;1,NOT(ISBLANK(D252)))</formula>
    </cfRule>
  </conditionalFormatting>
  <conditionalFormatting sqref="D253">
    <cfRule type="expression" dxfId="548" priority="648">
      <formula>AND(SUMPRODUCT(IFERROR(1*(($D$910&amp;"x")=(D253&amp;"x")),0))&gt;1,NOT(ISBLANK(D253)))</formula>
    </cfRule>
    <cfRule type="duplicateValues" dxfId="547" priority="199"/>
  </conditionalFormatting>
  <conditionalFormatting sqref="D254">
    <cfRule type="duplicateValues" dxfId="546" priority="198"/>
    <cfRule type="expression" dxfId="545" priority="647">
      <formula>AND(SUMPRODUCT(IFERROR(1*(($D$911&amp;"x")=(D254&amp;"x")),0))&gt;1,NOT(ISBLANK(D254)))</formula>
    </cfRule>
  </conditionalFormatting>
  <conditionalFormatting sqref="D255">
    <cfRule type="duplicateValues" dxfId="544" priority="197"/>
    <cfRule type="expression" dxfId="543" priority="646">
      <formula>AND(SUMPRODUCT(IFERROR(1*(($D$912&amp;"x")=(D255&amp;"x")),0))&gt;1,NOT(ISBLANK(D255)))</formula>
    </cfRule>
  </conditionalFormatting>
  <conditionalFormatting sqref="D256">
    <cfRule type="expression" dxfId="542" priority="645">
      <formula>AND(SUMPRODUCT(IFERROR(1*(($D$913&amp;"x")=(D256&amp;"x")),0))&gt;1,NOT(ISBLANK(D256)))</formula>
    </cfRule>
    <cfRule type="duplicateValues" dxfId="541" priority="196"/>
  </conditionalFormatting>
  <conditionalFormatting sqref="D257">
    <cfRule type="duplicateValues" dxfId="540" priority="195"/>
    <cfRule type="expression" dxfId="539" priority="644">
      <formula>AND(SUMPRODUCT(IFERROR(1*(($D$914&amp;"x")=(D257&amp;"x")),0))&gt;1,NOT(ISBLANK(D257)))</formula>
    </cfRule>
  </conditionalFormatting>
  <conditionalFormatting sqref="D258">
    <cfRule type="duplicateValues" dxfId="538" priority="194"/>
    <cfRule type="expression" dxfId="537" priority="643">
      <formula>AND(SUMPRODUCT(IFERROR(1*(($D$915&amp;"x")=(D258&amp;"x")),0))&gt;1,NOT(ISBLANK(D258)))</formula>
    </cfRule>
  </conditionalFormatting>
  <conditionalFormatting sqref="D259">
    <cfRule type="expression" dxfId="536" priority="642">
      <formula>AND(SUMPRODUCT(IFERROR(1*(($D$916&amp;"x")=(D259&amp;"x")),0))&gt;1,NOT(ISBLANK(D259)))</formula>
    </cfRule>
    <cfRule type="duplicateValues" dxfId="535" priority="193"/>
  </conditionalFormatting>
  <conditionalFormatting sqref="D260">
    <cfRule type="expression" dxfId="534" priority="641">
      <formula>AND(SUMPRODUCT(IFERROR(1*(($D$917&amp;"x")=(D260&amp;"x")),0))&gt;1,NOT(ISBLANK(D260)))</formula>
    </cfRule>
    <cfRule type="duplicateValues" dxfId="533" priority="192"/>
  </conditionalFormatting>
  <conditionalFormatting sqref="D261">
    <cfRule type="expression" dxfId="532" priority="640">
      <formula>AND(SUMPRODUCT(IFERROR(1*(($D$918&amp;"x")=(D261&amp;"x")),0))&gt;1,NOT(ISBLANK(D261)))</formula>
    </cfRule>
    <cfRule type="duplicateValues" dxfId="531" priority="191"/>
  </conditionalFormatting>
  <conditionalFormatting sqref="D262">
    <cfRule type="duplicateValues" dxfId="530" priority="190"/>
    <cfRule type="expression" dxfId="529" priority="639">
      <formula>AND(SUMPRODUCT(IFERROR(1*(($D$919&amp;"x")=(D262&amp;"x")),0))&gt;1,NOT(ISBLANK(D262)))</formula>
    </cfRule>
  </conditionalFormatting>
  <conditionalFormatting sqref="D263">
    <cfRule type="expression" dxfId="528" priority="638">
      <formula>AND(SUMPRODUCT(IFERROR(1*(($D$920&amp;"x")=(D263&amp;"x")),0))&gt;1,NOT(ISBLANK(D263)))</formula>
    </cfRule>
    <cfRule type="duplicateValues" dxfId="527" priority="189"/>
  </conditionalFormatting>
  <conditionalFormatting sqref="D264">
    <cfRule type="expression" dxfId="526" priority="637">
      <formula>AND(SUMPRODUCT(IFERROR(1*(($D$921&amp;"x")=(D264&amp;"x")),0))&gt;1,NOT(ISBLANK(D264)))</formula>
    </cfRule>
    <cfRule type="duplicateValues" dxfId="525" priority="188"/>
  </conditionalFormatting>
  <conditionalFormatting sqref="D265">
    <cfRule type="duplicateValues" dxfId="524" priority="187"/>
    <cfRule type="expression" dxfId="523" priority="636">
      <formula>AND(SUMPRODUCT(IFERROR(1*(($D$922&amp;"x")=(D265&amp;"x")),0))&gt;1,NOT(ISBLANK(D265)))</formula>
    </cfRule>
  </conditionalFormatting>
  <conditionalFormatting sqref="D266">
    <cfRule type="duplicateValues" dxfId="522" priority="186"/>
    <cfRule type="expression" dxfId="521" priority="635">
      <formula>AND(SUMPRODUCT(IFERROR(1*(($D$923&amp;"x")=(D266&amp;"x")),0))&gt;1,NOT(ISBLANK(D266)))</formula>
    </cfRule>
  </conditionalFormatting>
  <conditionalFormatting sqref="D267">
    <cfRule type="duplicateValues" dxfId="520" priority="185"/>
    <cfRule type="expression" dxfId="519" priority="634">
      <formula>AND(SUMPRODUCT(IFERROR(1*(($D$924&amp;"x")=(D267&amp;"x")),0))&gt;1,NOT(ISBLANK(D267)))</formula>
    </cfRule>
  </conditionalFormatting>
  <conditionalFormatting sqref="D268">
    <cfRule type="expression" dxfId="518" priority="633">
      <formula>AND(SUMPRODUCT(IFERROR(1*(($D$925&amp;"x")=(D268&amp;"x")),0))&gt;1,NOT(ISBLANK(D268)))</formula>
    </cfRule>
    <cfRule type="duplicateValues" dxfId="517" priority="184"/>
  </conditionalFormatting>
  <conditionalFormatting sqref="D269">
    <cfRule type="expression" dxfId="516" priority="632">
      <formula>AND(SUMPRODUCT(IFERROR(1*(($D$926&amp;"x")=(D269&amp;"x")),0))&gt;1,NOT(ISBLANK(D269)))</formula>
    </cfRule>
    <cfRule type="duplicateValues" dxfId="515" priority="183"/>
  </conditionalFormatting>
  <conditionalFormatting sqref="D270">
    <cfRule type="expression" dxfId="514" priority="631">
      <formula>AND(SUMPRODUCT(IFERROR(1*(($D$927&amp;"x")=(D270&amp;"x")),0))&gt;1,NOT(ISBLANK(D270)))</formula>
    </cfRule>
    <cfRule type="duplicateValues" dxfId="513" priority="182"/>
  </conditionalFormatting>
  <conditionalFormatting sqref="D271">
    <cfRule type="expression" dxfId="512" priority="630">
      <formula>AND(SUMPRODUCT(IFERROR(1*(($D$928&amp;"x")=(D271&amp;"x")),0))&gt;1,NOT(ISBLANK(D271)))</formula>
    </cfRule>
    <cfRule type="duplicateValues" dxfId="511" priority="181"/>
  </conditionalFormatting>
  <conditionalFormatting sqref="D272">
    <cfRule type="expression" dxfId="510" priority="629">
      <formula>AND(SUMPRODUCT(IFERROR(1*(($D$929&amp;"x")=(D272&amp;"x")),0))&gt;1,NOT(ISBLANK(D272)))</formula>
    </cfRule>
    <cfRule type="duplicateValues" dxfId="509" priority="180"/>
  </conditionalFormatting>
  <conditionalFormatting sqref="D273">
    <cfRule type="duplicateValues" dxfId="508" priority="179"/>
    <cfRule type="expression" dxfId="507" priority="628">
      <formula>AND(SUMPRODUCT(IFERROR(1*(($D$930&amp;"x")=(D273&amp;"x")),0))&gt;1,NOT(ISBLANK(D273)))</formula>
    </cfRule>
  </conditionalFormatting>
  <conditionalFormatting sqref="D274">
    <cfRule type="duplicateValues" dxfId="506" priority="178"/>
    <cfRule type="expression" dxfId="505" priority="627">
      <formula>AND(SUMPRODUCT(IFERROR(1*(($D$931&amp;"x")=(D274&amp;"x")),0))&gt;1,NOT(ISBLANK(D274)))</formula>
    </cfRule>
  </conditionalFormatting>
  <conditionalFormatting sqref="D275">
    <cfRule type="duplicateValues" dxfId="504" priority="177"/>
    <cfRule type="expression" dxfId="503" priority="626">
      <formula>AND(SUMPRODUCT(IFERROR(1*(($D$932&amp;"x")=(D275&amp;"x")),0))&gt;1,NOT(ISBLANK(D275)))</formula>
    </cfRule>
  </conditionalFormatting>
  <conditionalFormatting sqref="D276">
    <cfRule type="expression" dxfId="502" priority="625">
      <formula>AND(SUMPRODUCT(IFERROR(1*(($D$933&amp;"x")=(D276&amp;"x")),0))&gt;1,NOT(ISBLANK(D276)))</formula>
    </cfRule>
    <cfRule type="duplicateValues" dxfId="501" priority="176"/>
  </conditionalFormatting>
  <conditionalFormatting sqref="D277">
    <cfRule type="duplicateValues" dxfId="500" priority="175"/>
    <cfRule type="expression" dxfId="499" priority="624">
      <formula>AND(SUMPRODUCT(IFERROR(1*(($D$934&amp;"x")=(D277&amp;"x")),0))&gt;1,NOT(ISBLANK(D277)))</formula>
    </cfRule>
  </conditionalFormatting>
  <conditionalFormatting sqref="D278">
    <cfRule type="expression" dxfId="498" priority="623">
      <formula>AND(SUMPRODUCT(IFERROR(1*(($D$935&amp;"x")=(D278&amp;"x")),0))&gt;1,NOT(ISBLANK(D278)))</formula>
    </cfRule>
    <cfRule type="duplicateValues" dxfId="497" priority="174"/>
  </conditionalFormatting>
  <conditionalFormatting sqref="D279">
    <cfRule type="expression" dxfId="496" priority="622">
      <formula>AND(SUMPRODUCT(IFERROR(1*(($D$936&amp;"x")=(D279&amp;"x")),0))&gt;1,NOT(ISBLANK(D279)))</formula>
    </cfRule>
    <cfRule type="duplicateValues" dxfId="495" priority="173"/>
  </conditionalFormatting>
  <conditionalFormatting sqref="D280">
    <cfRule type="expression" dxfId="494" priority="621">
      <formula>AND(SUMPRODUCT(IFERROR(1*(($D$937&amp;"x")=(D280&amp;"x")),0))&gt;1,NOT(ISBLANK(D280)))</formula>
    </cfRule>
    <cfRule type="duplicateValues" dxfId="493" priority="172"/>
  </conditionalFormatting>
  <conditionalFormatting sqref="D281">
    <cfRule type="expression" dxfId="492" priority="620">
      <formula>AND(SUMPRODUCT(IFERROR(1*(($D$938&amp;"x")=(D281&amp;"x")),0))&gt;1,NOT(ISBLANK(D281)))</formula>
    </cfRule>
    <cfRule type="duplicateValues" dxfId="491" priority="171"/>
  </conditionalFormatting>
  <conditionalFormatting sqref="D282">
    <cfRule type="expression" dxfId="490" priority="619">
      <formula>AND(SUMPRODUCT(IFERROR(1*(($D$939&amp;"x")=(D282&amp;"x")),0))&gt;1,NOT(ISBLANK(D282)))</formula>
    </cfRule>
    <cfRule type="duplicateValues" dxfId="489" priority="170"/>
  </conditionalFormatting>
  <conditionalFormatting sqref="D283">
    <cfRule type="expression" dxfId="488" priority="618">
      <formula>AND(SUMPRODUCT(IFERROR(1*(($D$940&amp;"x")=(D283&amp;"x")),0))&gt;1,NOT(ISBLANK(D283)))</formula>
    </cfRule>
    <cfRule type="duplicateValues" dxfId="487" priority="169"/>
  </conditionalFormatting>
  <conditionalFormatting sqref="D284">
    <cfRule type="duplicateValues" dxfId="486" priority="168"/>
    <cfRule type="expression" dxfId="485" priority="617">
      <formula>AND(SUMPRODUCT(IFERROR(1*(($D$941&amp;"x")=(D284&amp;"x")),0))&gt;1,NOT(ISBLANK(D284)))</formula>
    </cfRule>
  </conditionalFormatting>
  <conditionalFormatting sqref="D285">
    <cfRule type="expression" dxfId="484" priority="616">
      <formula>AND(SUMPRODUCT(IFERROR(1*(($D$942&amp;"x")=(D285&amp;"x")),0))&gt;1,NOT(ISBLANK(D285)))</formula>
    </cfRule>
    <cfRule type="duplicateValues" dxfId="483" priority="167"/>
  </conditionalFormatting>
  <conditionalFormatting sqref="D286">
    <cfRule type="expression" dxfId="482" priority="615">
      <formula>AND(SUMPRODUCT(IFERROR(1*(($D$943&amp;"x")=(D286&amp;"x")),0))&gt;1,NOT(ISBLANK(D286)))</formula>
    </cfRule>
    <cfRule type="duplicateValues" dxfId="481" priority="166"/>
  </conditionalFormatting>
  <conditionalFormatting sqref="D287">
    <cfRule type="expression" dxfId="480" priority="614">
      <formula>AND(SUMPRODUCT(IFERROR(1*(($D$944&amp;"x")=(D287&amp;"x")),0))&gt;1,NOT(ISBLANK(D287)))</formula>
    </cfRule>
    <cfRule type="duplicateValues" dxfId="479" priority="165"/>
  </conditionalFormatting>
  <conditionalFormatting sqref="D288">
    <cfRule type="expression" dxfId="478" priority="613">
      <formula>AND(SUMPRODUCT(IFERROR(1*(($D$945&amp;"x")=(D288&amp;"x")),0))&gt;1,NOT(ISBLANK(D288)))</formula>
    </cfRule>
    <cfRule type="duplicateValues" dxfId="477" priority="164"/>
  </conditionalFormatting>
  <conditionalFormatting sqref="D289">
    <cfRule type="expression" dxfId="476" priority="612">
      <formula>AND(SUMPRODUCT(IFERROR(1*(($D$946&amp;"x")=(D289&amp;"x")),0))&gt;1,NOT(ISBLANK(D289)))</formula>
    </cfRule>
    <cfRule type="duplicateValues" dxfId="475" priority="163"/>
  </conditionalFormatting>
  <conditionalFormatting sqref="D290">
    <cfRule type="duplicateValues" dxfId="474" priority="162"/>
    <cfRule type="expression" dxfId="473" priority="611">
      <formula>AND(SUMPRODUCT(IFERROR(1*(($D$947&amp;"x")=(D290&amp;"x")),0))&gt;1,NOT(ISBLANK(D290)))</formula>
    </cfRule>
  </conditionalFormatting>
  <conditionalFormatting sqref="D291">
    <cfRule type="expression" dxfId="472" priority="610">
      <formula>AND(SUMPRODUCT(IFERROR(1*(($D$948&amp;"x")=(D291&amp;"x")),0))&gt;1,NOT(ISBLANK(D291)))</formula>
    </cfRule>
    <cfRule type="duplicateValues" dxfId="471" priority="161"/>
  </conditionalFormatting>
  <conditionalFormatting sqref="D292">
    <cfRule type="expression" dxfId="470" priority="609">
      <formula>AND(SUMPRODUCT(IFERROR(1*(($D$949&amp;"x")=(D292&amp;"x")),0))&gt;1,NOT(ISBLANK(D292)))</formula>
    </cfRule>
    <cfRule type="duplicateValues" dxfId="469" priority="160"/>
  </conditionalFormatting>
  <conditionalFormatting sqref="D293">
    <cfRule type="expression" dxfId="468" priority="608">
      <formula>AND(SUMPRODUCT(IFERROR(1*(($D$950&amp;"x")=(D293&amp;"x")),0))&gt;1,NOT(ISBLANK(D293)))</formula>
    </cfRule>
    <cfRule type="duplicateValues" dxfId="467" priority="159"/>
  </conditionalFormatting>
  <conditionalFormatting sqref="D294">
    <cfRule type="duplicateValues" dxfId="466" priority="158"/>
    <cfRule type="expression" dxfId="465" priority="607">
      <formula>AND(SUMPRODUCT(IFERROR(1*(($D$951&amp;"x")=(D294&amp;"x")),0))&gt;1,NOT(ISBLANK(D294)))</formula>
    </cfRule>
  </conditionalFormatting>
  <conditionalFormatting sqref="D295">
    <cfRule type="duplicateValues" dxfId="464" priority="157"/>
    <cfRule type="expression" dxfId="463" priority="606">
      <formula>AND(SUMPRODUCT(IFERROR(1*(($D$952&amp;"x")=(D295&amp;"x")),0))&gt;1,NOT(ISBLANK(D295)))</formula>
    </cfRule>
  </conditionalFormatting>
  <conditionalFormatting sqref="D296">
    <cfRule type="duplicateValues" dxfId="462" priority="156"/>
    <cfRule type="expression" dxfId="461" priority="605">
      <formula>AND(SUMPRODUCT(IFERROR(1*(($D$953&amp;"x")=(D296&amp;"x")),0))&gt;1,NOT(ISBLANK(D296)))</formula>
    </cfRule>
  </conditionalFormatting>
  <conditionalFormatting sqref="D297">
    <cfRule type="duplicateValues" dxfId="460" priority="155"/>
    <cfRule type="expression" dxfId="459" priority="604">
      <formula>AND(SUMPRODUCT(IFERROR(1*(($D$954&amp;"x")=(D297&amp;"x")),0))&gt;1,NOT(ISBLANK(D297)))</formula>
    </cfRule>
  </conditionalFormatting>
  <conditionalFormatting sqref="D298">
    <cfRule type="duplicateValues" dxfId="458" priority="154"/>
    <cfRule type="expression" dxfId="457" priority="603">
      <formula>AND(SUMPRODUCT(IFERROR(1*(($D$955&amp;"x")=(D298&amp;"x")),0))&gt;1,NOT(ISBLANK(D298)))</formula>
    </cfRule>
  </conditionalFormatting>
  <conditionalFormatting sqref="D299">
    <cfRule type="duplicateValues" dxfId="456" priority="153"/>
    <cfRule type="expression" dxfId="455" priority="602">
      <formula>AND(SUMPRODUCT(IFERROR(1*(($D$956&amp;"x")=(D299&amp;"x")),0))&gt;1,NOT(ISBLANK(D299)))</formula>
    </cfRule>
  </conditionalFormatting>
  <conditionalFormatting sqref="D300">
    <cfRule type="expression" dxfId="454" priority="601">
      <formula>AND(SUMPRODUCT(IFERROR(1*(($D$957&amp;"x")=(D300&amp;"x")),0))&gt;1,NOT(ISBLANK(D300)))</formula>
    </cfRule>
    <cfRule type="duplicateValues" dxfId="453" priority="152"/>
  </conditionalFormatting>
  <conditionalFormatting sqref="D301">
    <cfRule type="expression" dxfId="452" priority="600">
      <formula>AND(SUMPRODUCT(IFERROR(1*(($D$958&amp;"x")=(D301&amp;"x")),0))&gt;1,NOT(ISBLANK(D301)))</formula>
    </cfRule>
    <cfRule type="duplicateValues" dxfId="451" priority="151"/>
  </conditionalFormatting>
  <conditionalFormatting sqref="D302">
    <cfRule type="expression" dxfId="450" priority="599">
      <formula>AND(SUMPRODUCT(IFERROR(1*(($D$959&amp;"x")=(D302&amp;"x")),0))&gt;1,NOT(ISBLANK(D302)))</formula>
    </cfRule>
    <cfRule type="duplicateValues" dxfId="449" priority="150"/>
  </conditionalFormatting>
  <conditionalFormatting sqref="D303">
    <cfRule type="expression" dxfId="448" priority="598">
      <formula>AND(SUMPRODUCT(IFERROR(1*(($D$960&amp;"x")=(D303&amp;"x")),0))&gt;1,NOT(ISBLANK(D303)))</formula>
    </cfRule>
    <cfRule type="duplicateValues" dxfId="447" priority="149"/>
  </conditionalFormatting>
  <conditionalFormatting sqref="D304">
    <cfRule type="expression" dxfId="446" priority="597">
      <formula>AND(SUMPRODUCT(IFERROR(1*(($D$961&amp;"x")=(D304&amp;"x")),0))&gt;1,NOT(ISBLANK(D304)))</formula>
    </cfRule>
    <cfRule type="duplicateValues" dxfId="445" priority="148"/>
  </conditionalFormatting>
  <conditionalFormatting sqref="D305">
    <cfRule type="expression" dxfId="444" priority="596">
      <formula>AND(SUMPRODUCT(IFERROR(1*(($D$962&amp;"x")=(D305&amp;"x")),0))&gt;1,NOT(ISBLANK(D305)))</formula>
    </cfRule>
    <cfRule type="duplicateValues" dxfId="443" priority="147"/>
  </conditionalFormatting>
  <conditionalFormatting sqref="D306">
    <cfRule type="expression" dxfId="442" priority="595">
      <formula>AND(SUMPRODUCT(IFERROR(1*(($D$963&amp;"x")=(D306&amp;"x")),0))&gt;1,NOT(ISBLANK(D306)))</formula>
    </cfRule>
    <cfRule type="duplicateValues" dxfId="441" priority="146"/>
  </conditionalFormatting>
  <conditionalFormatting sqref="D307">
    <cfRule type="expression" dxfId="440" priority="594">
      <formula>AND(SUMPRODUCT(IFERROR(1*(($D$964&amp;"x")=(D307&amp;"x")),0))&gt;1,NOT(ISBLANK(D307)))</formula>
    </cfRule>
    <cfRule type="duplicateValues" dxfId="439" priority="145"/>
  </conditionalFormatting>
  <conditionalFormatting sqref="D308">
    <cfRule type="duplicateValues" dxfId="438" priority="144"/>
    <cfRule type="expression" dxfId="437" priority="593">
      <formula>AND(SUMPRODUCT(IFERROR(1*(($D$965&amp;"x")=(D308&amp;"x")),0))&gt;1,NOT(ISBLANK(D308)))</formula>
    </cfRule>
  </conditionalFormatting>
  <conditionalFormatting sqref="D309">
    <cfRule type="duplicateValues" dxfId="436" priority="143"/>
    <cfRule type="expression" dxfId="435" priority="592">
      <formula>AND(SUMPRODUCT(IFERROR(1*(($D$966&amp;"x")=(D309&amp;"x")),0))&gt;1,NOT(ISBLANK(D309)))</formula>
    </cfRule>
  </conditionalFormatting>
  <conditionalFormatting sqref="D310">
    <cfRule type="expression" dxfId="434" priority="591">
      <formula>AND(SUMPRODUCT(IFERROR(1*(($D$967&amp;"x")=(D310&amp;"x")),0))&gt;1,NOT(ISBLANK(D310)))</formula>
    </cfRule>
    <cfRule type="duplicateValues" dxfId="433" priority="142"/>
  </conditionalFormatting>
  <conditionalFormatting sqref="D311">
    <cfRule type="duplicateValues" dxfId="432" priority="141"/>
    <cfRule type="expression" dxfId="431" priority="590">
      <formula>AND(SUMPRODUCT(IFERROR(1*(($D$968&amp;"x")=(D311&amp;"x")),0))&gt;1,NOT(ISBLANK(D311)))</formula>
    </cfRule>
  </conditionalFormatting>
  <conditionalFormatting sqref="D312">
    <cfRule type="duplicateValues" dxfId="430" priority="140"/>
    <cfRule type="expression" dxfId="429" priority="589">
      <formula>AND(SUMPRODUCT(IFERROR(1*(($D$969&amp;"x")=(D312&amp;"x")),0))&gt;1,NOT(ISBLANK(D312)))</formula>
    </cfRule>
  </conditionalFormatting>
  <conditionalFormatting sqref="D313">
    <cfRule type="duplicateValues" dxfId="428" priority="139"/>
    <cfRule type="expression" dxfId="427" priority="588">
      <formula>AND(SUMPRODUCT(IFERROR(1*(($D$970&amp;"x")=(D313&amp;"x")),0))&gt;1,NOT(ISBLANK(D313)))</formula>
    </cfRule>
  </conditionalFormatting>
  <conditionalFormatting sqref="D314">
    <cfRule type="duplicateValues" dxfId="426" priority="138"/>
    <cfRule type="expression" dxfId="425" priority="587">
      <formula>AND(SUMPRODUCT(IFERROR(1*(($D$971&amp;"x")=(D314&amp;"x")),0))&gt;1,NOT(ISBLANK(D314)))</formula>
    </cfRule>
  </conditionalFormatting>
  <conditionalFormatting sqref="D315">
    <cfRule type="duplicateValues" dxfId="424" priority="137"/>
    <cfRule type="expression" dxfId="423" priority="586">
      <formula>AND(SUMPRODUCT(IFERROR(1*(($D$972&amp;"x")=(D315&amp;"x")),0))&gt;1,NOT(ISBLANK(D315)))</formula>
    </cfRule>
  </conditionalFormatting>
  <conditionalFormatting sqref="D316">
    <cfRule type="expression" dxfId="422" priority="585">
      <formula>AND(SUMPRODUCT(IFERROR(1*(($D$973&amp;"x")=(D316&amp;"x")),0))&gt;1,NOT(ISBLANK(D316)))</formula>
    </cfRule>
    <cfRule type="duplicateValues" dxfId="421" priority="136"/>
  </conditionalFormatting>
  <conditionalFormatting sqref="D317">
    <cfRule type="expression" dxfId="420" priority="584">
      <formula>AND(SUMPRODUCT(IFERROR(1*(($D$974&amp;"x")=(D317&amp;"x")),0))&gt;1,NOT(ISBLANK(D317)))</formula>
    </cfRule>
    <cfRule type="duplicateValues" dxfId="419" priority="135"/>
  </conditionalFormatting>
  <conditionalFormatting sqref="D318">
    <cfRule type="expression" dxfId="418" priority="583">
      <formula>AND(SUMPRODUCT(IFERROR(1*(($D$975&amp;"x")=(D318&amp;"x")),0))&gt;1,NOT(ISBLANK(D318)))</formula>
    </cfRule>
    <cfRule type="duplicateValues" dxfId="417" priority="134"/>
  </conditionalFormatting>
  <conditionalFormatting sqref="D319">
    <cfRule type="expression" dxfId="416" priority="582">
      <formula>AND(SUMPRODUCT(IFERROR(1*(($D$976&amp;"x")=(D319&amp;"x")),0))&gt;1,NOT(ISBLANK(D319)))</formula>
    </cfRule>
    <cfRule type="duplicateValues" dxfId="415" priority="133"/>
  </conditionalFormatting>
  <conditionalFormatting sqref="D320">
    <cfRule type="expression" dxfId="414" priority="581">
      <formula>AND(SUMPRODUCT(IFERROR(1*(($D$977&amp;"x")=(D320&amp;"x")),0))&gt;1,NOT(ISBLANK(D320)))</formula>
    </cfRule>
    <cfRule type="duplicateValues" dxfId="413" priority="132"/>
  </conditionalFormatting>
  <conditionalFormatting sqref="D321">
    <cfRule type="expression" dxfId="412" priority="580">
      <formula>AND(SUMPRODUCT(IFERROR(1*(($D$978&amp;"x")=(D321&amp;"x")),0))&gt;1,NOT(ISBLANK(D321)))</formula>
    </cfRule>
    <cfRule type="duplicateValues" dxfId="411" priority="131"/>
  </conditionalFormatting>
  <conditionalFormatting sqref="D322">
    <cfRule type="expression" dxfId="410" priority="579">
      <formula>AND(SUMPRODUCT(IFERROR(1*(($D$979&amp;"x")=(D322&amp;"x")),0))&gt;1,NOT(ISBLANK(D322)))</formula>
    </cfRule>
    <cfRule type="duplicateValues" dxfId="409" priority="130"/>
  </conditionalFormatting>
  <conditionalFormatting sqref="D323">
    <cfRule type="duplicateValues" dxfId="408" priority="129"/>
    <cfRule type="expression" dxfId="407" priority="578">
      <formula>AND(SUMPRODUCT(IFERROR(1*(($D$980&amp;"x")=(D323&amp;"x")),0))&gt;1,NOT(ISBLANK(D323)))</formula>
    </cfRule>
  </conditionalFormatting>
  <conditionalFormatting sqref="D324">
    <cfRule type="duplicateValues" dxfId="406" priority="128"/>
    <cfRule type="expression" dxfId="405" priority="577">
      <formula>AND(SUMPRODUCT(IFERROR(1*(($D$981&amp;"x")=(D324&amp;"x")),0))&gt;1,NOT(ISBLANK(D324)))</formula>
    </cfRule>
  </conditionalFormatting>
  <conditionalFormatting sqref="D325">
    <cfRule type="duplicateValues" dxfId="404" priority="127"/>
    <cfRule type="expression" dxfId="403" priority="576">
      <formula>AND(SUMPRODUCT(IFERROR(1*(($D$982&amp;"x")=(D325&amp;"x")),0))&gt;1,NOT(ISBLANK(D325)))</formula>
    </cfRule>
  </conditionalFormatting>
  <conditionalFormatting sqref="D326">
    <cfRule type="duplicateValues" dxfId="402" priority="126"/>
    <cfRule type="expression" dxfId="401" priority="575">
      <formula>AND(SUMPRODUCT(IFERROR(1*(($D$983&amp;"x")=(D326&amp;"x")),0))&gt;1,NOT(ISBLANK(D326)))</formula>
    </cfRule>
  </conditionalFormatting>
  <conditionalFormatting sqref="D327">
    <cfRule type="duplicateValues" dxfId="400" priority="125"/>
    <cfRule type="expression" dxfId="399" priority="574">
      <formula>AND(SUMPRODUCT(IFERROR(1*(($D$984&amp;"x")=(D327&amp;"x")),0))&gt;1,NOT(ISBLANK(D327)))</formula>
    </cfRule>
  </conditionalFormatting>
  <conditionalFormatting sqref="D328">
    <cfRule type="expression" dxfId="398" priority="573">
      <formula>AND(SUMPRODUCT(IFERROR(1*(($D$985&amp;"x")=(D328&amp;"x")),0))&gt;1,NOT(ISBLANK(D328)))</formula>
    </cfRule>
    <cfRule type="duplicateValues" dxfId="397" priority="124"/>
  </conditionalFormatting>
  <conditionalFormatting sqref="D329">
    <cfRule type="duplicateValues" dxfId="396" priority="123"/>
    <cfRule type="expression" dxfId="395" priority="572">
      <formula>AND(SUMPRODUCT(IFERROR(1*(($D$986&amp;"x")=(D329&amp;"x")),0))&gt;1,NOT(ISBLANK(D329)))</formula>
    </cfRule>
  </conditionalFormatting>
  <conditionalFormatting sqref="D330">
    <cfRule type="expression" dxfId="394" priority="571">
      <formula>AND(SUMPRODUCT(IFERROR(1*(($D$987&amp;"x")=(D330&amp;"x")),0))&gt;1,NOT(ISBLANK(D330)))</formula>
    </cfRule>
    <cfRule type="duplicateValues" dxfId="393" priority="122"/>
  </conditionalFormatting>
  <conditionalFormatting sqref="D331">
    <cfRule type="duplicateValues" dxfId="392" priority="121"/>
    <cfRule type="expression" dxfId="391" priority="570">
      <formula>AND(SUMPRODUCT(IFERROR(1*(($D$988&amp;"x")=(D331&amp;"x")),0))&gt;1,NOT(ISBLANK(D331)))</formula>
    </cfRule>
  </conditionalFormatting>
  <conditionalFormatting sqref="D332">
    <cfRule type="duplicateValues" dxfId="390" priority="120"/>
    <cfRule type="expression" dxfId="389" priority="569">
      <formula>AND(SUMPRODUCT(IFERROR(1*(($D$989&amp;"x")=(D332&amp;"x")),0))&gt;1,NOT(ISBLANK(D332)))</formula>
    </cfRule>
  </conditionalFormatting>
  <conditionalFormatting sqref="D333">
    <cfRule type="duplicateValues" dxfId="388" priority="119"/>
    <cfRule type="expression" dxfId="387" priority="568">
      <formula>AND(SUMPRODUCT(IFERROR(1*(($D$990&amp;"x")=(D333&amp;"x")),0))&gt;1,NOT(ISBLANK(D333)))</formula>
    </cfRule>
  </conditionalFormatting>
  <conditionalFormatting sqref="D334">
    <cfRule type="duplicateValues" dxfId="386" priority="118"/>
    <cfRule type="expression" dxfId="385" priority="567">
      <formula>AND(SUMPRODUCT(IFERROR(1*(($D$991&amp;"x")=(D334&amp;"x")),0))&gt;1,NOT(ISBLANK(D334)))</formula>
    </cfRule>
  </conditionalFormatting>
  <conditionalFormatting sqref="D335">
    <cfRule type="duplicateValues" dxfId="384" priority="117"/>
    <cfRule type="expression" dxfId="383" priority="566">
      <formula>AND(SUMPRODUCT(IFERROR(1*(($D$992&amp;"x")=(D335&amp;"x")),0))&gt;1,NOT(ISBLANK(D335)))</formula>
    </cfRule>
  </conditionalFormatting>
  <conditionalFormatting sqref="D336">
    <cfRule type="duplicateValues" dxfId="382" priority="116"/>
    <cfRule type="expression" dxfId="381" priority="565">
      <formula>AND(SUMPRODUCT(IFERROR(1*(($D$993&amp;"x")=(D336&amp;"x")),0))&gt;1,NOT(ISBLANK(D336)))</formula>
    </cfRule>
  </conditionalFormatting>
  <conditionalFormatting sqref="D337">
    <cfRule type="duplicateValues" dxfId="380" priority="115"/>
    <cfRule type="expression" dxfId="379" priority="564">
      <formula>AND(SUMPRODUCT(IFERROR(1*(($D$994&amp;"x")=(D337&amp;"x")),0))&gt;1,NOT(ISBLANK(D337)))</formula>
    </cfRule>
  </conditionalFormatting>
  <conditionalFormatting sqref="D338">
    <cfRule type="duplicateValues" dxfId="378" priority="114"/>
    <cfRule type="expression" dxfId="377" priority="563">
      <formula>AND(SUMPRODUCT(IFERROR(1*(($D$995&amp;"x")=(D338&amp;"x")),0))&gt;1,NOT(ISBLANK(D338)))</formula>
    </cfRule>
  </conditionalFormatting>
  <conditionalFormatting sqref="D339">
    <cfRule type="duplicateValues" dxfId="376" priority="113"/>
    <cfRule type="expression" dxfId="375" priority="562">
      <formula>AND(SUMPRODUCT(IFERROR(1*(($D$996&amp;"x")=(D339&amp;"x")),0))&gt;1,NOT(ISBLANK(D339)))</formula>
    </cfRule>
  </conditionalFormatting>
  <conditionalFormatting sqref="D340">
    <cfRule type="duplicateValues" dxfId="374" priority="112"/>
    <cfRule type="expression" dxfId="373" priority="561">
      <formula>AND(SUMPRODUCT(IFERROR(1*(($D$997&amp;"x")=(D340&amp;"x")),0))&gt;1,NOT(ISBLANK(D340)))</formula>
    </cfRule>
  </conditionalFormatting>
  <conditionalFormatting sqref="D341">
    <cfRule type="duplicateValues" dxfId="372" priority="111"/>
    <cfRule type="expression" dxfId="371" priority="560">
      <formula>AND(SUMPRODUCT(IFERROR(1*(($D$998&amp;"x")=(D341&amp;"x")),0))&gt;1,NOT(ISBLANK(D341)))</formula>
    </cfRule>
  </conditionalFormatting>
  <conditionalFormatting sqref="D342">
    <cfRule type="expression" dxfId="370" priority="559">
      <formula>AND(SUMPRODUCT(IFERROR(1*(($D$999&amp;"x")=(D342&amp;"x")),0))&gt;1,NOT(ISBLANK(D342)))</formula>
    </cfRule>
    <cfRule type="duplicateValues" dxfId="369" priority="110"/>
  </conditionalFormatting>
  <conditionalFormatting sqref="D343">
    <cfRule type="duplicateValues" dxfId="368" priority="109"/>
    <cfRule type="expression" dxfId="367" priority="558">
      <formula>AND(SUMPRODUCT(IFERROR(1*(($D$1000&amp;"x")=(D343&amp;"x")),0))&gt;1,NOT(ISBLANK(D343)))</formula>
    </cfRule>
  </conditionalFormatting>
  <conditionalFormatting sqref="D344">
    <cfRule type="expression" dxfId="366" priority="557">
      <formula>AND(SUMPRODUCT(IFERROR(1*(($D$1001&amp;"x")=(D344&amp;"x")),0))&gt;1,NOT(ISBLANK(D344)))</formula>
    </cfRule>
    <cfRule type="duplicateValues" dxfId="365" priority="108"/>
  </conditionalFormatting>
  <conditionalFormatting sqref="D345">
    <cfRule type="expression" dxfId="364" priority="556">
      <formula>AND(SUMPRODUCT(IFERROR(1*(($D$1002&amp;"x")=(D345&amp;"x")),0))&gt;1,NOT(ISBLANK(D345)))</formula>
    </cfRule>
    <cfRule type="duplicateValues" dxfId="363" priority="107"/>
  </conditionalFormatting>
  <conditionalFormatting sqref="D346">
    <cfRule type="expression" dxfId="362" priority="555">
      <formula>AND(SUMPRODUCT(IFERROR(1*(($D$1003&amp;"x")=(D346&amp;"x")),0))&gt;1,NOT(ISBLANK(D346)))</formula>
    </cfRule>
    <cfRule type="duplicateValues" dxfId="361" priority="106"/>
  </conditionalFormatting>
  <conditionalFormatting sqref="D347">
    <cfRule type="expression" dxfId="360" priority="554">
      <formula>AND(SUMPRODUCT(IFERROR(1*(($D$1004&amp;"x")=(D347&amp;"x")),0))&gt;1,NOT(ISBLANK(D347)))</formula>
    </cfRule>
    <cfRule type="duplicateValues" dxfId="359" priority="105"/>
  </conditionalFormatting>
  <conditionalFormatting sqref="D348">
    <cfRule type="duplicateValues" dxfId="358" priority="104"/>
    <cfRule type="expression" dxfId="357" priority="553">
      <formula>AND(SUMPRODUCT(IFERROR(1*(($D$1005&amp;"x")=(D348&amp;"x")),0))&gt;1,NOT(ISBLANK(D348)))</formula>
    </cfRule>
  </conditionalFormatting>
  <conditionalFormatting sqref="D349">
    <cfRule type="duplicateValues" dxfId="356" priority="103"/>
    <cfRule type="expression" dxfId="355" priority="552">
      <formula>AND(SUMPRODUCT(IFERROR(1*(($D$1006&amp;"x")=(D349&amp;"x")),0))&gt;1,NOT(ISBLANK(D349)))</formula>
    </cfRule>
  </conditionalFormatting>
  <conditionalFormatting sqref="D350">
    <cfRule type="duplicateValues" dxfId="354" priority="102"/>
    <cfRule type="expression" dxfId="353" priority="551">
      <formula>AND(SUMPRODUCT(IFERROR(1*(($D$1007&amp;"x")=(D350&amp;"x")),0))&gt;1,NOT(ISBLANK(D350)))</formula>
    </cfRule>
  </conditionalFormatting>
  <conditionalFormatting sqref="D351">
    <cfRule type="duplicateValues" dxfId="352" priority="101"/>
    <cfRule type="expression" dxfId="351" priority="550">
      <formula>AND(SUMPRODUCT(IFERROR(1*(($D$1008&amp;"x")=(D351&amp;"x")),0))&gt;1,NOT(ISBLANK(D351)))</formula>
    </cfRule>
  </conditionalFormatting>
  <conditionalFormatting sqref="D352">
    <cfRule type="duplicateValues" dxfId="350" priority="100"/>
    <cfRule type="expression" dxfId="349" priority="549">
      <formula>AND(SUMPRODUCT(IFERROR(1*(($D$1009&amp;"x")=(D352&amp;"x")),0))&gt;1,NOT(ISBLANK(D352)))</formula>
    </cfRule>
  </conditionalFormatting>
  <conditionalFormatting sqref="D353">
    <cfRule type="duplicateValues" dxfId="348" priority="99"/>
    <cfRule type="expression" dxfId="347" priority="548">
      <formula>AND(SUMPRODUCT(IFERROR(1*(($D$1010&amp;"x")=(D353&amp;"x")),0))&gt;1,NOT(ISBLANK(D353)))</formula>
    </cfRule>
  </conditionalFormatting>
  <conditionalFormatting sqref="D354">
    <cfRule type="duplicateValues" dxfId="346" priority="98"/>
    <cfRule type="expression" dxfId="345" priority="547">
      <formula>AND(SUMPRODUCT(IFERROR(1*(($D$1011&amp;"x")=(D354&amp;"x")),0))&gt;1,NOT(ISBLANK(D354)))</formula>
    </cfRule>
  </conditionalFormatting>
  <conditionalFormatting sqref="D355">
    <cfRule type="duplicateValues" dxfId="344" priority="97"/>
    <cfRule type="expression" dxfId="343" priority="546">
      <formula>AND(SUMPRODUCT(IFERROR(1*(($D$1012&amp;"x")=(D355&amp;"x")),0))&gt;1,NOT(ISBLANK(D355)))</formula>
    </cfRule>
  </conditionalFormatting>
  <conditionalFormatting sqref="D356">
    <cfRule type="duplicateValues" dxfId="342" priority="96"/>
    <cfRule type="expression" dxfId="341" priority="545">
      <formula>AND(SUMPRODUCT(IFERROR(1*(($D$1013&amp;"x")=(D356&amp;"x")),0))&gt;1,NOT(ISBLANK(D356)))</formula>
    </cfRule>
  </conditionalFormatting>
  <conditionalFormatting sqref="D357">
    <cfRule type="duplicateValues" dxfId="340" priority="95"/>
    <cfRule type="expression" dxfId="339" priority="544">
      <formula>AND(SUMPRODUCT(IFERROR(1*(($D$1014&amp;"x")=(D357&amp;"x")),0))&gt;1,NOT(ISBLANK(D357)))</formula>
    </cfRule>
  </conditionalFormatting>
  <conditionalFormatting sqref="D358">
    <cfRule type="duplicateValues" dxfId="338" priority="94"/>
    <cfRule type="expression" dxfId="337" priority="543">
      <formula>AND(SUMPRODUCT(IFERROR(1*(($D$1015&amp;"x")=(D358&amp;"x")),0))&gt;1,NOT(ISBLANK(D358)))</formula>
    </cfRule>
  </conditionalFormatting>
  <conditionalFormatting sqref="D359">
    <cfRule type="duplicateValues" dxfId="336" priority="93"/>
    <cfRule type="expression" dxfId="335" priority="542">
      <formula>AND(SUMPRODUCT(IFERROR(1*(($D$1016&amp;"x")=(D359&amp;"x")),0))&gt;1,NOT(ISBLANK(D359)))</formula>
    </cfRule>
  </conditionalFormatting>
  <conditionalFormatting sqref="D360">
    <cfRule type="duplicateValues" dxfId="334" priority="92"/>
    <cfRule type="expression" dxfId="333" priority="541">
      <formula>AND(SUMPRODUCT(IFERROR(1*(($D$1017&amp;"x")=(D360&amp;"x")),0))&gt;1,NOT(ISBLANK(D360)))</formula>
    </cfRule>
  </conditionalFormatting>
  <conditionalFormatting sqref="D361">
    <cfRule type="duplicateValues" dxfId="332" priority="91"/>
    <cfRule type="expression" dxfId="331" priority="540">
      <formula>AND(SUMPRODUCT(IFERROR(1*(($D$1018&amp;"x")=(D361&amp;"x")),0))&gt;1,NOT(ISBLANK(D361)))</formula>
    </cfRule>
  </conditionalFormatting>
  <conditionalFormatting sqref="D362">
    <cfRule type="duplicateValues" dxfId="330" priority="90"/>
    <cfRule type="expression" dxfId="329" priority="539">
      <formula>AND(SUMPRODUCT(IFERROR(1*(($D$1019&amp;"x")=(D362&amp;"x")),0))&gt;1,NOT(ISBLANK(D362)))</formula>
    </cfRule>
  </conditionalFormatting>
  <conditionalFormatting sqref="D363">
    <cfRule type="duplicateValues" dxfId="328" priority="89"/>
    <cfRule type="expression" dxfId="327" priority="538">
      <formula>AND(SUMPRODUCT(IFERROR(1*(($D$1020&amp;"x")=(D363&amp;"x")),0))&gt;1,NOT(ISBLANK(D363)))</formula>
    </cfRule>
  </conditionalFormatting>
  <conditionalFormatting sqref="D364">
    <cfRule type="expression" dxfId="326" priority="537">
      <formula>AND(SUMPRODUCT(IFERROR(1*(($D$1021&amp;"x")=(D364&amp;"x")),0))&gt;1,NOT(ISBLANK(D364)))</formula>
    </cfRule>
    <cfRule type="duplicateValues" dxfId="325" priority="88"/>
  </conditionalFormatting>
  <conditionalFormatting sqref="D365">
    <cfRule type="duplicateValues" dxfId="324" priority="87"/>
    <cfRule type="expression" dxfId="323" priority="536">
      <formula>AND(SUMPRODUCT(IFERROR(1*(($D$1022&amp;"x")=(D365&amp;"x")),0))&gt;1,NOT(ISBLANK(D365)))</formula>
    </cfRule>
  </conditionalFormatting>
  <conditionalFormatting sqref="D366">
    <cfRule type="expression" dxfId="322" priority="535">
      <formula>AND(SUMPRODUCT(IFERROR(1*(($D$1023&amp;"x")=(D366&amp;"x")),0))&gt;1,NOT(ISBLANK(D366)))</formula>
    </cfRule>
    <cfRule type="duplicateValues" dxfId="321" priority="86"/>
  </conditionalFormatting>
  <conditionalFormatting sqref="D367">
    <cfRule type="expression" dxfId="320" priority="534">
      <formula>AND(SUMPRODUCT(IFERROR(1*(($D$1024&amp;"x")=(D367&amp;"x")),0))&gt;1,NOT(ISBLANK(D367)))</formula>
    </cfRule>
    <cfRule type="duplicateValues" dxfId="319" priority="85"/>
  </conditionalFormatting>
  <conditionalFormatting sqref="D368">
    <cfRule type="duplicateValues" dxfId="318" priority="84"/>
    <cfRule type="expression" dxfId="317" priority="533">
      <formula>AND(SUMPRODUCT(IFERROR(1*(($D$1025&amp;"x")=(D368&amp;"x")),0))&gt;1,NOT(ISBLANK(D368)))</formula>
    </cfRule>
  </conditionalFormatting>
  <conditionalFormatting sqref="D369">
    <cfRule type="duplicateValues" dxfId="316" priority="83"/>
    <cfRule type="expression" dxfId="315" priority="532">
      <formula>AND(SUMPRODUCT(IFERROR(1*(($D$1026&amp;"x")=(D369&amp;"x")),0))&gt;1,NOT(ISBLANK(D369)))</formula>
    </cfRule>
  </conditionalFormatting>
  <conditionalFormatting sqref="D370">
    <cfRule type="duplicateValues" dxfId="314" priority="82"/>
    <cfRule type="expression" dxfId="313" priority="531">
      <formula>AND(SUMPRODUCT(IFERROR(1*(($D$1027&amp;"x")=(D370&amp;"x")),0))&gt;1,NOT(ISBLANK(D370)))</formula>
    </cfRule>
  </conditionalFormatting>
  <conditionalFormatting sqref="D371">
    <cfRule type="duplicateValues" dxfId="312" priority="81"/>
    <cfRule type="expression" dxfId="311" priority="530">
      <formula>AND(SUMPRODUCT(IFERROR(1*(($D$1028&amp;"x")=(D371&amp;"x")),0))&gt;1,NOT(ISBLANK(D371)))</formula>
    </cfRule>
  </conditionalFormatting>
  <conditionalFormatting sqref="D372">
    <cfRule type="duplicateValues" dxfId="310" priority="80"/>
    <cfRule type="expression" dxfId="309" priority="529">
      <formula>AND(SUMPRODUCT(IFERROR(1*(($D$1029&amp;"x")=(D372&amp;"x")),0))&gt;1,NOT(ISBLANK(D372)))</formula>
    </cfRule>
  </conditionalFormatting>
  <conditionalFormatting sqref="D373">
    <cfRule type="duplicateValues" dxfId="308" priority="79"/>
    <cfRule type="expression" dxfId="307" priority="528">
      <formula>AND(SUMPRODUCT(IFERROR(1*(($D$1030&amp;"x")=(D373&amp;"x")),0))&gt;1,NOT(ISBLANK(D373)))</formula>
    </cfRule>
  </conditionalFormatting>
  <conditionalFormatting sqref="D374">
    <cfRule type="duplicateValues" dxfId="306" priority="78"/>
    <cfRule type="expression" dxfId="305" priority="527">
      <formula>AND(SUMPRODUCT(IFERROR(1*(($D$1031&amp;"x")=(D374&amp;"x")),0))&gt;1,NOT(ISBLANK(D374)))</formula>
    </cfRule>
  </conditionalFormatting>
  <conditionalFormatting sqref="D375">
    <cfRule type="duplicateValues" dxfId="304" priority="77"/>
    <cfRule type="expression" dxfId="303" priority="526">
      <formula>AND(SUMPRODUCT(IFERROR(1*(($D$1032&amp;"x")=(D375&amp;"x")),0))&gt;1,NOT(ISBLANK(D375)))</formula>
    </cfRule>
  </conditionalFormatting>
  <conditionalFormatting sqref="D376">
    <cfRule type="duplicateValues" dxfId="302" priority="76"/>
    <cfRule type="expression" dxfId="301" priority="525">
      <formula>AND(SUMPRODUCT(IFERROR(1*(($D$1033&amp;"x")=(D376&amp;"x")),0))&gt;1,NOT(ISBLANK(D376)))</formula>
    </cfRule>
  </conditionalFormatting>
  <conditionalFormatting sqref="D377">
    <cfRule type="expression" dxfId="300" priority="524">
      <formula>AND(SUMPRODUCT(IFERROR(1*(($D$1034&amp;"x")=(D377&amp;"x")),0))&gt;1,NOT(ISBLANK(D377)))</formula>
    </cfRule>
    <cfRule type="duplicateValues" dxfId="299" priority="75"/>
  </conditionalFormatting>
  <conditionalFormatting sqref="D378">
    <cfRule type="expression" dxfId="298" priority="523">
      <formula>AND(SUMPRODUCT(IFERROR(1*(($D$1035&amp;"x")=(D378&amp;"x")),0))&gt;1,NOT(ISBLANK(D378)))</formula>
    </cfRule>
    <cfRule type="duplicateValues" dxfId="297" priority="74"/>
  </conditionalFormatting>
  <conditionalFormatting sqref="D379">
    <cfRule type="expression" dxfId="296" priority="522">
      <formula>AND(SUMPRODUCT(IFERROR(1*(($D$1036&amp;"x")=(D379&amp;"x")),0))&gt;1,NOT(ISBLANK(D379)))</formula>
    </cfRule>
    <cfRule type="duplicateValues" dxfId="295" priority="73"/>
  </conditionalFormatting>
  <conditionalFormatting sqref="D380">
    <cfRule type="expression" dxfId="294" priority="521">
      <formula>AND(SUMPRODUCT(IFERROR(1*(($D$1037&amp;"x")=(D380&amp;"x")),0))&gt;1,NOT(ISBLANK(D380)))</formula>
    </cfRule>
    <cfRule type="duplicateValues" dxfId="293" priority="72"/>
  </conditionalFormatting>
  <conditionalFormatting sqref="D381">
    <cfRule type="expression" dxfId="292" priority="520">
      <formula>AND(SUMPRODUCT(IFERROR(1*(($D$1038&amp;"x")=(D381&amp;"x")),0))&gt;1,NOT(ISBLANK(D381)))</formula>
    </cfRule>
    <cfRule type="duplicateValues" dxfId="291" priority="71"/>
  </conditionalFormatting>
  <conditionalFormatting sqref="D382">
    <cfRule type="expression" dxfId="290" priority="519">
      <formula>AND(SUMPRODUCT(IFERROR(1*(($D$1039&amp;"x")=(D382&amp;"x")),0))&gt;1,NOT(ISBLANK(D382)))</formula>
    </cfRule>
    <cfRule type="duplicateValues" dxfId="289" priority="70"/>
  </conditionalFormatting>
  <conditionalFormatting sqref="D383">
    <cfRule type="expression" dxfId="288" priority="518">
      <formula>AND(SUMPRODUCT(IFERROR(1*(($D$1040&amp;"x")=(D383&amp;"x")),0))&gt;1,NOT(ISBLANK(D383)))</formula>
    </cfRule>
    <cfRule type="duplicateValues" dxfId="287" priority="69"/>
  </conditionalFormatting>
  <conditionalFormatting sqref="D384">
    <cfRule type="expression" dxfId="286" priority="517">
      <formula>AND(SUMPRODUCT(IFERROR(1*(($D$1041&amp;"x")=(D384&amp;"x")),0))&gt;1,NOT(ISBLANK(D384)))</formula>
    </cfRule>
    <cfRule type="duplicateValues" dxfId="285" priority="68"/>
  </conditionalFormatting>
  <conditionalFormatting sqref="D385">
    <cfRule type="expression" dxfId="284" priority="516">
      <formula>AND(SUMPRODUCT(IFERROR(1*(($D$1042&amp;"x")=(D385&amp;"x")),0))&gt;1,NOT(ISBLANK(D385)))</formula>
    </cfRule>
    <cfRule type="duplicateValues" dxfId="283" priority="67"/>
  </conditionalFormatting>
  <conditionalFormatting sqref="D386">
    <cfRule type="expression" dxfId="282" priority="515">
      <formula>AND(SUMPRODUCT(IFERROR(1*(($D$1043&amp;"x")=(D386&amp;"x")),0))&gt;1,NOT(ISBLANK(D386)))</formula>
    </cfRule>
    <cfRule type="duplicateValues" dxfId="281" priority="66"/>
  </conditionalFormatting>
  <conditionalFormatting sqref="D387">
    <cfRule type="expression" dxfId="280" priority="514">
      <formula>AND(SUMPRODUCT(IFERROR(1*(($D$1044&amp;"x")=(D387&amp;"x")),0))&gt;1,NOT(ISBLANK(D387)))</formula>
    </cfRule>
    <cfRule type="duplicateValues" dxfId="279" priority="65"/>
  </conditionalFormatting>
  <conditionalFormatting sqref="D388">
    <cfRule type="expression" dxfId="278" priority="513">
      <formula>AND(SUMPRODUCT(IFERROR(1*(($D$1045&amp;"x")=(D388&amp;"x")),0))&gt;1,NOT(ISBLANK(D388)))</formula>
    </cfRule>
    <cfRule type="duplicateValues" dxfId="277" priority="64"/>
  </conditionalFormatting>
  <conditionalFormatting sqref="D389">
    <cfRule type="expression" dxfId="276" priority="512">
      <formula>AND(SUMPRODUCT(IFERROR(1*(($D$1046&amp;"x")=(D389&amp;"x")),0))&gt;1,NOT(ISBLANK(D389)))</formula>
    </cfRule>
    <cfRule type="duplicateValues" dxfId="275" priority="63"/>
  </conditionalFormatting>
  <conditionalFormatting sqref="D390">
    <cfRule type="expression" dxfId="274" priority="511">
      <formula>AND(SUMPRODUCT(IFERROR(1*(($D$1047&amp;"x")=(D390&amp;"x")),0))&gt;1,NOT(ISBLANK(D390)))</formula>
    </cfRule>
    <cfRule type="duplicateValues" dxfId="273" priority="62"/>
  </conditionalFormatting>
  <conditionalFormatting sqref="D391">
    <cfRule type="expression" dxfId="272" priority="510">
      <formula>AND(SUMPRODUCT(IFERROR(1*(($D$1048&amp;"x")=(D391&amp;"x")),0))&gt;1,NOT(ISBLANK(D391)))</formula>
    </cfRule>
    <cfRule type="duplicateValues" dxfId="271" priority="61"/>
  </conditionalFormatting>
  <conditionalFormatting sqref="D392">
    <cfRule type="expression" dxfId="270" priority="509">
      <formula>AND(SUMPRODUCT(IFERROR(1*(($D$1049&amp;"x")=(D392&amp;"x")),0))&gt;1,NOT(ISBLANK(D392)))</formula>
    </cfRule>
    <cfRule type="duplicateValues" dxfId="269" priority="60"/>
  </conditionalFormatting>
  <conditionalFormatting sqref="D393">
    <cfRule type="expression" dxfId="268" priority="508">
      <formula>AND(SUMPRODUCT(IFERROR(1*(($D$1050&amp;"x")=(D393&amp;"x")),0))&gt;1,NOT(ISBLANK(D393)))</formula>
    </cfRule>
    <cfRule type="duplicateValues" dxfId="267" priority="59"/>
  </conditionalFormatting>
  <conditionalFormatting sqref="D394">
    <cfRule type="expression" dxfId="266" priority="507">
      <formula>AND(SUMPRODUCT(IFERROR(1*(($D$1051&amp;"x")=(D394&amp;"x")),0))&gt;1,NOT(ISBLANK(D394)))</formula>
    </cfRule>
    <cfRule type="duplicateValues" dxfId="265" priority="58"/>
  </conditionalFormatting>
  <conditionalFormatting sqref="D395">
    <cfRule type="expression" dxfId="264" priority="506">
      <formula>AND(SUMPRODUCT(IFERROR(1*(($D$1052&amp;"x")=(D395&amp;"x")),0))&gt;1,NOT(ISBLANK(D395)))</formula>
    </cfRule>
    <cfRule type="duplicateValues" dxfId="263" priority="57"/>
  </conditionalFormatting>
  <conditionalFormatting sqref="D396">
    <cfRule type="expression" dxfId="262" priority="505">
      <formula>AND(SUMPRODUCT(IFERROR(1*(($D$1053&amp;"x")=(D396&amp;"x")),0))&gt;1,NOT(ISBLANK(D396)))</formula>
    </cfRule>
    <cfRule type="duplicateValues" dxfId="261" priority="56"/>
  </conditionalFormatting>
  <conditionalFormatting sqref="D397">
    <cfRule type="expression" dxfId="260" priority="504">
      <formula>AND(SUMPRODUCT(IFERROR(1*(($D$1054&amp;"x")=(D397&amp;"x")),0))&gt;1,NOT(ISBLANK(D397)))</formula>
    </cfRule>
    <cfRule type="duplicateValues" dxfId="259" priority="55"/>
  </conditionalFormatting>
  <conditionalFormatting sqref="D398">
    <cfRule type="expression" dxfId="258" priority="503">
      <formula>AND(SUMPRODUCT(IFERROR(1*(($D$1055&amp;"x")=(D398&amp;"x")),0))&gt;1,NOT(ISBLANK(D398)))</formula>
    </cfRule>
    <cfRule type="duplicateValues" dxfId="257" priority="54"/>
  </conditionalFormatting>
  <conditionalFormatting sqref="D399">
    <cfRule type="expression" dxfId="256" priority="502">
      <formula>AND(SUMPRODUCT(IFERROR(1*(($D$1056&amp;"x")=(D399&amp;"x")),0))&gt;1,NOT(ISBLANK(D399)))</formula>
    </cfRule>
    <cfRule type="duplicateValues" dxfId="255" priority="53"/>
  </conditionalFormatting>
  <conditionalFormatting sqref="D400">
    <cfRule type="expression" dxfId="254" priority="501">
      <formula>AND(SUMPRODUCT(IFERROR(1*(($D$1057&amp;"x")=(D400&amp;"x")),0))&gt;1,NOT(ISBLANK(D400)))</formula>
    </cfRule>
    <cfRule type="duplicateValues" dxfId="253" priority="52"/>
  </conditionalFormatting>
  <conditionalFormatting sqref="D401">
    <cfRule type="expression" dxfId="252" priority="500">
      <formula>AND(SUMPRODUCT(IFERROR(1*(($D$1058&amp;"x")=(D401&amp;"x")),0))&gt;1,NOT(ISBLANK(D401)))</formula>
    </cfRule>
    <cfRule type="duplicateValues" dxfId="251" priority="51"/>
  </conditionalFormatting>
  <conditionalFormatting sqref="D402">
    <cfRule type="expression" dxfId="250" priority="499">
      <formula>AND(SUMPRODUCT(IFERROR(1*(($D$1059&amp;"x")=(D402&amp;"x")),0))&gt;1,NOT(ISBLANK(D402)))</formula>
    </cfRule>
    <cfRule type="duplicateValues" dxfId="249" priority="50"/>
  </conditionalFormatting>
  <conditionalFormatting sqref="D403">
    <cfRule type="expression" dxfId="248" priority="498">
      <formula>AND(SUMPRODUCT(IFERROR(1*(($D$1060&amp;"x")=(D403&amp;"x")),0))&gt;1,NOT(ISBLANK(D403)))</formula>
    </cfRule>
    <cfRule type="duplicateValues" dxfId="247" priority="49"/>
  </conditionalFormatting>
  <conditionalFormatting sqref="D404">
    <cfRule type="expression" dxfId="246" priority="497">
      <formula>AND(SUMPRODUCT(IFERROR(1*(($D$1061&amp;"x")=(D404&amp;"x")),0))&gt;1,NOT(ISBLANK(D404)))</formula>
    </cfRule>
    <cfRule type="duplicateValues" dxfId="245" priority="48"/>
  </conditionalFormatting>
  <conditionalFormatting sqref="D405">
    <cfRule type="expression" dxfId="244" priority="496">
      <formula>AND(SUMPRODUCT(IFERROR(1*(($D$1062&amp;"x")=(D405&amp;"x")),0))&gt;1,NOT(ISBLANK(D405)))</formula>
    </cfRule>
    <cfRule type="duplicateValues" dxfId="243" priority="47"/>
  </conditionalFormatting>
  <conditionalFormatting sqref="D406">
    <cfRule type="expression" dxfId="242" priority="495">
      <formula>AND(SUMPRODUCT(IFERROR(1*(($D$1063&amp;"x")=(D406&amp;"x")),0))&gt;1,NOT(ISBLANK(D406)))</formula>
    </cfRule>
    <cfRule type="duplicateValues" dxfId="241" priority="46"/>
  </conditionalFormatting>
  <conditionalFormatting sqref="D407">
    <cfRule type="expression" dxfId="240" priority="494">
      <formula>AND(SUMPRODUCT(IFERROR(1*(($D$1064&amp;"x")=(D407&amp;"x")),0))&gt;1,NOT(ISBLANK(D407)))</formula>
    </cfRule>
    <cfRule type="duplicateValues" dxfId="239" priority="45"/>
  </conditionalFormatting>
  <conditionalFormatting sqref="D408">
    <cfRule type="expression" dxfId="238" priority="493">
      <formula>AND(SUMPRODUCT(IFERROR(1*(($D$1065&amp;"x")=(D408&amp;"x")),0))&gt;1,NOT(ISBLANK(D408)))</formula>
    </cfRule>
    <cfRule type="duplicateValues" dxfId="237" priority="44"/>
  </conditionalFormatting>
  <conditionalFormatting sqref="D409">
    <cfRule type="expression" dxfId="236" priority="492">
      <formula>AND(SUMPRODUCT(IFERROR(1*(($D$1066&amp;"x")=(D409&amp;"x")),0))&gt;1,NOT(ISBLANK(D409)))</formula>
    </cfRule>
    <cfRule type="duplicateValues" dxfId="235" priority="43"/>
  </conditionalFormatting>
  <conditionalFormatting sqref="D410">
    <cfRule type="expression" dxfId="234" priority="491">
      <formula>AND(SUMPRODUCT(IFERROR(1*(($D$1067&amp;"x")=(D410&amp;"x")),0))&gt;1,NOT(ISBLANK(D410)))</formula>
    </cfRule>
    <cfRule type="duplicateValues" dxfId="233" priority="42"/>
  </conditionalFormatting>
  <conditionalFormatting sqref="D411">
    <cfRule type="expression" dxfId="232" priority="490">
      <formula>AND(SUMPRODUCT(IFERROR(1*(($D$1068&amp;"x")=(D411&amp;"x")),0))&gt;1,NOT(ISBLANK(D411)))</formula>
    </cfRule>
    <cfRule type="duplicateValues" dxfId="231" priority="41"/>
  </conditionalFormatting>
  <conditionalFormatting sqref="D412">
    <cfRule type="expression" dxfId="230" priority="489">
      <formula>AND(SUMPRODUCT(IFERROR(1*(($D$1069&amp;"x")=(D412&amp;"x")),0))&gt;1,NOT(ISBLANK(D412)))</formula>
    </cfRule>
    <cfRule type="duplicateValues" dxfId="229" priority="40"/>
  </conditionalFormatting>
  <conditionalFormatting sqref="D413">
    <cfRule type="expression" dxfId="228" priority="488">
      <formula>AND(SUMPRODUCT(IFERROR(1*(($D$1070&amp;"x")=(D413&amp;"x")),0))&gt;1,NOT(ISBLANK(D413)))</formula>
    </cfRule>
    <cfRule type="duplicateValues" dxfId="227" priority="39"/>
  </conditionalFormatting>
  <conditionalFormatting sqref="D414">
    <cfRule type="expression" dxfId="226" priority="487">
      <formula>AND(SUMPRODUCT(IFERROR(1*(($D$1071&amp;"x")=(D414&amp;"x")),0))&gt;1,NOT(ISBLANK(D414)))</formula>
    </cfRule>
    <cfRule type="duplicateValues" dxfId="225" priority="38"/>
  </conditionalFormatting>
  <conditionalFormatting sqref="D415">
    <cfRule type="expression" dxfId="224" priority="486">
      <formula>AND(SUMPRODUCT(IFERROR(1*(($D$1072&amp;"x")=(D415&amp;"x")),0))&gt;1,NOT(ISBLANK(D415)))</formula>
    </cfRule>
    <cfRule type="duplicateValues" dxfId="223" priority="37"/>
  </conditionalFormatting>
  <conditionalFormatting sqref="D416">
    <cfRule type="expression" dxfId="222" priority="485">
      <formula>AND(SUMPRODUCT(IFERROR(1*(($D$1073&amp;"x")=(D416&amp;"x")),0))&gt;1,NOT(ISBLANK(D416)))</formula>
    </cfRule>
    <cfRule type="duplicateValues" dxfId="221" priority="36"/>
  </conditionalFormatting>
  <conditionalFormatting sqref="D417">
    <cfRule type="expression" dxfId="220" priority="484">
      <formula>AND(SUMPRODUCT(IFERROR(1*(($D$1074&amp;"x")=(D417&amp;"x")),0))&gt;1,NOT(ISBLANK(D417)))</formula>
    </cfRule>
    <cfRule type="duplicateValues" dxfId="219" priority="35"/>
  </conditionalFormatting>
  <conditionalFormatting sqref="D418">
    <cfRule type="expression" dxfId="218" priority="483">
      <formula>AND(SUMPRODUCT(IFERROR(1*(($D$1075&amp;"x")=(D418&amp;"x")),0))&gt;1,NOT(ISBLANK(D418)))</formula>
    </cfRule>
    <cfRule type="duplicateValues" dxfId="217" priority="34"/>
  </conditionalFormatting>
  <conditionalFormatting sqref="D419">
    <cfRule type="expression" dxfId="216" priority="482">
      <formula>AND(SUMPRODUCT(IFERROR(1*(($D$1076&amp;"x")=(D419&amp;"x")),0))&gt;1,NOT(ISBLANK(D419)))</formula>
    </cfRule>
    <cfRule type="duplicateValues" dxfId="215" priority="33"/>
  </conditionalFormatting>
  <conditionalFormatting sqref="D420">
    <cfRule type="expression" dxfId="214" priority="481">
      <formula>AND(SUMPRODUCT(IFERROR(1*(($D$1077&amp;"x")=(D420&amp;"x")),0))&gt;1,NOT(ISBLANK(D420)))</formula>
    </cfRule>
    <cfRule type="duplicateValues" dxfId="213" priority="32"/>
  </conditionalFormatting>
  <conditionalFormatting sqref="D421">
    <cfRule type="expression" dxfId="212" priority="480">
      <formula>AND(SUMPRODUCT(IFERROR(1*(($D$1078&amp;"x")=(D421&amp;"x")),0))&gt;1,NOT(ISBLANK(D421)))</formula>
    </cfRule>
    <cfRule type="duplicateValues" dxfId="211" priority="31"/>
  </conditionalFormatting>
  <conditionalFormatting sqref="D422">
    <cfRule type="expression" dxfId="210" priority="479">
      <formula>AND(SUMPRODUCT(IFERROR(1*(($D$1079&amp;"x")=(D422&amp;"x")),0))&gt;1,NOT(ISBLANK(D422)))</formula>
    </cfRule>
    <cfRule type="duplicateValues" dxfId="209" priority="30"/>
  </conditionalFormatting>
  <conditionalFormatting sqref="D423">
    <cfRule type="expression" dxfId="208" priority="478">
      <formula>AND(SUMPRODUCT(IFERROR(1*(($D$1080&amp;"x")=(D423&amp;"x")),0))&gt;1,NOT(ISBLANK(D423)))</formula>
    </cfRule>
    <cfRule type="duplicateValues" dxfId="207" priority="29"/>
  </conditionalFormatting>
  <conditionalFormatting sqref="D424">
    <cfRule type="duplicateValues" dxfId="206" priority="28"/>
    <cfRule type="expression" dxfId="205" priority="477">
      <formula>AND(SUMPRODUCT(IFERROR(1*(($D$1081&amp;"x")=(D424&amp;"x")),0))&gt;1,NOT(ISBLANK(D424)))</formula>
    </cfRule>
  </conditionalFormatting>
  <conditionalFormatting sqref="D425">
    <cfRule type="duplicateValues" dxfId="204" priority="27"/>
    <cfRule type="expression" dxfId="203" priority="476">
      <formula>AND(SUMPRODUCT(IFERROR(1*(($D$1082&amp;"x")=(D425&amp;"x")),0))&gt;1,NOT(ISBLANK(D425)))</formula>
    </cfRule>
  </conditionalFormatting>
  <conditionalFormatting sqref="D426">
    <cfRule type="duplicateValues" dxfId="202" priority="26"/>
    <cfRule type="expression" dxfId="201" priority="475">
      <formula>AND(SUMPRODUCT(IFERROR(1*(($D$1083&amp;"x")=(D426&amp;"x")),0))&gt;1,NOT(ISBLANK(D426)))</formula>
    </cfRule>
  </conditionalFormatting>
  <conditionalFormatting sqref="D427">
    <cfRule type="duplicateValues" dxfId="200" priority="25"/>
    <cfRule type="expression" dxfId="199" priority="474">
      <formula>AND(SUMPRODUCT(IFERROR(1*(($D$1084&amp;"x")=(D427&amp;"x")),0))&gt;1,NOT(ISBLANK(D427)))</formula>
    </cfRule>
  </conditionalFormatting>
  <conditionalFormatting sqref="D428">
    <cfRule type="expression" dxfId="198" priority="473">
      <formula>AND(SUMPRODUCT(IFERROR(1*(($D$1085&amp;"x")=(D428&amp;"x")),0))&gt;1,NOT(ISBLANK(D428)))</formula>
    </cfRule>
    <cfRule type="duplicateValues" dxfId="197" priority="24"/>
  </conditionalFormatting>
  <conditionalFormatting sqref="D429">
    <cfRule type="duplicateValues" dxfId="196" priority="23"/>
    <cfRule type="expression" dxfId="195" priority="472">
      <formula>AND(SUMPRODUCT(IFERROR(1*(($D$1086&amp;"x")=(D429&amp;"x")),0))&gt;1,NOT(ISBLANK(D429)))</formula>
    </cfRule>
  </conditionalFormatting>
  <conditionalFormatting sqref="D430">
    <cfRule type="duplicateValues" dxfId="194" priority="22"/>
    <cfRule type="expression" dxfId="193" priority="471">
      <formula>AND(SUMPRODUCT(IFERROR(1*(($D$1087&amp;"x")=(D430&amp;"x")),0))&gt;1,NOT(ISBLANK(D430)))</formula>
    </cfRule>
  </conditionalFormatting>
  <conditionalFormatting sqref="D431">
    <cfRule type="duplicateValues" dxfId="192" priority="21"/>
    <cfRule type="expression" dxfId="191" priority="470">
      <formula>AND(SUMPRODUCT(IFERROR(1*(($D$1088&amp;"x")=(D431&amp;"x")),0))&gt;1,NOT(ISBLANK(D431)))</formula>
    </cfRule>
  </conditionalFormatting>
  <conditionalFormatting sqref="D432">
    <cfRule type="expression" dxfId="190" priority="469">
      <formula>AND(SUMPRODUCT(IFERROR(1*(($D$1089&amp;"x")=(D432&amp;"x")),0))&gt;1,NOT(ISBLANK(D432)))</formula>
    </cfRule>
    <cfRule type="duplicateValues" dxfId="189" priority="20"/>
  </conditionalFormatting>
  <conditionalFormatting sqref="D433">
    <cfRule type="expression" dxfId="188" priority="468">
      <formula>AND(SUMPRODUCT(IFERROR(1*(($D$1090&amp;"x")=(D433&amp;"x")),0))&gt;1,NOT(ISBLANK(D433)))</formula>
    </cfRule>
    <cfRule type="duplicateValues" dxfId="187" priority="19"/>
  </conditionalFormatting>
  <conditionalFormatting sqref="D434">
    <cfRule type="expression" dxfId="186" priority="467">
      <formula>AND(SUMPRODUCT(IFERROR(1*(($D$1091&amp;"x")=(D434&amp;"x")),0))&gt;1,NOT(ISBLANK(D434)))</formula>
    </cfRule>
    <cfRule type="duplicateValues" dxfId="185" priority="18"/>
  </conditionalFormatting>
  <conditionalFormatting sqref="D435">
    <cfRule type="expression" dxfId="184" priority="466">
      <formula>AND(SUMPRODUCT(IFERROR(1*(($D$1092&amp;"x")=(D435&amp;"x")),0))&gt;1,NOT(ISBLANK(D435)))</formula>
    </cfRule>
    <cfRule type="duplicateValues" dxfId="183" priority="17"/>
  </conditionalFormatting>
  <conditionalFormatting sqref="D436">
    <cfRule type="expression" dxfId="182" priority="465">
      <formula>AND(SUMPRODUCT(IFERROR(1*(($D$1093&amp;"x")=(D436&amp;"x")),0))&gt;1,NOT(ISBLANK(D436)))</formula>
    </cfRule>
    <cfRule type="duplicateValues" dxfId="181" priority="16"/>
  </conditionalFormatting>
  <conditionalFormatting sqref="D437">
    <cfRule type="expression" dxfId="180" priority="464">
      <formula>AND(SUMPRODUCT(IFERROR(1*(($D$1094&amp;"x")=(D437&amp;"x")),0))&gt;1,NOT(ISBLANK(D437)))</formula>
    </cfRule>
    <cfRule type="duplicateValues" dxfId="179" priority="15"/>
  </conditionalFormatting>
  <conditionalFormatting sqref="D438">
    <cfRule type="expression" dxfId="178" priority="463">
      <formula>AND(SUMPRODUCT(IFERROR(1*(($D$1095&amp;"x")=(D438&amp;"x")),0))&gt;1,NOT(ISBLANK(D438)))</formula>
    </cfRule>
    <cfRule type="duplicateValues" dxfId="177" priority="14"/>
  </conditionalFormatting>
  <conditionalFormatting sqref="D439">
    <cfRule type="expression" dxfId="176" priority="462">
      <formula>AND(SUMPRODUCT(IFERROR(1*(($D$1096&amp;"x")=(D439&amp;"x")),0))&gt;1,NOT(ISBLANK(D439)))</formula>
    </cfRule>
    <cfRule type="duplicateValues" dxfId="175" priority="13"/>
  </conditionalFormatting>
  <conditionalFormatting sqref="D440">
    <cfRule type="expression" dxfId="174" priority="461">
      <formula>AND(SUMPRODUCT(IFERROR(1*(($D$1097&amp;"x")=(D440&amp;"x")),0))&gt;1,NOT(ISBLANK(D440)))</formula>
    </cfRule>
    <cfRule type="duplicateValues" dxfId="173" priority="12"/>
  </conditionalFormatting>
  <conditionalFormatting sqref="D441">
    <cfRule type="expression" dxfId="172" priority="460">
      <formula>AND(SUMPRODUCT(IFERROR(1*(($D$1098&amp;"x")=(D441&amp;"x")),0))&gt;1,NOT(ISBLANK(D441)))</formula>
    </cfRule>
    <cfRule type="duplicateValues" dxfId="171" priority="11"/>
  </conditionalFormatting>
  <conditionalFormatting sqref="D442">
    <cfRule type="expression" dxfId="170" priority="459">
      <formula>AND(SUMPRODUCT(IFERROR(1*(($D$1099&amp;"x")=(D442&amp;"x")),0))&gt;1,NOT(ISBLANK(D442)))</formula>
    </cfRule>
    <cfRule type="duplicateValues" dxfId="169" priority="10"/>
  </conditionalFormatting>
  <conditionalFormatting sqref="D443">
    <cfRule type="expression" dxfId="168" priority="458">
      <formula>AND(SUMPRODUCT(IFERROR(1*(($D$1100&amp;"x")=(D443&amp;"x")),0))&gt;1,NOT(ISBLANK(D443)))</formula>
    </cfRule>
    <cfRule type="duplicateValues" dxfId="167" priority="9"/>
  </conditionalFormatting>
  <conditionalFormatting sqref="D444">
    <cfRule type="expression" dxfId="166" priority="457">
      <formula>AND(SUMPRODUCT(IFERROR(1*(($D$1101&amp;"x")=(D444&amp;"x")),0))&gt;1,NOT(ISBLANK(D444)))</formula>
    </cfRule>
    <cfRule type="duplicateValues" dxfId="165" priority="8"/>
  </conditionalFormatting>
  <conditionalFormatting sqref="D445">
    <cfRule type="expression" dxfId="164" priority="456">
      <formula>AND(SUMPRODUCT(IFERROR(1*(($D$1102&amp;"x")=(D445&amp;"x")),0))&gt;1,NOT(ISBLANK(D445)))</formula>
    </cfRule>
    <cfRule type="duplicateValues" dxfId="163" priority="7"/>
  </conditionalFormatting>
  <conditionalFormatting sqref="D446">
    <cfRule type="expression" dxfId="162" priority="455">
      <formula>AND(SUMPRODUCT(IFERROR(1*(($D$1103&amp;"x")=(D446&amp;"x")),0))&gt;1,NOT(ISBLANK(D446)))</formula>
    </cfRule>
    <cfRule type="duplicateValues" dxfId="161" priority="6"/>
  </conditionalFormatting>
  <conditionalFormatting sqref="D447">
    <cfRule type="expression" dxfId="160" priority="454">
      <formula>AND(SUMPRODUCT(IFERROR(1*(($D$1104&amp;"x")=(D447&amp;"x")),0))&gt;1,NOT(ISBLANK(D447)))</formula>
    </cfRule>
    <cfRule type="duplicateValues" dxfId="159" priority="5"/>
  </conditionalFormatting>
  <conditionalFormatting sqref="D448">
    <cfRule type="expression" dxfId="158" priority="453">
      <formula>AND(SUMPRODUCT(IFERROR(1*(($D$1105&amp;"x")=(D448&amp;"x")),0))&gt;1,NOT(ISBLANK(D448)))</formula>
    </cfRule>
    <cfRule type="duplicateValues" dxfId="157" priority="4"/>
  </conditionalFormatting>
  <conditionalFormatting sqref="D449">
    <cfRule type="expression" dxfId="156" priority="452">
      <formula>AND(SUMPRODUCT(IFERROR(1*(($D$1106&amp;"x")=(D449&amp;"x")),0))&gt;1,NOT(ISBLANK(D449)))</formula>
    </cfRule>
    <cfRule type="duplicateValues" dxfId="155" priority="3"/>
  </conditionalFormatting>
  <conditionalFormatting sqref="D450">
    <cfRule type="expression" dxfId="154" priority="451">
      <formula>AND(SUMPRODUCT(IFERROR(1*(($D$1107&amp;"x")=(D450&amp;"x")),0))&gt;1,NOT(ISBLANK(D450)))</formula>
    </cfRule>
    <cfRule type="duplicateValues" dxfId="153" priority="2"/>
  </conditionalFormatting>
  <conditionalFormatting sqref="D451">
    <cfRule type="duplicateValues" dxfId="152" priority="1"/>
    <cfRule type="expression" dxfId="151" priority="450">
      <formula>AND(SUMPRODUCT(IFERROR(1*(($D$1108&amp;"x")=(D451&amp;"x")),0))&gt;1,NOT(ISBLANK(D451)))</formula>
    </cfRule>
  </conditionalFormatting>
  <pageMargins left="0.75" right="0.75" top="1" bottom="1" header="0.51180555555555551" footer="0.51180555555555551"/>
  <pageSetup paperSize="9" orientation="portrait" horizontalDpi="0" verticalDpi="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172"/>
  <sheetViews>
    <sheetView topLeftCell="A137" workbookViewId="0">
      <selection activeCell="H173" sqref="H173:I173"/>
    </sheetView>
  </sheetViews>
  <sheetFormatPr defaultRowHeight="13.5"/>
  <cols>
    <col min="1" max="1" width="5.75" bestFit="1" customWidth="1"/>
    <col min="2" max="2" width="9.75" bestFit="1" customWidth="1"/>
    <col min="3" max="3" width="7" bestFit="1" customWidth="1"/>
    <col min="4" max="4" width="17.125" bestFit="1" customWidth="1"/>
    <col min="5" max="5" width="9.75" bestFit="1" customWidth="1"/>
    <col min="6" max="6" width="11.625" bestFit="1" customWidth="1"/>
    <col min="7" max="8" width="9.75" bestFit="1" customWidth="1"/>
    <col min="9" max="9" width="5.5" bestFit="1" customWidth="1"/>
    <col min="10" max="10" width="9.5" bestFit="1" customWidth="1"/>
    <col min="12" max="12" width="13.75" customWidth="1"/>
    <col min="13" max="13" width="19.375" bestFit="1" customWidth="1"/>
  </cols>
  <sheetData>
    <row r="1" spans="1:12" ht="21">
      <c r="A1" s="3307" t="s">
        <v>5864</v>
      </c>
      <c r="B1" s="3308"/>
      <c r="C1" s="3205" t="s">
        <v>5865</v>
      </c>
      <c r="D1" s="3331" t="s">
        <v>5866</v>
      </c>
      <c r="E1" s="3332"/>
      <c r="F1" s="3307" t="s">
        <v>5867</v>
      </c>
      <c r="G1" s="3308"/>
      <c r="H1" s="3307" t="s">
        <v>5868</v>
      </c>
      <c r="I1" s="3308"/>
      <c r="J1" s="3307" t="s">
        <v>5869</v>
      </c>
      <c r="K1" s="3308"/>
      <c r="L1" s="3206" t="s">
        <v>5870</v>
      </c>
    </row>
    <row r="2" spans="1:12">
      <c r="A2" s="3318">
        <v>1</v>
      </c>
      <c r="B2" s="3319"/>
      <c r="C2" s="3207" t="s">
        <v>5871</v>
      </c>
      <c r="D2" s="3329" t="s">
        <v>5872</v>
      </c>
      <c r="E2" s="3330"/>
      <c r="F2" s="3318">
        <v>101</v>
      </c>
      <c r="G2" s="3319"/>
      <c r="H2" s="3325" t="s">
        <v>5873</v>
      </c>
      <c r="I2" s="3326"/>
      <c r="J2" s="3305">
        <v>192.35</v>
      </c>
      <c r="K2" s="3306"/>
      <c r="L2" s="3209">
        <v>85.42</v>
      </c>
    </row>
    <row r="3" spans="1:12">
      <c r="A3" s="3318">
        <v>2</v>
      </c>
      <c r="B3" s="3319"/>
      <c r="C3" s="3207" t="s">
        <v>5871</v>
      </c>
      <c r="D3" s="3329" t="s">
        <v>5872</v>
      </c>
      <c r="E3" s="3330"/>
      <c r="F3" s="3318">
        <v>102</v>
      </c>
      <c r="G3" s="3319"/>
      <c r="H3" s="3325" t="s">
        <v>5873</v>
      </c>
      <c r="I3" s="3326"/>
      <c r="J3" s="3305">
        <v>161.68</v>
      </c>
      <c r="K3" s="3306"/>
      <c r="L3" s="3209">
        <v>71.8</v>
      </c>
    </row>
    <row r="4" spans="1:12">
      <c r="A4" s="3318">
        <v>3</v>
      </c>
      <c r="B4" s="3319"/>
      <c r="C4" s="3207" t="s">
        <v>5871</v>
      </c>
      <c r="D4" s="3329" t="s">
        <v>5872</v>
      </c>
      <c r="E4" s="3330"/>
      <c r="F4" s="3318">
        <v>202</v>
      </c>
      <c r="G4" s="3319"/>
      <c r="H4" s="3325" t="s">
        <v>5873</v>
      </c>
      <c r="I4" s="3326"/>
      <c r="J4" s="3305">
        <v>184.32</v>
      </c>
      <c r="K4" s="3306"/>
      <c r="L4" s="3209">
        <v>81.849999999999994</v>
      </c>
    </row>
    <row r="5" spans="1:12">
      <c r="A5" s="3318">
        <v>4</v>
      </c>
      <c r="B5" s="3319"/>
      <c r="C5" s="3207" t="s">
        <v>5871</v>
      </c>
      <c r="D5" s="3329" t="s">
        <v>5872</v>
      </c>
      <c r="E5" s="3330"/>
      <c r="F5" s="3318">
        <v>301</v>
      </c>
      <c r="G5" s="3319"/>
      <c r="H5" s="3325" t="s">
        <v>5873</v>
      </c>
      <c r="I5" s="3326"/>
      <c r="J5" s="3305">
        <v>192.37</v>
      </c>
      <c r="K5" s="3306"/>
      <c r="L5" s="3209">
        <v>85.43</v>
      </c>
    </row>
    <row r="6" spans="1:12">
      <c r="A6" s="3318">
        <v>5</v>
      </c>
      <c r="B6" s="3319"/>
      <c r="C6" s="3207" t="s">
        <v>5871</v>
      </c>
      <c r="D6" s="3329" t="s">
        <v>5872</v>
      </c>
      <c r="E6" s="3330"/>
      <c r="F6" s="3318">
        <v>302</v>
      </c>
      <c r="G6" s="3319"/>
      <c r="H6" s="3325" t="s">
        <v>5873</v>
      </c>
      <c r="I6" s="3326"/>
      <c r="J6" s="3305">
        <v>184.32</v>
      </c>
      <c r="K6" s="3306"/>
      <c r="L6" s="3209">
        <v>81.849999999999994</v>
      </c>
    </row>
    <row r="7" spans="1:12">
      <c r="A7" s="3318">
        <v>6</v>
      </c>
      <c r="B7" s="3319"/>
      <c r="C7" s="3207" t="s">
        <v>5871</v>
      </c>
      <c r="D7" s="3329" t="s">
        <v>5874</v>
      </c>
      <c r="E7" s="3330"/>
      <c r="F7" s="3318">
        <v>101</v>
      </c>
      <c r="G7" s="3319"/>
      <c r="H7" s="3325" t="s">
        <v>5873</v>
      </c>
      <c r="I7" s="3326"/>
      <c r="J7" s="3305">
        <v>161.68</v>
      </c>
      <c r="K7" s="3306"/>
      <c r="L7" s="3209">
        <v>71.8</v>
      </c>
    </row>
    <row r="8" spans="1:12">
      <c r="A8" s="3318">
        <v>7</v>
      </c>
      <c r="B8" s="3319"/>
      <c r="C8" s="3207" t="s">
        <v>5871</v>
      </c>
      <c r="D8" s="3329" t="s">
        <v>5874</v>
      </c>
      <c r="E8" s="3330"/>
      <c r="F8" s="3318">
        <v>102</v>
      </c>
      <c r="G8" s="3319"/>
      <c r="H8" s="3325" t="s">
        <v>5873</v>
      </c>
      <c r="I8" s="3326"/>
      <c r="J8" s="3305">
        <v>184.78</v>
      </c>
      <c r="K8" s="3306"/>
      <c r="L8" s="3209">
        <v>82.06</v>
      </c>
    </row>
    <row r="9" spans="1:12">
      <c r="A9" s="3318">
        <v>8</v>
      </c>
      <c r="B9" s="3319"/>
      <c r="C9" s="3207" t="s">
        <v>5871</v>
      </c>
      <c r="D9" s="3329" t="s">
        <v>5874</v>
      </c>
      <c r="E9" s="3330"/>
      <c r="F9" s="3318">
        <v>301</v>
      </c>
      <c r="G9" s="3319"/>
      <c r="H9" s="3325" t="s">
        <v>5873</v>
      </c>
      <c r="I9" s="3326"/>
      <c r="J9" s="3305">
        <v>184.32</v>
      </c>
      <c r="K9" s="3306"/>
      <c r="L9" s="3209">
        <v>81.849999999999994</v>
      </c>
    </row>
    <row r="10" spans="1:12">
      <c r="A10" s="3318">
        <v>9</v>
      </c>
      <c r="B10" s="3319"/>
      <c r="C10" s="3207" t="s">
        <v>5871</v>
      </c>
      <c r="D10" s="3329" t="s">
        <v>5874</v>
      </c>
      <c r="E10" s="3330"/>
      <c r="F10" s="3318">
        <v>302</v>
      </c>
      <c r="G10" s="3319"/>
      <c r="H10" s="3325" t="s">
        <v>5873</v>
      </c>
      <c r="I10" s="3326"/>
      <c r="J10" s="3305">
        <v>184.82</v>
      </c>
      <c r="K10" s="3306"/>
      <c r="L10" s="3209">
        <v>82.07</v>
      </c>
    </row>
    <row r="11" spans="1:12">
      <c r="A11" s="3318">
        <v>10</v>
      </c>
      <c r="B11" s="3319"/>
      <c r="C11" s="3207" t="s">
        <v>5871</v>
      </c>
      <c r="D11" s="3329" t="s">
        <v>5874</v>
      </c>
      <c r="E11" s="3330"/>
      <c r="F11" s="3318">
        <v>401</v>
      </c>
      <c r="G11" s="3319"/>
      <c r="H11" s="3325" t="s">
        <v>5873</v>
      </c>
      <c r="I11" s="3326"/>
      <c r="J11" s="3305">
        <v>184.32</v>
      </c>
      <c r="K11" s="3306"/>
      <c r="L11" s="3209">
        <v>81.849999999999994</v>
      </c>
    </row>
    <row r="12" spans="1:12">
      <c r="A12" s="3318">
        <v>11</v>
      </c>
      <c r="B12" s="3319"/>
      <c r="C12" s="3207" t="s">
        <v>5871</v>
      </c>
      <c r="D12" s="3329" t="s">
        <v>5874</v>
      </c>
      <c r="E12" s="3330"/>
      <c r="F12" s="3318">
        <v>402</v>
      </c>
      <c r="G12" s="3319"/>
      <c r="H12" s="3325" t="s">
        <v>5873</v>
      </c>
      <c r="I12" s="3326"/>
      <c r="J12" s="3305">
        <v>184.82</v>
      </c>
      <c r="K12" s="3306"/>
      <c r="L12" s="3209">
        <v>82.07</v>
      </c>
    </row>
    <row r="13" spans="1:12">
      <c r="A13" s="3318">
        <v>12</v>
      </c>
      <c r="B13" s="3319"/>
      <c r="C13" s="3207" t="s">
        <v>5871</v>
      </c>
      <c r="D13" s="3329" t="s">
        <v>5874</v>
      </c>
      <c r="E13" s="3330"/>
      <c r="F13" s="3318">
        <v>201</v>
      </c>
      <c r="G13" s="3319"/>
      <c r="H13" s="3325" t="s">
        <v>5873</v>
      </c>
      <c r="I13" s="3326"/>
      <c r="J13" s="3305">
        <v>184.32</v>
      </c>
      <c r="K13" s="3306"/>
      <c r="L13" s="3209">
        <v>81.849999999999994</v>
      </c>
    </row>
    <row r="14" spans="1:12">
      <c r="A14" s="3318">
        <v>13</v>
      </c>
      <c r="B14" s="3319"/>
      <c r="C14" s="3207" t="s">
        <v>5875</v>
      </c>
      <c r="D14" s="3325" t="s">
        <v>5872</v>
      </c>
      <c r="E14" s="3326"/>
      <c r="F14" s="3318">
        <v>102</v>
      </c>
      <c r="G14" s="3319"/>
      <c r="H14" s="3325" t="s">
        <v>5873</v>
      </c>
      <c r="I14" s="3326"/>
      <c r="J14" s="3316">
        <v>161.83000000000001</v>
      </c>
      <c r="K14" s="3317"/>
      <c r="L14" s="3209">
        <v>71.87</v>
      </c>
    </row>
    <row r="15" spans="1:12">
      <c r="A15" s="3318">
        <v>14</v>
      </c>
      <c r="B15" s="3319"/>
      <c r="C15" s="3207" t="s">
        <v>5875</v>
      </c>
      <c r="D15" s="3325" t="s">
        <v>5872</v>
      </c>
      <c r="E15" s="3326"/>
      <c r="F15" s="3318">
        <v>301</v>
      </c>
      <c r="G15" s="3319"/>
      <c r="H15" s="3325" t="s">
        <v>5873</v>
      </c>
      <c r="I15" s="3326"/>
      <c r="J15" s="3316">
        <v>192.55</v>
      </c>
      <c r="K15" s="3317"/>
      <c r="L15" s="3209">
        <v>85.51</v>
      </c>
    </row>
    <row r="16" spans="1:12">
      <c r="A16" s="3318">
        <v>15</v>
      </c>
      <c r="B16" s="3319"/>
      <c r="C16" s="3207" t="s">
        <v>5875</v>
      </c>
      <c r="D16" s="3325" t="s">
        <v>5874</v>
      </c>
      <c r="E16" s="3326"/>
      <c r="F16" s="3318">
        <v>101</v>
      </c>
      <c r="G16" s="3319"/>
      <c r="H16" s="3325" t="s">
        <v>5873</v>
      </c>
      <c r="I16" s="3326"/>
      <c r="J16" s="3316">
        <v>161.83000000000001</v>
      </c>
      <c r="K16" s="3317"/>
      <c r="L16" s="3209">
        <v>71.87</v>
      </c>
    </row>
    <row r="17" spans="1:12">
      <c r="A17" s="3318">
        <v>16</v>
      </c>
      <c r="B17" s="3319"/>
      <c r="C17" s="3207" t="s">
        <v>5875</v>
      </c>
      <c r="D17" s="3325" t="s">
        <v>5874</v>
      </c>
      <c r="E17" s="3326"/>
      <c r="F17" s="3318">
        <v>102</v>
      </c>
      <c r="G17" s="3319"/>
      <c r="H17" s="3325" t="s">
        <v>5873</v>
      </c>
      <c r="I17" s="3326"/>
      <c r="J17" s="3316">
        <v>184.45</v>
      </c>
      <c r="K17" s="3317"/>
      <c r="L17" s="3209">
        <v>81.91</v>
      </c>
    </row>
    <row r="18" spans="1:12">
      <c r="A18" s="3318">
        <v>17</v>
      </c>
      <c r="B18" s="3319"/>
      <c r="C18" s="3207" t="s">
        <v>5875</v>
      </c>
      <c r="D18" s="3325" t="s">
        <v>5874</v>
      </c>
      <c r="E18" s="3326"/>
      <c r="F18" s="3318">
        <v>302</v>
      </c>
      <c r="G18" s="3319"/>
      <c r="H18" s="3325" t="s">
        <v>5873</v>
      </c>
      <c r="I18" s="3326"/>
      <c r="J18" s="3316">
        <v>184.49</v>
      </c>
      <c r="K18" s="3317"/>
      <c r="L18" s="3209">
        <v>81.93</v>
      </c>
    </row>
    <row r="19" spans="1:12">
      <c r="A19" s="3318">
        <v>18</v>
      </c>
      <c r="B19" s="3319"/>
      <c r="C19" s="3207" t="s">
        <v>5875</v>
      </c>
      <c r="D19" s="3325" t="s">
        <v>5874</v>
      </c>
      <c r="E19" s="3326"/>
      <c r="F19" s="3318">
        <v>401</v>
      </c>
      <c r="G19" s="3319"/>
      <c r="H19" s="3325" t="s">
        <v>5873</v>
      </c>
      <c r="I19" s="3326"/>
      <c r="J19" s="3316">
        <v>184.49</v>
      </c>
      <c r="K19" s="3317"/>
      <c r="L19" s="3209">
        <v>81.93</v>
      </c>
    </row>
    <row r="20" spans="1:12">
      <c r="A20" s="3318">
        <v>19</v>
      </c>
      <c r="B20" s="3319"/>
      <c r="C20" s="3207" t="s">
        <v>5875</v>
      </c>
      <c r="D20" s="3325" t="s">
        <v>5876</v>
      </c>
      <c r="E20" s="3326"/>
      <c r="F20" s="3318">
        <v>101</v>
      </c>
      <c r="G20" s="3319"/>
      <c r="H20" s="3325" t="s">
        <v>5873</v>
      </c>
      <c r="I20" s="3326"/>
      <c r="J20" s="3316">
        <v>161.83000000000001</v>
      </c>
      <c r="K20" s="3317"/>
      <c r="L20" s="3209">
        <v>71.87</v>
      </c>
    </row>
    <row r="21" spans="1:12">
      <c r="A21" s="3318">
        <v>20</v>
      </c>
      <c r="B21" s="3319"/>
      <c r="C21" s="3207" t="s">
        <v>5875</v>
      </c>
      <c r="D21" s="3325" t="s">
        <v>5876</v>
      </c>
      <c r="E21" s="3326"/>
      <c r="F21" s="3318">
        <v>102</v>
      </c>
      <c r="G21" s="3319"/>
      <c r="H21" s="3325" t="s">
        <v>5873</v>
      </c>
      <c r="I21" s="3326"/>
      <c r="J21" s="3316">
        <v>184.95</v>
      </c>
      <c r="K21" s="3317"/>
      <c r="L21" s="3209">
        <v>82.13</v>
      </c>
    </row>
    <row r="22" spans="1:12">
      <c r="A22" s="3318">
        <v>21</v>
      </c>
      <c r="B22" s="3319"/>
      <c r="C22" s="3207" t="s">
        <v>5875</v>
      </c>
      <c r="D22" s="3325" t="s">
        <v>5876</v>
      </c>
      <c r="E22" s="3326"/>
      <c r="F22" s="3318">
        <v>201</v>
      </c>
      <c r="G22" s="3319"/>
      <c r="H22" s="3325" t="s">
        <v>5873</v>
      </c>
      <c r="I22" s="3326"/>
      <c r="J22" s="3316">
        <v>184.49</v>
      </c>
      <c r="K22" s="3317"/>
      <c r="L22" s="3209">
        <v>81.93</v>
      </c>
    </row>
    <row r="23" spans="1:12">
      <c r="A23" s="3318">
        <v>22</v>
      </c>
      <c r="B23" s="3319"/>
      <c r="C23" s="3207" t="s">
        <v>5875</v>
      </c>
      <c r="D23" s="3325" t="s">
        <v>5876</v>
      </c>
      <c r="E23" s="3326"/>
      <c r="F23" s="3318">
        <v>202</v>
      </c>
      <c r="G23" s="3319"/>
      <c r="H23" s="3325" t="s">
        <v>5873</v>
      </c>
      <c r="I23" s="3326"/>
      <c r="J23" s="3316">
        <v>184.99</v>
      </c>
      <c r="K23" s="3317"/>
      <c r="L23" s="3209">
        <v>82.15</v>
      </c>
    </row>
    <row r="24" spans="1:12">
      <c r="A24" s="3318">
        <v>23</v>
      </c>
      <c r="B24" s="3319"/>
      <c r="C24" s="3207" t="s">
        <v>5875</v>
      </c>
      <c r="D24" s="3325" t="s">
        <v>5876</v>
      </c>
      <c r="E24" s="3326"/>
      <c r="F24" s="3318">
        <v>301</v>
      </c>
      <c r="G24" s="3319"/>
      <c r="H24" s="3325" t="s">
        <v>5873</v>
      </c>
      <c r="I24" s="3326"/>
      <c r="J24" s="3316">
        <v>184.49</v>
      </c>
      <c r="K24" s="3317"/>
      <c r="L24" s="3209">
        <v>81.93</v>
      </c>
    </row>
    <row r="25" spans="1:12">
      <c r="A25" s="3318">
        <v>24</v>
      </c>
      <c r="B25" s="3319"/>
      <c r="C25" s="3207" t="s">
        <v>5875</v>
      </c>
      <c r="D25" s="3325" t="s">
        <v>5876</v>
      </c>
      <c r="E25" s="3326"/>
      <c r="F25" s="3318">
        <v>401</v>
      </c>
      <c r="G25" s="3319"/>
      <c r="H25" s="3325" t="s">
        <v>5873</v>
      </c>
      <c r="I25" s="3326"/>
      <c r="J25" s="3316">
        <v>184.49</v>
      </c>
      <c r="K25" s="3317"/>
      <c r="L25" s="3209">
        <v>81.93</v>
      </c>
    </row>
    <row r="26" spans="1:12">
      <c r="A26" s="3318">
        <v>25</v>
      </c>
      <c r="B26" s="3319"/>
      <c r="C26" s="3207" t="s">
        <v>5877</v>
      </c>
      <c r="D26" s="3325" t="s">
        <v>5872</v>
      </c>
      <c r="E26" s="3326"/>
      <c r="F26" s="3318">
        <v>102</v>
      </c>
      <c r="G26" s="3319"/>
      <c r="H26" s="3325" t="s">
        <v>5873</v>
      </c>
      <c r="I26" s="3326"/>
      <c r="J26" s="3316">
        <v>168.11</v>
      </c>
      <c r="K26" s="3317"/>
      <c r="L26" s="3209">
        <v>74.650000000000006</v>
      </c>
    </row>
    <row r="27" spans="1:12">
      <c r="A27" s="3318">
        <v>26</v>
      </c>
      <c r="B27" s="3319"/>
      <c r="C27" s="3207" t="s">
        <v>5877</v>
      </c>
      <c r="D27" s="3325" t="s">
        <v>5874</v>
      </c>
      <c r="E27" s="3326"/>
      <c r="F27" s="3318">
        <v>101</v>
      </c>
      <c r="G27" s="3319"/>
      <c r="H27" s="3325" t="s">
        <v>5873</v>
      </c>
      <c r="I27" s="3326"/>
      <c r="J27" s="3316">
        <v>168.11</v>
      </c>
      <c r="K27" s="3317"/>
      <c r="L27" s="3209">
        <v>74.650000000000006</v>
      </c>
    </row>
    <row r="28" spans="1:12">
      <c r="A28" s="3318">
        <v>27</v>
      </c>
      <c r="B28" s="3319"/>
      <c r="C28" s="3207" t="s">
        <v>5877</v>
      </c>
      <c r="D28" s="3325" t="s">
        <v>5876</v>
      </c>
      <c r="E28" s="3326"/>
      <c r="F28" s="3318">
        <v>101</v>
      </c>
      <c r="G28" s="3319"/>
      <c r="H28" s="3325" t="s">
        <v>5873</v>
      </c>
      <c r="I28" s="3326"/>
      <c r="J28" s="3316">
        <v>168.11</v>
      </c>
      <c r="K28" s="3317"/>
      <c r="L28" s="3209">
        <v>74.650000000000006</v>
      </c>
    </row>
    <row r="29" spans="1:12">
      <c r="A29" s="3318">
        <v>28</v>
      </c>
      <c r="B29" s="3319"/>
      <c r="C29" s="3207" t="s">
        <v>5877</v>
      </c>
      <c r="D29" s="3325" t="s">
        <v>5876</v>
      </c>
      <c r="E29" s="3326"/>
      <c r="F29" s="3318">
        <v>302</v>
      </c>
      <c r="G29" s="3319"/>
      <c r="H29" s="3325" t="s">
        <v>5873</v>
      </c>
      <c r="I29" s="3326"/>
      <c r="J29" s="3316">
        <v>185.02</v>
      </c>
      <c r="K29" s="3317"/>
      <c r="L29" s="3209">
        <v>82.16</v>
      </c>
    </row>
    <row r="30" spans="1:12">
      <c r="A30" s="3318">
        <v>29</v>
      </c>
      <c r="B30" s="3319"/>
      <c r="C30" s="3207" t="s">
        <v>5878</v>
      </c>
      <c r="D30" s="3325" t="s">
        <v>5872</v>
      </c>
      <c r="E30" s="3326"/>
      <c r="F30" s="3318">
        <v>101</v>
      </c>
      <c r="G30" s="3319"/>
      <c r="H30" s="3325" t="s">
        <v>5873</v>
      </c>
      <c r="I30" s="3326"/>
      <c r="J30" s="3316">
        <v>192.38</v>
      </c>
      <c r="K30" s="3317"/>
      <c r="L30" s="3209">
        <v>85.43</v>
      </c>
    </row>
    <row r="31" spans="1:12">
      <c r="A31" s="3318">
        <v>30</v>
      </c>
      <c r="B31" s="3319"/>
      <c r="C31" s="3207" t="s">
        <v>5878</v>
      </c>
      <c r="D31" s="3325" t="s">
        <v>5872</v>
      </c>
      <c r="E31" s="3326"/>
      <c r="F31" s="3318">
        <v>102</v>
      </c>
      <c r="G31" s="3319"/>
      <c r="H31" s="3325" t="s">
        <v>5873</v>
      </c>
      <c r="I31" s="3326"/>
      <c r="J31" s="3316">
        <v>167.95</v>
      </c>
      <c r="K31" s="3317"/>
      <c r="L31" s="3209">
        <v>74.58</v>
      </c>
    </row>
    <row r="32" spans="1:12">
      <c r="A32" s="3318">
        <v>31</v>
      </c>
      <c r="B32" s="3319"/>
      <c r="C32" s="3207" t="s">
        <v>5878</v>
      </c>
      <c r="D32" s="3325" t="s">
        <v>5872</v>
      </c>
      <c r="E32" s="3326"/>
      <c r="F32" s="3318">
        <v>201</v>
      </c>
      <c r="G32" s="3319"/>
      <c r="H32" s="3325" t="s">
        <v>5873</v>
      </c>
      <c r="I32" s="3326"/>
      <c r="J32" s="3320">
        <v>192.4</v>
      </c>
      <c r="K32" s="3321"/>
      <c r="L32" s="3209">
        <v>85.44</v>
      </c>
    </row>
    <row r="33" spans="1:12">
      <c r="A33" s="3318">
        <v>32</v>
      </c>
      <c r="B33" s="3319"/>
      <c r="C33" s="3207" t="s">
        <v>5878</v>
      </c>
      <c r="D33" s="3325" t="s">
        <v>5872</v>
      </c>
      <c r="E33" s="3326"/>
      <c r="F33" s="3318">
        <v>301</v>
      </c>
      <c r="G33" s="3319"/>
      <c r="H33" s="3325" t="s">
        <v>5873</v>
      </c>
      <c r="I33" s="3326"/>
      <c r="J33" s="3320">
        <v>192.4</v>
      </c>
      <c r="K33" s="3321"/>
      <c r="L33" s="3209">
        <v>85.44</v>
      </c>
    </row>
    <row r="34" spans="1:12">
      <c r="A34" s="3318">
        <v>33</v>
      </c>
      <c r="B34" s="3319"/>
      <c r="C34" s="3207" t="s">
        <v>5878</v>
      </c>
      <c r="D34" s="3325" t="s">
        <v>5872</v>
      </c>
      <c r="E34" s="3326"/>
      <c r="F34" s="3318">
        <v>302</v>
      </c>
      <c r="G34" s="3319"/>
      <c r="H34" s="3325" t="s">
        <v>5873</v>
      </c>
      <c r="I34" s="3326"/>
      <c r="J34" s="3316">
        <v>184.35</v>
      </c>
      <c r="K34" s="3317"/>
      <c r="L34" s="3209">
        <v>81.87</v>
      </c>
    </row>
    <row r="35" spans="1:12">
      <c r="A35" s="3318">
        <v>34</v>
      </c>
      <c r="B35" s="3319"/>
      <c r="C35" s="3207" t="s">
        <v>5878</v>
      </c>
      <c r="D35" s="3325" t="s">
        <v>5872</v>
      </c>
      <c r="E35" s="3326"/>
      <c r="F35" s="3318">
        <v>401</v>
      </c>
      <c r="G35" s="3319"/>
      <c r="H35" s="3325" t="s">
        <v>5873</v>
      </c>
      <c r="I35" s="3326"/>
      <c r="J35" s="3320">
        <v>192.4</v>
      </c>
      <c r="K35" s="3321"/>
      <c r="L35" s="3209">
        <v>85.44</v>
      </c>
    </row>
    <row r="36" spans="1:12">
      <c r="A36" s="3318">
        <v>35</v>
      </c>
      <c r="B36" s="3319"/>
      <c r="C36" s="3207" t="s">
        <v>5878</v>
      </c>
      <c r="D36" s="3325" t="s">
        <v>5874</v>
      </c>
      <c r="E36" s="3326"/>
      <c r="F36" s="3318">
        <v>101</v>
      </c>
      <c r="G36" s="3319"/>
      <c r="H36" s="3325" t="s">
        <v>5873</v>
      </c>
      <c r="I36" s="3326"/>
      <c r="J36" s="3316">
        <v>167.95</v>
      </c>
      <c r="K36" s="3317"/>
      <c r="L36" s="3209">
        <v>74.58</v>
      </c>
    </row>
    <row r="37" spans="1:12">
      <c r="A37" s="3318">
        <v>36</v>
      </c>
      <c r="B37" s="3319"/>
      <c r="C37" s="3207" t="s">
        <v>5879</v>
      </c>
      <c r="D37" s="3327"/>
      <c r="E37" s="3328"/>
      <c r="F37" s="3318">
        <v>302</v>
      </c>
      <c r="G37" s="3319"/>
      <c r="H37" s="3325" t="s">
        <v>5873</v>
      </c>
      <c r="I37" s="3326"/>
      <c r="J37" s="3316">
        <v>184.96</v>
      </c>
      <c r="K37" s="3317"/>
      <c r="L37" s="3209">
        <v>82.14</v>
      </c>
    </row>
    <row r="38" spans="1:12">
      <c r="A38" s="3318">
        <v>37</v>
      </c>
      <c r="B38" s="3319"/>
      <c r="C38" s="3207" t="s">
        <v>5879</v>
      </c>
      <c r="D38" s="3327"/>
      <c r="E38" s="3328"/>
      <c r="F38" s="3318">
        <v>101</v>
      </c>
      <c r="G38" s="3319"/>
      <c r="H38" s="3325" t="s">
        <v>5873</v>
      </c>
      <c r="I38" s="3326"/>
      <c r="J38" s="3316">
        <v>184.92</v>
      </c>
      <c r="K38" s="3317"/>
      <c r="L38" s="3209">
        <v>82.12</v>
      </c>
    </row>
    <row r="39" spans="1:12">
      <c r="A39" s="3318">
        <v>38</v>
      </c>
      <c r="B39" s="3319"/>
      <c r="C39" s="3207" t="s">
        <v>5879</v>
      </c>
      <c r="D39" s="3327"/>
      <c r="E39" s="3328"/>
      <c r="F39" s="3318">
        <v>102</v>
      </c>
      <c r="G39" s="3319"/>
      <c r="H39" s="3325" t="s">
        <v>5873</v>
      </c>
      <c r="I39" s="3326"/>
      <c r="J39" s="3316">
        <v>168.05</v>
      </c>
      <c r="K39" s="3317"/>
      <c r="L39" s="3209">
        <v>74.63</v>
      </c>
    </row>
    <row r="40" spans="1:12">
      <c r="A40" s="3318">
        <v>39</v>
      </c>
      <c r="B40" s="3319"/>
      <c r="C40" s="3207" t="s">
        <v>5879</v>
      </c>
      <c r="D40" s="3327"/>
      <c r="E40" s="3328"/>
      <c r="F40" s="3318">
        <v>201</v>
      </c>
      <c r="G40" s="3319"/>
      <c r="H40" s="3325" t="s">
        <v>5873</v>
      </c>
      <c r="I40" s="3326"/>
      <c r="J40" s="3316">
        <v>184.96</v>
      </c>
      <c r="K40" s="3317"/>
      <c r="L40" s="3209">
        <v>82.14</v>
      </c>
    </row>
    <row r="41" spans="1:12">
      <c r="A41" s="3318">
        <v>40</v>
      </c>
      <c r="B41" s="3319"/>
      <c r="C41" s="3207" t="s">
        <v>5879</v>
      </c>
      <c r="D41" s="3327"/>
      <c r="E41" s="3328"/>
      <c r="F41" s="3318">
        <v>401</v>
      </c>
      <c r="G41" s="3319"/>
      <c r="H41" s="3325" t="s">
        <v>5873</v>
      </c>
      <c r="I41" s="3326"/>
      <c r="J41" s="3316">
        <v>184.96</v>
      </c>
      <c r="K41" s="3317"/>
      <c r="L41" s="3209">
        <v>82.14</v>
      </c>
    </row>
    <row r="42" spans="1:12">
      <c r="A42" s="3318">
        <v>41</v>
      </c>
      <c r="B42" s="3319"/>
      <c r="C42" s="3207" t="s">
        <v>5880</v>
      </c>
      <c r="D42" s="3327"/>
      <c r="E42" s="3328"/>
      <c r="F42" s="3318">
        <v>301</v>
      </c>
      <c r="G42" s="3319"/>
      <c r="H42" s="3325" t="s">
        <v>5873</v>
      </c>
      <c r="I42" s="3326"/>
      <c r="J42" s="3316">
        <v>192.54</v>
      </c>
      <c r="K42" s="3317"/>
      <c r="L42" s="3209">
        <v>85.5</v>
      </c>
    </row>
    <row r="43" spans="1:12">
      <c r="A43" s="3318">
        <v>42</v>
      </c>
      <c r="B43" s="3319"/>
      <c r="C43" s="3207" t="s">
        <v>5881</v>
      </c>
      <c r="D43" s="3325" t="s">
        <v>5872</v>
      </c>
      <c r="E43" s="3326"/>
      <c r="F43" s="3318">
        <v>102</v>
      </c>
      <c r="G43" s="3319"/>
      <c r="H43" s="3325" t="s">
        <v>5873</v>
      </c>
      <c r="I43" s="3326"/>
      <c r="J43" s="3316">
        <v>168.04</v>
      </c>
      <c r="K43" s="3317"/>
      <c r="L43" s="3209">
        <v>74.62</v>
      </c>
    </row>
    <row r="44" spans="1:12">
      <c r="A44" s="3318">
        <v>43</v>
      </c>
      <c r="B44" s="3319"/>
      <c r="C44" s="3207" t="s">
        <v>5881</v>
      </c>
      <c r="D44" s="3325" t="s">
        <v>5874</v>
      </c>
      <c r="E44" s="3326"/>
      <c r="F44" s="3318">
        <v>101</v>
      </c>
      <c r="G44" s="3319"/>
      <c r="H44" s="3325" t="s">
        <v>5873</v>
      </c>
      <c r="I44" s="3326"/>
      <c r="J44" s="3316">
        <v>168.04</v>
      </c>
      <c r="K44" s="3317"/>
      <c r="L44" s="3209">
        <v>74.62</v>
      </c>
    </row>
    <row r="45" spans="1:12">
      <c r="A45" s="3318">
        <v>44</v>
      </c>
      <c r="B45" s="3319"/>
      <c r="C45" s="3207" t="s">
        <v>5881</v>
      </c>
      <c r="D45" s="3325" t="s">
        <v>5874</v>
      </c>
      <c r="E45" s="3326"/>
      <c r="F45" s="3318">
        <v>402</v>
      </c>
      <c r="G45" s="3319"/>
      <c r="H45" s="3325" t="s">
        <v>5873</v>
      </c>
      <c r="I45" s="3326"/>
      <c r="J45" s="3316">
        <v>184.45</v>
      </c>
      <c r="K45" s="3317"/>
      <c r="L45" s="3209">
        <v>81.91</v>
      </c>
    </row>
    <row r="46" spans="1:12">
      <c r="A46" s="3318">
        <v>45</v>
      </c>
      <c r="B46" s="3319"/>
      <c r="C46" s="3207" t="s">
        <v>5881</v>
      </c>
      <c r="D46" s="3325" t="s">
        <v>5876</v>
      </c>
      <c r="E46" s="3326"/>
      <c r="F46" s="3318">
        <v>101</v>
      </c>
      <c r="G46" s="3319"/>
      <c r="H46" s="3325" t="s">
        <v>5873</v>
      </c>
      <c r="I46" s="3326"/>
      <c r="J46" s="3316">
        <v>168.04</v>
      </c>
      <c r="K46" s="3317"/>
      <c r="L46" s="3209">
        <v>74.62</v>
      </c>
    </row>
    <row r="47" spans="1:12">
      <c r="A47" s="3318">
        <v>46</v>
      </c>
      <c r="B47" s="3319"/>
      <c r="C47" s="3207" t="s">
        <v>5882</v>
      </c>
      <c r="D47" s="3325" t="s">
        <v>5872</v>
      </c>
      <c r="E47" s="3326"/>
      <c r="F47" s="3318">
        <v>101</v>
      </c>
      <c r="G47" s="3319"/>
      <c r="H47" s="3325" t="s">
        <v>5873</v>
      </c>
      <c r="I47" s="3326"/>
      <c r="J47" s="3320">
        <v>192.5</v>
      </c>
      <c r="K47" s="3321"/>
      <c r="L47" s="3209">
        <v>85.49</v>
      </c>
    </row>
    <row r="48" spans="1:12">
      <c r="A48" s="3318">
        <v>47</v>
      </c>
      <c r="B48" s="3319"/>
      <c r="C48" s="3207" t="s">
        <v>5882</v>
      </c>
      <c r="D48" s="3325" t="s">
        <v>5872</v>
      </c>
      <c r="E48" s="3326"/>
      <c r="F48" s="3318">
        <v>102</v>
      </c>
      <c r="G48" s="3319"/>
      <c r="H48" s="3325" t="s">
        <v>5873</v>
      </c>
      <c r="I48" s="3326"/>
      <c r="J48" s="3316">
        <v>161.81</v>
      </c>
      <c r="K48" s="3317"/>
      <c r="L48" s="3209">
        <v>71.86</v>
      </c>
    </row>
    <row r="49" spans="1:12">
      <c r="A49" s="3318">
        <v>48</v>
      </c>
      <c r="B49" s="3319"/>
      <c r="C49" s="3207" t="s">
        <v>5882</v>
      </c>
      <c r="D49" s="3325" t="s">
        <v>5872</v>
      </c>
      <c r="E49" s="3326"/>
      <c r="F49" s="3318">
        <v>201</v>
      </c>
      <c r="G49" s="3319"/>
      <c r="H49" s="3325" t="s">
        <v>5873</v>
      </c>
      <c r="I49" s="3326"/>
      <c r="J49" s="3316">
        <v>192.52</v>
      </c>
      <c r="K49" s="3317"/>
      <c r="L49" s="3209">
        <v>85.49</v>
      </c>
    </row>
    <row r="50" spans="1:12">
      <c r="A50" s="3318">
        <v>49</v>
      </c>
      <c r="B50" s="3319"/>
      <c r="C50" s="3207" t="s">
        <v>5882</v>
      </c>
      <c r="D50" s="3325" t="s">
        <v>5872</v>
      </c>
      <c r="E50" s="3326"/>
      <c r="F50" s="3318">
        <v>202</v>
      </c>
      <c r="G50" s="3319"/>
      <c r="H50" s="3325" t="s">
        <v>5873</v>
      </c>
      <c r="I50" s="3326"/>
      <c r="J50" s="3316">
        <v>184.46</v>
      </c>
      <c r="K50" s="3317"/>
      <c r="L50" s="3209">
        <v>81.92</v>
      </c>
    </row>
    <row r="51" spans="1:12">
      <c r="A51" s="3318">
        <v>50</v>
      </c>
      <c r="B51" s="3319"/>
      <c r="C51" s="3207" t="s">
        <v>5882</v>
      </c>
      <c r="D51" s="3325" t="s">
        <v>5872</v>
      </c>
      <c r="E51" s="3326"/>
      <c r="F51" s="3318">
        <v>301</v>
      </c>
      <c r="G51" s="3319"/>
      <c r="H51" s="3325" t="s">
        <v>5873</v>
      </c>
      <c r="I51" s="3326"/>
      <c r="J51" s="3316">
        <v>192.52</v>
      </c>
      <c r="K51" s="3317"/>
      <c r="L51" s="3209">
        <v>85.49</v>
      </c>
    </row>
    <row r="52" spans="1:12">
      <c r="A52" s="3318">
        <v>51</v>
      </c>
      <c r="B52" s="3319"/>
      <c r="C52" s="3207" t="s">
        <v>5882</v>
      </c>
      <c r="D52" s="3325" t="s">
        <v>5872</v>
      </c>
      <c r="E52" s="3326"/>
      <c r="F52" s="3318">
        <v>401</v>
      </c>
      <c r="G52" s="3319"/>
      <c r="H52" s="3325" t="s">
        <v>5873</v>
      </c>
      <c r="I52" s="3326"/>
      <c r="J52" s="3316">
        <v>192.52</v>
      </c>
      <c r="K52" s="3317"/>
      <c r="L52" s="3209">
        <v>85.49</v>
      </c>
    </row>
    <row r="53" spans="1:12">
      <c r="A53" s="3318">
        <v>52</v>
      </c>
      <c r="B53" s="3319"/>
      <c r="C53" s="3207" t="s">
        <v>5882</v>
      </c>
      <c r="D53" s="3325" t="s">
        <v>5872</v>
      </c>
      <c r="E53" s="3326"/>
      <c r="F53" s="3318">
        <v>402</v>
      </c>
      <c r="G53" s="3319"/>
      <c r="H53" s="3325" t="s">
        <v>5873</v>
      </c>
      <c r="I53" s="3326"/>
      <c r="J53" s="3316">
        <v>184.46</v>
      </c>
      <c r="K53" s="3317"/>
      <c r="L53" s="3209">
        <v>81.92</v>
      </c>
    </row>
    <row r="54" spans="1:12">
      <c r="A54" s="3318">
        <v>53</v>
      </c>
      <c r="B54" s="3319"/>
      <c r="C54" s="3207" t="s">
        <v>5882</v>
      </c>
      <c r="D54" s="3325" t="s">
        <v>5874</v>
      </c>
      <c r="E54" s="3326"/>
      <c r="F54" s="3318">
        <v>101</v>
      </c>
      <c r="G54" s="3319"/>
      <c r="H54" s="3325" t="s">
        <v>5873</v>
      </c>
      <c r="I54" s="3326"/>
      <c r="J54" s="3316">
        <v>161.81</v>
      </c>
      <c r="K54" s="3317"/>
      <c r="L54" s="3209">
        <v>71.86</v>
      </c>
    </row>
    <row r="55" spans="1:12">
      <c r="A55" s="3318">
        <v>54</v>
      </c>
      <c r="B55" s="3319"/>
      <c r="C55" s="3207" t="s">
        <v>5882</v>
      </c>
      <c r="D55" s="3325" t="s">
        <v>5874</v>
      </c>
      <c r="E55" s="3326"/>
      <c r="F55" s="3318">
        <v>102</v>
      </c>
      <c r="G55" s="3319"/>
      <c r="H55" s="3325" t="s">
        <v>5873</v>
      </c>
      <c r="I55" s="3326"/>
      <c r="J55" s="3316">
        <v>184.92</v>
      </c>
      <c r="K55" s="3317"/>
      <c r="L55" s="3209">
        <v>82.12</v>
      </c>
    </row>
    <row r="56" spans="1:12">
      <c r="A56" s="3318">
        <v>55</v>
      </c>
      <c r="B56" s="3319"/>
      <c r="C56" s="3207" t="s">
        <v>5882</v>
      </c>
      <c r="D56" s="3325" t="s">
        <v>5874</v>
      </c>
      <c r="E56" s="3326"/>
      <c r="F56" s="3318">
        <v>301</v>
      </c>
      <c r="G56" s="3319"/>
      <c r="H56" s="3325" t="s">
        <v>5873</v>
      </c>
      <c r="I56" s="3326"/>
      <c r="J56" s="3316">
        <v>184.46</v>
      </c>
      <c r="K56" s="3317"/>
      <c r="L56" s="3209">
        <v>81.92</v>
      </c>
    </row>
    <row r="57" spans="1:12">
      <c r="A57" s="3318">
        <v>56</v>
      </c>
      <c r="B57" s="3319"/>
      <c r="C57" s="3207" t="s">
        <v>5882</v>
      </c>
      <c r="D57" s="3325" t="s">
        <v>5874</v>
      </c>
      <c r="E57" s="3326"/>
      <c r="F57" s="3318">
        <v>401</v>
      </c>
      <c r="G57" s="3319"/>
      <c r="H57" s="3325" t="s">
        <v>5873</v>
      </c>
      <c r="I57" s="3326"/>
      <c r="J57" s="3316">
        <v>184.46</v>
      </c>
      <c r="K57" s="3317"/>
      <c r="L57" s="3209">
        <v>81.92</v>
      </c>
    </row>
    <row r="58" spans="1:12">
      <c r="A58" s="3318">
        <v>57</v>
      </c>
      <c r="B58" s="3319"/>
      <c r="C58" s="3207" t="s">
        <v>5883</v>
      </c>
      <c r="D58" s="3325" t="s">
        <v>5872</v>
      </c>
      <c r="E58" s="3326"/>
      <c r="F58" s="3318">
        <v>101</v>
      </c>
      <c r="G58" s="3319"/>
      <c r="H58" s="3325" t="s">
        <v>5873</v>
      </c>
      <c r="I58" s="3326"/>
      <c r="J58" s="3320">
        <v>184.9</v>
      </c>
      <c r="K58" s="3321"/>
      <c r="L58" s="3209">
        <v>82.11</v>
      </c>
    </row>
    <row r="59" spans="1:12">
      <c r="A59" s="3318">
        <v>58</v>
      </c>
      <c r="B59" s="3319"/>
      <c r="C59" s="3207" t="s">
        <v>5883</v>
      </c>
      <c r="D59" s="3325" t="s">
        <v>5872</v>
      </c>
      <c r="E59" s="3326"/>
      <c r="F59" s="3318">
        <v>301</v>
      </c>
      <c r="G59" s="3319"/>
      <c r="H59" s="3325" t="s">
        <v>5873</v>
      </c>
      <c r="I59" s="3326"/>
      <c r="J59" s="3316">
        <v>184.94</v>
      </c>
      <c r="K59" s="3317"/>
      <c r="L59" s="3209">
        <v>82.13</v>
      </c>
    </row>
    <row r="60" spans="1:12">
      <c r="A60" s="3318">
        <v>59</v>
      </c>
      <c r="B60" s="3319"/>
      <c r="C60" s="3207" t="s">
        <v>5883</v>
      </c>
      <c r="D60" s="3325" t="s">
        <v>5874</v>
      </c>
      <c r="E60" s="3326"/>
      <c r="F60" s="3318">
        <v>101</v>
      </c>
      <c r="G60" s="3319"/>
      <c r="H60" s="3325" t="s">
        <v>5873</v>
      </c>
      <c r="I60" s="3326"/>
      <c r="J60" s="3316">
        <v>161.79</v>
      </c>
      <c r="K60" s="3317"/>
      <c r="L60" s="3209">
        <v>71.849999999999994</v>
      </c>
    </row>
    <row r="61" spans="1:12">
      <c r="A61" s="3318">
        <v>60</v>
      </c>
      <c r="B61" s="3319"/>
      <c r="C61" s="3207" t="s">
        <v>5883</v>
      </c>
      <c r="D61" s="3325" t="s">
        <v>5874</v>
      </c>
      <c r="E61" s="3326"/>
      <c r="F61" s="3318">
        <v>102</v>
      </c>
      <c r="G61" s="3319"/>
      <c r="H61" s="3325" t="s">
        <v>5873</v>
      </c>
      <c r="I61" s="3326"/>
      <c r="J61" s="3316">
        <v>192.47</v>
      </c>
      <c r="K61" s="3317"/>
      <c r="L61" s="3209">
        <v>85.47</v>
      </c>
    </row>
    <row r="62" spans="1:12">
      <c r="A62" s="3318">
        <v>61</v>
      </c>
      <c r="B62" s="3319"/>
      <c r="C62" s="3207" t="s">
        <v>5884</v>
      </c>
      <c r="D62" s="3325" t="s">
        <v>5872</v>
      </c>
      <c r="E62" s="3326"/>
      <c r="F62" s="3318">
        <v>102</v>
      </c>
      <c r="G62" s="3319"/>
      <c r="H62" s="3325" t="s">
        <v>5873</v>
      </c>
      <c r="I62" s="3326"/>
      <c r="J62" s="3316">
        <v>168.09</v>
      </c>
      <c r="K62" s="3317"/>
      <c r="L62" s="3209">
        <v>74.650000000000006</v>
      </c>
    </row>
    <row r="63" spans="1:12">
      <c r="A63" s="3318">
        <v>62</v>
      </c>
      <c r="B63" s="3319"/>
      <c r="C63" s="3207" t="s">
        <v>5884</v>
      </c>
      <c r="D63" s="3325" t="s">
        <v>5874</v>
      </c>
      <c r="E63" s="3326"/>
      <c r="F63" s="3318">
        <v>101</v>
      </c>
      <c r="G63" s="3319"/>
      <c r="H63" s="3325" t="s">
        <v>5873</v>
      </c>
      <c r="I63" s="3326"/>
      <c r="J63" s="3316">
        <v>168.09</v>
      </c>
      <c r="K63" s="3317"/>
      <c r="L63" s="3209">
        <v>74.650000000000006</v>
      </c>
    </row>
    <row r="64" spans="1:12">
      <c r="A64" s="3318">
        <v>63</v>
      </c>
      <c r="B64" s="3319"/>
      <c r="C64" s="3207" t="s">
        <v>5884</v>
      </c>
      <c r="D64" s="3325" t="s">
        <v>5874</v>
      </c>
      <c r="E64" s="3326"/>
      <c r="F64" s="3318">
        <v>302</v>
      </c>
      <c r="G64" s="3319"/>
      <c r="H64" s="3325" t="s">
        <v>5873</v>
      </c>
      <c r="I64" s="3326"/>
      <c r="J64" s="3320">
        <v>184.5</v>
      </c>
      <c r="K64" s="3321"/>
      <c r="L64" s="3209">
        <v>81.93</v>
      </c>
    </row>
    <row r="65" spans="1:12">
      <c r="A65" s="3318">
        <v>64</v>
      </c>
      <c r="B65" s="3319"/>
      <c r="C65" s="3207" t="s">
        <v>5884</v>
      </c>
      <c r="D65" s="3325" t="s">
        <v>5874</v>
      </c>
      <c r="E65" s="3326"/>
      <c r="F65" s="3318">
        <v>402</v>
      </c>
      <c r="G65" s="3319"/>
      <c r="H65" s="3325" t="s">
        <v>5873</v>
      </c>
      <c r="I65" s="3326"/>
      <c r="J65" s="3320">
        <v>184.5</v>
      </c>
      <c r="K65" s="3321"/>
      <c r="L65" s="3209">
        <v>81.93</v>
      </c>
    </row>
    <row r="66" spans="1:12">
      <c r="A66" s="3318">
        <v>65</v>
      </c>
      <c r="B66" s="3319"/>
      <c r="C66" s="3207" t="s">
        <v>5884</v>
      </c>
      <c r="D66" s="3325" t="s">
        <v>5876</v>
      </c>
      <c r="E66" s="3326"/>
      <c r="F66" s="3318">
        <v>101</v>
      </c>
      <c r="G66" s="3319"/>
      <c r="H66" s="3325" t="s">
        <v>5873</v>
      </c>
      <c r="I66" s="3326"/>
      <c r="J66" s="3316">
        <v>168.09</v>
      </c>
      <c r="K66" s="3317"/>
      <c r="L66" s="3209">
        <v>74.650000000000006</v>
      </c>
    </row>
    <row r="67" spans="1:12">
      <c r="A67" s="3318">
        <v>66</v>
      </c>
      <c r="B67" s="3319"/>
      <c r="C67" s="3207" t="s">
        <v>5884</v>
      </c>
      <c r="D67" s="3325" t="s">
        <v>5876</v>
      </c>
      <c r="E67" s="3326"/>
      <c r="F67" s="3318">
        <v>302</v>
      </c>
      <c r="G67" s="3319"/>
      <c r="H67" s="3325" t="s">
        <v>5873</v>
      </c>
      <c r="I67" s="3326"/>
      <c r="J67" s="3318">
        <v>185</v>
      </c>
      <c r="K67" s="3319"/>
      <c r="L67" s="3209">
        <v>82.15</v>
      </c>
    </row>
    <row r="68" spans="1:12">
      <c r="A68" s="3318">
        <v>67</v>
      </c>
      <c r="B68" s="3319"/>
      <c r="C68" s="3207" t="s">
        <v>5885</v>
      </c>
      <c r="D68" s="3325" t="s">
        <v>5872</v>
      </c>
      <c r="E68" s="3326"/>
      <c r="F68" s="3318">
        <v>102</v>
      </c>
      <c r="G68" s="3319"/>
      <c r="H68" s="3325" t="s">
        <v>5873</v>
      </c>
      <c r="I68" s="3326"/>
      <c r="J68" s="3316">
        <v>210.98</v>
      </c>
      <c r="K68" s="3317"/>
      <c r="L68" s="3209">
        <v>93.69</v>
      </c>
    </row>
    <row r="69" spans="1:12">
      <c r="A69" s="3318">
        <v>68</v>
      </c>
      <c r="B69" s="3319"/>
      <c r="C69" s="3207" t="s">
        <v>5885</v>
      </c>
      <c r="D69" s="3325" t="s">
        <v>5872</v>
      </c>
      <c r="E69" s="3326"/>
      <c r="F69" s="3318">
        <v>202</v>
      </c>
      <c r="G69" s="3319"/>
      <c r="H69" s="3325" t="s">
        <v>5873</v>
      </c>
      <c r="I69" s="3326"/>
      <c r="J69" s="3316">
        <v>221.84</v>
      </c>
      <c r="K69" s="3317"/>
      <c r="L69" s="3209">
        <v>98.51</v>
      </c>
    </row>
    <row r="70" spans="1:12">
      <c r="A70" s="3318">
        <v>69</v>
      </c>
      <c r="B70" s="3319"/>
      <c r="C70" s="3207" t="s">
        <v>5885</v>
      </c>
      <c r="D70" s="3325" t="s">
        <v>5872</v>
      </c>
      <c r="E70" s="3326"/>
      <c r="F70" s="3318">
        <v>302</v>
      </c>
      <c r="G70" s="3319"/>
      <c r="H70" s="3325" t="s">
        <v>5873</v>
      </c>
      <c r="I70" s="3326"/>
      <c r="J70" s="3316">
        <v>221.84</v>
      </c>
      <c r="K70" s="3317"/>
      <c r="L70" s="3209">
        <v>98.51</v>
      </c>
    </row>
    <row r="71" spans="1:12">
      <c r="A71" s="3318">
        <v>70</v>
      </c>
      <c r="B71" s="3319"/>
      <c r="C71" s="3207" t="s">
        <v>5885</v>
      </c>
      <c r="D71" s="3325" t="s">
        <v>5872</v>
      </c>
      <c r="E71" s="3326"/>
      <c r="F71" s="3318">
        <v>301</v>
      </c>
      <c r="G71" s="3319"/>
      <c r="H71" s="3325" t="s">
        <v>5873</v>
      </c>
      <c r="I71" s="3326"/>
      <c r="J71" s="3316">
        <v>230.89</v>
      </c>
      <c r="K71" s="3317"/>
      <c r="L71" s="3209">
        <v>102.53</v>
      </c>
    </row>
    <row r="72" spans="1:12">
      <c r="A72" s="3318">
        <v>71</v>
      </c>
      <c r="B72" s="3319"/>
      <c r="C72" s="3207" t="s">
        <v>5885</v>
      </c>
      <c r="D72" s="3325" t="s">
        <v>5874</v>
      </c>
      <c r="E72" s="3326"/>
      <c r="F72" s="3318">
        <v>101</v>
      </c>
      <c r="G72" s="3319"/>
      <c r="H72" s="3325" t="s">
        <v>5873</v>
      </c>
      <c r="I72" s="3326"/>
      <c r="J72" s="3316">
        <v>210.98</v>
      </c>
      <c r="K72" s="3317"/>
      <c r="L72" s="3209">
        <v>93.69</v>
      </c>
    </row>
    <row r="73" spans="1:12">
      <c r="A73" s="3318">
        <v>72</v>
      </c>
      <c r="B73" s="3319"/>
      <c r="C73" s="3207" t="s">
        <v>5885</v>
      </c>
      <c r="D73" s="3325" t="s">
        <v>5874</v>
      </c>
      <c r="E73" s="3326"/>
      <c r="F73" s="3318">
        <v>102</v>
      </c>
      <c r="G73" s="3319"/>
      <c r="H73" s="3325" t="s">
        <v>5873</v>
      </c>
      <c r="I73" s="3326"/>
      <c r="J73" s="3316">
        <v>210.98</v>
      </c>
      <c r="K73" s="3317"/>
      <c r="L73" s="3209">
        <v>93.69</v>
      </c>
    </row>
    <row r="74" spans="1:12">
      <c r="A74" s="3318">
        <v>73</v>
      </c>
      <c r="B74" s="3319"/>
      <c r="C74" s="3207" t="s">
        <v>5885</v>
      </c>
      <c r="D74" s="3325" t="s">
        <v>5874</v>
      </c>
      <c r="E74" s="3326"/>
      <c r="F74" s="3318">
        <v>201</v>
      </c>
      <c r="G74" s="3319"/>
      <c r="H74" s="3325" t="s">
        <v>5873</v>
      </c>
      <c r="I74" s="3326"/>
      <c r="J74" s="3316">
        <v>221.84</v>
      </c>
      <c r="K74" s="3317"/>
      <c r="L74" s="3209">
        <v>98.51</v>
      </c>
    </row>
    <row r="75" spans="1:12">
      <c r="A75" s="3318">
        <v>74</v>
      </c>
      <c r="B75" s="3319"/>
      <c r="C75" s="3207" t="s">
        <v>5885</v>
      </c>
      <c r="D75" s="3325" t="s">
        <v>5874</v>
      </c>
      <c r="E75" s="3326"/>
      <c r="F75" s="3318">
        <v>202</v>
      </c>
      <c r="G75" s="3319"/>
      <c r="H75" s="3325" t="s">
        <v>5873</v>
      </c>
      <c r="I75" s="3326"/>
      <c r="J75" s="3316">
        <v>221.84</v>
      </c>
      <c r="K75" s="3317"/>
      <c r="L75" s="3209">
        <v>98.51</v>
      </c>
    </row>
    <row r="76" spans="1:12">
      <c r="A76" s="3318">
        <v>75</v>
      </c>
      <c r="B76" s="3319"/>
      <c r="C76" s="3207" t="s">
        <v>5885</v>
      </c>
      <c r="D76" s="3325" t="s">
        <v>5874</v>
      </c>
      <c r="E76" s="3326"/>
      <c r="F76" s="3318">
        <v>301</v>
      </c>
      <c r="G76" s="3319"/>
      <c r="H76" s="3325" t="s">
        <v>5873</v>
      </c>
      <c r="I76" s="3326"/>
      <c r="J76" s="3316">
        <v>221.84</v>
      </c>
      <c r="K76" s="3317"/>
      <c r="L76" s="3209">
        <v>98.51</v>
      </c>
    </row>
    <row r="77" spans="1:12">
      <c r="A77" s="3318">
        <v>76</v>
      </c>
      <c r="B77" s="3319"/>
      <c r="C77" s="3207" t="s">
        <v>5885</v>
      </c>
      <c r="D77" s="3325" t="s">
        <v>5874</v>
      </c>
      <c r="E77" s="3326"/>
      <c r="F77" s="3318">
        <v>302</v>
      </c>
      <c r="G77" s="3319"/>
      <c r="H77" s="3325" t="s">
        <v>5873</v>
      </c>
      <c r="I77" s="3326"/>
      <c r="J77" s="3316">
        <v>221.84</v>
      </c>
      <c r="K77" s="3317"/>
      <c r="L77" s="3209">
        <v>98.51</v>
      </c>
    </row>
    <row r="78" spans="1:12">
      <c r="A78" s="3318">
        <v>77</v>
      </c>
      <c r="B78" s="3319"/>
      <c r="C78" s="3207" t="s">
        <v>5885</v>
      </c>
      <c r="D78" s="3325" t="s">
        <v>5874</v>
      </c>
      <c r="E78" s="3326"/>
      <c r="F78" s="3318">
        <v>401</v>
      </c>
      <c r="G78" s="3319"/>
      <c r="H78" s="3325" t="s">
        <v>5873</v>
      </c>
      <c r="I78" s="3326"/>
      <c r="J78" s="3316">
        <v>221.84</v>
      </c>
      <c r="K78" s="3317"/>
      <c r="L78" s="3209">
        <v>98.51</v>
      </c>
    </row>
    <row r="79" spans="1:12">
      <c r="A79" s="3318">
        <v>78</v>
      </c>
      <c r="B79" s="3319"/>
      <c r="C79" s="3207" t="s">
        <v>5885</v>
      </c>
      <c r="D79" s="3325" t="s">
        <v>5874</v>
      </c>
      <c r="E79" s="3326"/>
      <c r="F79" s="3318">
        <v>402</v>
      </c>
      <c r="G79" s="3319"/>
      <c r="H79" s="3325" t="s">
        <v>5873</v>
      </c>
      <c r="I79" s="3326"/>
      <c r="J79" s="3316">
        <v>221.84</v>
      </c>
      <c r="K79" s="3317"/>
      <c r="L79" s="3209">
        <v>98.51</v>
      </c>
    </row>
    <row r="80" spans="1:12">
      <c r="A80" s="3318">
        <v>79</v>
      </c>
      <c r="B80" s="3319"/>
      <c r="C80" s="3207" t="s">
        <v>5885</v>
      </c>
      <c r="D80" s="3325" t="s">
        <v>5876</v>
      </c>
      <c r="E80" s="3326"/>
      <c r="F80" s="3318">
        <v>101</v>
      </c>
      <c r="G80" s="3319"/>
      <c r="H80" s="3325" t="s">
        <v>5873</v>
      </c>
      <c r="I80" s="3326"/>
      <c r="J80" s="3316">
        <v>210.98</v>
      </c>
      <c r="K80" s="3317"/>
      <c r="L80" s="3209">
        <v>93.69</v>
      </c>
    </row>
    <row r="81" spans="1:12">
      <c r="A81" s="3318">
        <v>80</v>
      </c>
      <c r="B81" s="3319"/>
      <c r="C81" s="3207" t="s">
        <v>5885</v>
      </c>
      <c r="D81" s="3325" t="s">
        <v>5876</v>
      </c>
      <c r="E81" s="3326"/>
      <c r="F81" s="3318">
        <v>102</v>
      </c>
      <c r="G81" s="3319"/>
      <c r="H81" s="3325" t="s">
        <v>5873</v>
      </c>
      <c r="I81" s="3326"/>
      <c r="J81" s="3316">
        <v>212.29</v>
      </c>
      <c r="K81" s="3317"/>
      <c r="L81" s="3209">
        <v>94.27</v>
      </c>
    </row>
    <row r="82" spans="1:12">
      <c r="A82" s="3318">
        <v>81</v>
      </c>
      <c r="B82" s="3319"/>
      <c r="C82" s="3207" t="s">
        <v>5885</v>
      </c>
      <c r="D82" s="3325" t="s">
        <v>5876</v>
      </c>
      <c r="E82" s="3326"/>
      <c r="F82" s="3318">
        <v>201</v>
      </c>
      <c r="G82" s="3319"/>
      <c r="H82" s="3325" t="s">
        <v>5873</v>
      </c>
      <c r="I82" s="3326"/>
      <c r="J82" s="3316">
        <v>221.84</v>
      </c>
      <c r="K82" s="3317"/>
      <c r="L82" s="3209">
        <v>98.51</v>
      </c>
    </row>
    <row r="83" spans="1:12">
      <c r="A83" s="3318">
        <v>82</v>
      </c>
      <c r="B83" s="3319"/>
      <c r="C83" s="3207" t="s">
        <v>5885</v>
      </c>
      <c r="D83" s="3325" t="s">
        <v>5876</v>
      </c>
      <c r="E83" s="3326"/>
      <c r="F83" s="3318">
        <v>202</v>
      </c>
      <c r="G83" s="3319"/>
      <c r="H83" s="3325" t="s">
        <v>5873</v>
      </c>
      <c r="I83" s="3326"/>
      <c r="J83" s="3316">
        <v>223.15</v>
      </c>
      <c r="K83" s="3317"/>
      <c r="L83" s="3209">
        <v>99.1</v>
      </c>
    </row>
    <row r="84" spans="1:12">
      <c r="A84" s="3318">
        <v>83</v>
      </c>
      <c r="B84" s="3319"/>
      <c r="C84" s="3207" t="s">
        <v>5885</v>
      </c>
      <c r="D84" s="3325" t="s">
        <v>5876</v>
      </c>
      <c r="E84" s="3326"/>
      <c r="F84" s="3318">
        <v>301</v>
      </c>
      <c r="G84" s="3319"/>
      <c r="H84" s="3325" t="s">
        <v>5873</v>
      </c>
      <c r="I84" s="3326"/>
      <c r="J84" s="3316">
        <v>221.84</v>
      </c>
      <c r="K84" s="3317"/>
      <c r="L84" s="3209">
        <v>98.51</v>
      </c>
    </row>
    <row r="85" spans="1:12">
      <c r="A85" s="3318">
        <v>84</v>
      </c>
      <c r="B85" s="3319"/>
      <c r="C85" s="3207" t="s">
        <v>5885</v>
      </c>
      <c r="D85" s="3325" t="s">
        <v>5876</v>
      </c>
      <c r="E85" s="3326"/>
      <c r="F85" s="3318">
        <v>302</v>
      </c>
      <c r="G85" s="3319"/>
      <c r="H85" s="3325" t="s">
        <v>5873</v>
      </c>
      <c r="I85" s="3326"/>
      <c r="J85" s="3316">
        <v>223.15</v>
      </c>
      <c r="K85" s="3317"/>
      <c r="L85" s="3209">
        <v>99.1</v>
      </c>
    </row>
    <row r="86" spans="1:12">
      <c r="A86" s="3318">
        <v>85</v>
      </c>
      <c r="B86" s="3319"/>
      <c r="C86" s="3207" t="s">
        <v>5885</v>
      </c>
      <c r="D86" s="3325" t="s">
        <v>5876</v>
      </c>
      <c r="E86" s="3326"/>
      <c r="F86" s="3318">
        <v>402</v>
      </c>
      <c r="G86" s="3319"/>
      <c r="H86" s="3325" t="s">
        <v>5873</v>
      </c>
      <c r="I86" s="3326"/>
      <c r="J86" s="3316">
        <v>223.15</v>
      </c>
      <c r="K86" s="3317"/>
      <c r="L86" s="3209">
        <v>99.1</v>
      </c>
    </row>
    <row r="87" spans="1:12">
      <c r="A87" s="3318">
        <v>86</v>
      </c>
      <c r="B87" s="3319"/>
      <c r="C87" s="3207" t="s">
        <v>5885</v>
      </c>
      <c r="D87" s="3325" t="s">
        <v>5876</v>
      </c>
      <c r="E87" s="3326"/>
      <c r="F87" s="3318">
        <v>401</v>
      </c>
      <c r="G87" s="3319"/>
      <c r="H87" s="3325" t="s">
        <v>5873</v>
      </c>
      <c r="I87" s="3326"/>
      <c r="J87" s="3316">
        <v>221.84</v>
      </c>
      <c r="K87" s="3317"/>
      <c r="L87" s="3209">
        <v>98.51</v>
      </c>
    </row>
    <row r="88" spans="1:12">
      <c r="A88" s="3318">
        <v>87</v>
      </c>
      <c r="B88" s="3319"/>
      <c r="C88" s="3207" t="s">
        <v>5886</v>
      </c>
      <c r="D88" s="3325" t="s">
        <v>5872</v>
      </c>
      <c r="E88" s="3326"/>
      <c r="F88" s="3318">
        <v>101</v>
      </c>
      <c r="G88" s="3319"/>
      <c r="H88" s="3325" t="s">
        <v>5873</v>
      </c>
      <c r="I88" s="3326"/>
      <c r="J88" s="3316">
        <v>272.99</v>
      </c>
      <c r="K88" s="3317"/>
      <c r="L88" s="3209">
        <v>121.23</v>
      </c>
    </row>
    <row r="89" spans="1:12">
      <c r="A89" s="3318">
        <v>88</v>
      </c>
      <c r="B89" s="3319"/>
      <c r="C89" s="3207" t="s">
        <v>5886</v>
      </c>
      <c r="D89" s="3325" t="s">
        <v>5872</v>
      </c>
      <c r="E89" s="3326"/>
      <c r="F89" s="3318">
        <v>102</v>
      </c>
      <c r="G89" s="3319"/>
      <c r="H89" s="3325" t="s">
        <v>5873</v>
      </c>
      <c r="I89" s="3326"/>
      <c r="J89" s="3316">
        <v>271.81</v>
      </c>
      <c r="K89" s="3317"/>
      <c r="L89" s="3209">
        <v>120.71</v>
      </c>
    </row>
    <row r="90" spans="1:12">
      <c r="A90" s="3318">
        <v>89</v>
      </c>
      <c r="B90" s="3319"/>
      <c r="C90" s="3207" t="s">
        <v>5886</v>
      </c>
      <c r="D90" s="3325" t="s">
        <v>5872</v>
      </c>
      <c r="E90" s="3326"/>
      <c r="F90" s="3318">
        <v>201</v>
      </c>
      <c r="G90" s="3319"/>
      <c r="H90" s="3325" t="s">
        <v>5873</v>
      </c>
      <c r="I90" s="3326"/>
      <c r="J90" s="3316">
        <v>273.05</v>
      </c>
      <c r="K90" s="3317"/>
      <c r="L90" s="3209">
        <v>121.26</v>
      </c>
    </row>
    <row r="91" spans="1:12">
      <c r="A91" s="3318">
        <v>90</v>
      </c>
      <c r="B91" s="3319"/>
      <c r="C91" s="3207" t="s">
        <v>5886</v>
      </c>
      <c r="D91" s="3325" t="s">
        <v>5872</v>
      </c>
      <c r="E91" s="3326"/>
      <c r="F91" s="3318">
        <v>202</v>
      </c>
      <c r="G91" s="3319"/>
      <c r="H91" s="3325" t="s">
        <v>5873</v>
      </c>
      <c r="I91" s="3326"/>
      <c r="J91" s="3316">
        <v>271.88</v>
      </c>
      <c r="K91" s="3317"/>
      <c r="L91" s="3209">
        <v>120.74</v>
      </c>
    </row>
    <row r="92" spans="1:12">
      <c r="A92" s="3318">
        <v>91</v>
      </c>
      <c r="B92" s="3319"/>
      <c r="C92" s="3207" t="s">
        <v>5886</v>
      </c>
      <c r="D92" s="3325" t="s">
        <v>5872</v>
      </c>
      <c r="E92" s="3326"/>
      <c r="F92" s="3318">
        <v>301</v>
      </c>
      <c r="G92" s="3319"/>
      <c r="H92" s="3325" t="s">
        <v>5873</v>
      </c>
      <c r="I92" s="3326"/>
      <c r="J92" s="3316">
        <v>273.05</v>
      </c>
      <c r="K92" s="3317"/>
      <c r="L92" s="3209">
        <v>121.26</v>
      </c>
    </row>
    <row r="93" spans="1:12">
      <c r="A93" s="3318">
        <v>92</v>
      </c>
      <c r="B93" s="3319"/>
      <c r="C93" s="3207" t="s">
        <v>5886</v>
      </c>
      <c r="D93" s="3325" t="s">
        <v>5872</v>
      </c>
      <c r="E93" s="3326"/>
      <c r="F93" s="3318">
        <v>302</v>
      </c>
      <c r="G93" s="3319"/>
      <c r="H93" s="3325" t="s">
        <v>5873</v>
      </c>
      <c r="I93" s="3326"/>
      <c r="J93" s="3316">
        <v>271.88</v>
      </c>
      <c r="K93" s="3317"/>
      <c r="L93" s="3209">
        <v>120.74</v>
      </c>
    </row>
    <row r="94" spans="1:12">
      <c r="A94" s="3318">
        <v>93</v>
      </c>
      <c r="B94" s="3319"/>
      <c r="C94" s="3207" t="s">
        <v>5886</v>
      </c>
      <c r="D94" s="3325" t="s">
        <v>5872</v>
      </c>
      <c r="E94" s="3326"/>
      <c r="F94" s="3318">
        <v>402</v>
      </c>
      <c r="G94" s="3319"/>
      <c r="H94" s="3325" t="s">
        <v>5873</v>
      </c>
      <c r="I94" s="3326"/>
      <c r="J94" s="3316">
        <v>271.88</v>
      </c>
      <c r="K94" s="3317"/>
      <c r="L94" s="3209">
        <v>120.74</v>
      </c>
    </row>
    <row r="95" spans="1:12">
      <c r="A95" s="3318">
        <v>94</v>
      </c>
      <c r="B95" s="3319"/>
      <c r="C95" s="3207" t="s">
        <v>5886</v>
      </c>
      <c r="D95" s="3325" t="s">
        <v>5874</v>
      </c>
      <c r="E95" s="3326"/>
      <c r="F95" s="3318">
        <v>101</v>
      </c>
      <c r="G95" s="3319"/>
      <c r="H95" s="3325" t="s">
        <v>5873</v>
      </c>
      <c r="I95" s="3326"/>
      <c r="J95" s="3316">
        <v>271.81</v>
      </c>
      <c r="K95" s="3317"/>
      <c r="L95" s="3209">
        <v>120.71</v>
      </c>
    </row>
    <row r="96" spans="1:12">
      <c r="A96" s="3318">
        <v>95</v>
      </c>
      <c r="B96" s="3319"/>
      <c r="C96" s="3207" t="s">
        <v>5886</v>
      </c>
      <c r="D96" s="3325" t="s">
        <v>5874</v>
      </c>
      <c r="E96" s="3326"/>
      <c r="F96" s="3318">
        <v>102</v>
      </c>
      <c r="G96" s="3319"/>
      <c r="H96" s="3325" t="s">
        <v>5873</v>
      </c>
      <c r="I96" s="3326"/>
      <c r="J96" s="3316">
        <v>272.99</v>
      </c>
      <c r="K96" s="3317"/>
      <c r="L96" s="3209">
        <v>121.23</v>
      </c>
    </row>
    <row r="97" spans="1:12">
      <c r="A97" s="3318">
        <v>96</v>
      </c>
      <c r="B97" s="3319"/>
      <c r="C97" s="3207" t="s">
        <v>5886</v>
      </c>
      <c r="D97" s="3325" t="s">
        <v>5874</v>
      </c>
      <c r="E97" s="3326"/>
      <c r="F97" s="3318">
        <v>201</v>
      </c>
      <c r="G97" s="3319"/>
      <c r="H97" s="3325" t="s">
        <v>5873</v>
      </c>
      <c r="I97" s="3326"/>
      <c r="J97" s="3316">
        <v>271.88</v>
      </c>
      <c r="K97" s="3317"/>
      <c r="L97" s="3209">
        <v>120.74</v>
      </c>
    </row>
    <row r="98" spans="1:12">
      <c r="A98" s="3318">
        <v>97</v>
      </c>
      <c r="B98" s="3319"/>
      <c r="C98" s="3207" t="s">
        <v>5886</v>
      </c>
      <c r="D98" s="3325" t="s">
        <v>5874</v>
      </c>
      <c r="E98" s="3326"/>
      <c r="F98" s="3318">
        <v>301</v>
      </c>
      <c r="G98" s="3319"/>
      <c r="H98" s="3325" t="s">
        <v>5873</v>
      </c>
      <c r="I98" s="3326"/>
      <c r="J98" s="3316">
        <v>271.88</v>
      </c>
      <c r="K98" s="3317"/>
      <c r="L98" s="3209">
        <v>120.74</v>
      </c>
    </row>
    <row r="99" spans="1:12">
      <c r="A99" s="3318">
        <v>98</v>
      </c>
      <c r="B99" s="3319"/>
      <c r="C99" s="3207" t="s">
        <v>5886</v>
      </c>
      <c r="D99" s="3325" t="s">
        <v>5874</v>
      </c>
      <c r="E99" s="3326"/>
      <c r="F99" s="3318">
        <v>401</v>
      </c>
      <c r="G99" s="3319"/>
      <c r="H99" s="3325" t="s">
        <v>5873</v>
      </c>
      <c r="I99" s="3326"/>
      <c r="J99" s="3316">
        <v>271.88</v>
      </c>
      <c r="K99" s="3317"/>
      <c r="L99" s="3209">
        <v>120.74</v>
      </c>
    </row>
    <row r="100" spans="1:12">
      <c r="A100" s="3318">
        <v>99</v>
      </c>
      <c r="B100" s="3319"/>
      <c r="C100" s="3207" t="s">
        <v>5910</v>
      </c>
      <c r="D100" s="3327"/>
      <c r="E100" s="3328"/>
      <c r="F100" s="3318">
        <v>302</v>
      </c>
      <c r="G100" s="3319"/>
      <c r="H100" s="3325" t="s">
        <v>5873</v>
      </c>
      <c r="I100" s="3326"/>
      <c r="J100" s="3316">
        <v>230.81</v>
      </c>
      <c r="K100" s="3317"/>
      <c r="L100" s="3209">
        <v>102.5</v>
      </c>
    </row>
    <row r="101" spans="1:12">
      <c r="A101" s="3318">
        <v>100</v>
      </c>
      <c r="B101" s="3319"/>
      <c r="C101" s="3207" t="s">
        <v>5912</v>
      </c>
      <c r="D101" s="3327"/>
      <c r="E101" s="3328"/>
      <c r="F101" s="3318">
        <v>102</v>
      </c>
      <c r="G101" s="3319"/>
      <c r="H101" s="3325" t="s">
        <v>5873</v>
      </c>
      <c r="I101" s="3326"/>
      <c r="J101" s="3316">
        <v>272.83</v>
      </c>
      <c r="K101" s="3317"/>
      <c r="L101" s="3209">
        <v>121.16</v>
      </c>
    </row>
    <row r="102" spans="1:12">
      <c r="A102" s="3318">
        <v>101</v>
      </c>
      <c r="B102" s="3319"/>
      <c r="C102" s="3207" t="s">
        <v>5887</v>
      </c>
      <c r="D102" s="3325" t="s">
        <v>5872</v>
      </c>
      <c r="E102" s="3326"/>
      <c r="F102" s="3318">
        <v>101</v>
      </c>
      <c r="G102" s="3319"/>
      <c r="H102" s="3325" t="s">
        <v>5873</v>
      </c>
      <c r="I102" s="3326"/>
      <c r="J102" s="3316">
        <v>272.91000000000003</v>
      </c>
      <c r="K102" s="3317"/>
      <c r="L102" s="3209">
        <v>121.19</v>
      </c>
    </row>
    <row r="103" spans="1:12">
      <c r="A103" s="3318">
        <v>102</v>
      </c>
      <c r="B103" s="3319"/>
      <c r="C103" s="3207" t="s">
        <v>5887</v>
      </c>
      <c r="D103" s="3325" t="s">
        <v>5872</v>
      </c>
      <c r="E103" s="3326"/>
      <c r="F103" s="3318">
        <v>102</v>
      </c>
      <c r="G103" s="3319"/>
      <c r="H103" s="3325" t="s">
        <v>5873</v>
      </c>
      <c r="I103" s="3326"/>
      <c r="J103" s="3316">
        <v>271.69</v>
      </c>
      <c r="K103" s="3317"/>
      <c r="L103" s="3209">
        <v>120.65</v>
      </c>
    </row>
    <row r="104" spans="1:12">
      <c r="A104" s="3318">
        <v>103</v>
      </c>
      <c r="B104" s="3319"/>
      <c r="C104" s="3207" t="s">
        <v>5887</v>
      </c>
      <c r="D104" s="3325" t="s">
        <v>5872</v>
      </c>
      <c r="E104" s="3326"/>
      <c r="F104" s="3318">
        <v>201</v>
      </c>
      <c r="G104" s="3319"/>
      <c r="H104" s="3325" t="s">
        <v>5873</v>
      </c>
      <c r="I104" s="3326"/>
      <c r="J104" s="3316">
        <v>272.97000000000003</v>
      </c>
      <c r="K104" s="3317"/>
      <c r="L104" s="3209">
        <v>121.22</v>
      </c>
    </row>
    <row r="105" spans="1:12">
      <c r="A105" s="3318">
        <v>104</v>
      </c>
      <c r="B105" s="3319"/>
      <c r="C105" s="3207" t="s">
        <v>5887</v>
      </c>
      <c r="D105" s="3325" t="s">
        <v>5872</v>
      </c>
      <c r="E105" s="3326"/>
      <c r="F105" s="3318">
        <v>202</v>
      </c>
      <c r="G105" s="3319"/>
      <c r="H105" s="3325" t="s">
        <v>5873</v>
      </c>
      <c r="I105" s="3326"/>
      <c r="J105" s="3316">
        <v>271.75</v>
      </c>
      <c r="K105" s="3317"/>
      <c r="L105" s="3209">
        <v>120.68</v>
      </c>
    </row>
    <row r="106" spans="1:12">
      <c r="A106" s="3318">
        <v>105</v>
      </c>
      <c r="B106" s="3319"/>
      <c r="C106" s="3207" t="s">
        <v>5887</v>
      </c>
      <c r="D106" s="3325" t="s">
        <v>5872</v>
      </c>
      <c r="E106" s="3326"/>
      <c r="F106" s="3318">
        <v>301</v>
      </c>
      <c r="G106" s="3319"/>
      <c r="H106" s="3325" t="s">
        <v>5873</v>
      </c>
      <c r="I106" s="3326"/>
      <c r="J106" s="3316">
        <v>272.97000000000003</v>
      </c>
      <c r="K106" s="3317"/>
      <c r="L106" s="3209">
        <v>121.22</v>
      </c>
    </row>
    <row r="107" spans="1:12">
      <c r="A107" s="3318">
        <v>106</v>
      </c>
      <c r="B107" s="3319"/>
      <c r="C107" s="3207" t="s">
        <v>5887</v>
      </c>
      <c r="D107" s="3325" t="s">
        <v>5872</v>
      </c>
      <c r="E107" s="3326"/>
      <c r="F107" s="3318">
        <v>401</v>
      </c>
      <c r="G107" s="3319"/>
      <c r="H107" s="3325" t="s">
        <v>5873</v>
      </c>
      <c r="I107" s="3326"/>
      <c r="J107" s="3316">
        <v>272.97000000000003</v>
      </c>
      <c r="K107" s="3317"/>
      <c r="L107" s="3209">
        <v>121.22</v>
      </c>
    </row>
    <row r="108" spans="1:12">
      <c r="A108" s="3318">
        <v>107</v>
      </c>
      <c r="B108" s="3319"/>
      <c r="C108" s="3207" t="s">
        <v>5887</v>
      </c>
      <c r="D108" s="3325" t="s">
        <v>5874</v>
      </c>
      <c r="E108" s="3326"/>
      <c r="F108" s="3318">
        <v>101</v>
      </c>
      <c r="G108" s="3319"/>
      <c r="H108" s="3325" t="s">
        <v>5873</v>
      </c>
      <c r="I108" s="3326"/>
      <c r="J108" s="3316">
        <v>271.69</v>
      </c>
      <c r="K108" s="3317"/>
      <c r="L108" s="3209">
        <v>120.65</v>
      </c>
    </row>
    <row r="109" spans="1:12">
      <c r="A109" s="3318">
        <v>108</v>
      </c>
      <c r="B109" s="3319"/>
      <c r="C109" s="3207" t="s">
        <v>5887</v>
      </c>
      <c r="D109" s="3325" t="s">
        <v>5874</v>
      </c>
      <c r="E109" s="3326"/>
      <c r="F109" s="3318">
        <v>102</v>
      </c>
      <c r="G109" s="3319"/>
      <c r="H109" s="3325" t="s">
        <v>5873</v>
      </c>
      <c r="I109" s="3326"/>
      <c r="J109" s="3316">
        <v>272.86</v>
      </c>
      <c r="K109" s="3317"/>
      <c r="L109" s="3209">
        <v>121.17</v>
      </c>
    </row>
    <row r="110" spans="1:12">
      <c r="A110" s="3318">
        <v>109</v>
      </c>
      <c r="B110" s="3319"/>
      <c r="C110" s="3207" t="s">
        <v>5887</v>
      </c>
      <c r="D110" s="3325" t="s">
        <v>5874</v>
      </c>
      <c r="E110" s="3326"/>
      <c r="F110" s="3318">
        <v>202</v>
      </c>
      <c r="G110" s="3319"/>
      <c r="H110" s="3325" t="s">
        <v>5873</v>
      </c>
      <c r="I110" s="3326"/>
      <c r="J110" s="3316">
        <v>272.92</v>
      </c>
      <c r="K110" s="3317"/>
      <c r="L110" s="3209">
        <v>121.2</v>
      </c>
    </row>
    <row r="111" spans="1:12">
      <c r="A111" s="3318">
        <v>110</v>
      </c>
      <c r="B111" s="3319"/>
      <c r="C111" s="3207" t="s">
        <v>5888</v>
      </c>
      <c r="D111" s="3325" t="s">
        <v>5874</v>
      </c>
      <c r="E111" s="3326"/>
      <c r="F111" s="3318">
        <v>101</v>
      </c>
      <c r="G111" s="3319"/>
      <c r="H111" s="3325" t="s">
        <v>5873</v>
      </c>
      <c r="I111" s="3326"/>
      <c r="J111" s="3316">
        <v>168.06</v>
      </c>
      <c r="K111" s="3317"/>
      <c r="L111" s="3209">
        <v>74.63</v>
      </c>
    </row>
    <row r="112" spans="1:12">
      <c r="A112" s="3318">
        <v>111</v>
      </c>
      <c r="B112" s="3319"/>
      <c r="C112" s="3207" t="s">
        <v>5888</v>
      </c>
      <c r="D112" s="3325" t="s">
        <v>5876</v>
      </c>
      <c r="E112" s="3326"/>
      <c r="F112" s="3318">
        <v>101</v>
      </c>
      <c r="G112" s="3319"/>
      <c r="H112" s="3325" t="s">
        <v>5873</v>
      </c>
      <c r="I112" s="3326"/>
      <c r="J112" s="3316">
        <v>168.06</v>
      </c>
      <c r="K112" s="3317"/>
      <c r="L112" s="3209">
        <v>74.63</v>
      </c>
    </row>
    <row r="113" spans="1:12">
      <c r="A113" s="3318">
        <v>112</v>
      </c>
      <c r="B113" s="3319"/>
      <c r="C113" s="3207" t="s">
        <v>5888</v>
      </c>
      <c r="D113" s="3325" t="s">
        <v>5876</v>
      </c>
      <c r="E113" s="3326"/>
      <c r="F113" s="3318">
        <v>102</v>
      </c>
      <c r="G113" s="3319"/>
      <c r="H113" s="3325" t="s">
        <v>5873</v>
      </c>
      <c r="I113" s="3326"/>
      <c r="J113" s="3320">
        <v>192.5</v>
      </c>
      <c r="K113" s="3321"/>
      <c r="L113" s="3209">
        <v>85.49</v>
      </c>
    </row>
    <row r="114" spans="1:12">
      <c r="A114" s="3318">
        <v>113</v>
      </c>
      <c r="B114" s="3319"/>
      <c r="C114" s="3207" t="s">
        <v>5888</v>
      </c>
      <c r="D114" s="3325" t="s">
        <v>5876</v>
      </c>
      <c r="E114" s="3326"/>
      <c r="F114" s="3318">
        <v>202</v>
      </c>
      <c r="G114" s="3319"/>
      <c r="H114" s="3325" t="s">
        <v>5873</v>
      </c>
      <c r="I114" s="3326"/>
      <c r="J114" s="3316">
        <v>192.53</v>
      </c>
      <c r="K114" s="3317"/>
      <c r="L114" s="3209">
        <v>85.5</v>
      </c>
    </row>
    <row r="115" spans="1:12">
      <c r="A115" s="3318">
        <v>114</v>
      </c>
      <c r="B115" s="3319"/>
      <c r="C115" s="3207" t="s">
        <v>5889</v>
      </c>
      <c r="D115" s="3325" t="s">
        <v>5872</v>
      </c>
      <c r="E115" s="3326"/>
      <c r="F115" s="3318">
        <v>101</v>
      </c>
      <c r="G115" s="3319"/>
      <c r="H115" s="3325" t="s">
        <v>5873</v>
      </c>
      <c r="I115" s="3326"/>
      <c r="J115" s="3316">
        <v>272.91000000000003</v>
      </c>
      <c r="K115" s="3317"/>
      <c r="L115" s="3209">
        <v>121.19</v>
      </c>
    </row>
    <row r="116" spans="1:12">
      <c r="A116" s="3318">
        <v>115</v>
      </c>
      <c r="B116" s="3319"/>
      <c r="C116" s="3207" t="s">
        <v>5889</v>
      </c>
      <c r="D116" s="3325" t="s">
        <v>5872</v>
      </c>
      <c r="E116" s="3326"/>
      <c r="F116" s="3318">
        <v>102</v>
      </c>
      <c r="G116" s="3319"/>
      <c r="H116" s="3325" t="s">
        <v>5873</v>
      </c>
      <c r="I116" s="3326"/>
      <c r="J116" s="3316">
        <v>271.73</v>
      </c>
      <c r="K116" s="3317"/>
      <c r="L116" s="3209">
        <v>120.67</v>
      </c>
    </row>
    <row r="117" spans="1:12">
      <c r="A117" s="3318">
        <v>116</v>
      </c>
      <c r="B117" s="3319"/>
      <c r="C117" s="3207" t="s">
        <v>5889</v>
      </c>
      <c r="D117" s="3325" t="s">
        <v>5872</v>
      </c>
      <c r="E117" s="3326"/>
      <c r="F117" s="3318">
        <v>202</v>
      </c>
      <c r="G117" s="3319"/>
      <c r="H117" s="3325" t="s">
        <v>5873</v>
      </c>
      <c r="I117" s="3326"/>
      <c r="J117" s="3320">
        <v>271.8</v>
      </c>
      <c r="K117" s="3321"/>
      <c r="L117" s="3209">
        <v>120.7</v>
      </c>
    </row>
    <row r="118" spans="1:12">
      <c r="A118" s="3318">
        <v>117</v>
      </c>
      <c r="B118" s="3319"/>
      <c r="C118" s="3207" t="s">
        <v>5889</v>
      </c>
      <c r="D118" s="3325" t="s">
        <v>5872</v>
      </c>
      <c r="E118" s="3326"/>
      <c r="F118" s="3318">
        <v>402</v>
      </c>
      <c r="G118" s="3319"/>
      <c r="H118" s="3325" t="s">
        <v>5873</v>
      </c>
      <c r="I118" s="3326"/>
      <c r="J118" s="3320">
        <v>271.8</v>
      </c>
      <c r="K118" s="3321"/>
      <c r="L118" s="3209">
        <v>120.7</v>
      </c>
    </row>
    <row r="119" spans="1:12">
      <c r="A119" s="3318">
        <v>118</v>
      </c>
      <c r="B119" s="3319"/>
      <c r="C119" s="3207" t="s">
        <v>5889</v>
      </c>
      <c r="D119" s="3325" t="s">
        <v>5874</v>
      </c>
      <c r="E119" s="3326"/>
      <c r="F119" s="3318">
        <v>101</v>
      </c>
      <c r="G119" s="3319"/>
      <c r="H119" s="3325" t="s">
        <v>5873</v>
      </c>
      <c r="I119" s="3326"/>
      <c r="J119" s="3316">
        <v>271.73</v>
      </c>
      <c r="K119" s="3317"/>
      <c r="L119" s="3209">
        <v>120.67</v>
      </c>
    </row>
    <row r="120" spans="1:12">
      <c r="A120" s="3318">
        <v>119</v>
      </c>
      <c r="B120" s="3319"/>
      <c r="C120" s="3207" t="s">
        <v>5889</v>
      </c>
      <c r="D120" s="3325" t="s">
        <v>5874</v>
      </c>
      <c r="E120" s="3326"/>
      <c r="F120" s="3318">
        <v>201</v>
      </c>
      <c r="G120" s="3319"/>
      <c r="H120" s="3325" t="s">
        <v>5873</v>
      </c>
      <c r="I120" s="3326"/>
      <c r="J120" s="3320">
        <v>271.8</v>
      </c>
      <c r="K120" s="3321"/>
      <c r="L120" s="3209">
        <v>120.7</v>
      </c>
    </row>
    <row r="121" spans="1:12">
      <c r="A121" s="3318">
        <v>120</v>
      </c>
      <c r="B121" s="3319"/>
      <c r="C121" s="3207" t="s">
        <v>5890</v>
      </c>
      <c r="D121" s="3325" t="s">
        <v>5872</v>
      </c>
      <c r="E121" s="3326"/>
      <c r="F121" s="3318">
        <v>102</v>
      </c>
      <c r="G121" s="3319"/>
      <c r="H121" s="3325" t="s">
        <v>5873</v>
      </c>
      <c r="I121" s="3326"/>
      <c r="J121" s="3316">
        <v>210.91</v>
      </c>
      <c r="K121" s="3317"/>
      <c r="L121" s="3209">
        <v>93.66</v>
      </c>
    </row>
    <row r="122" spans="1:12">
      <c r="A122" s="3318">
        <v>121</v>
      </c>
      <c r="B122" s="3319"/>
      <c r="C122" s="3207" t="s">
        <v>5890</v>
      </c>
      <c r="D122" s="3325" t="s">
        <v>5874</v>
      </c>
      <c r="E122" s="3326"/>
      <c r="F122" s="3318">
        <v>101</v>
      </c>
      <c r="G122" s="3319"/>
      <c r="H122" s="3325" t="s">
        <v>5873</v>
      </c>
      <c r="I122" s="3326"/>
      <c r="J122" s="3316">
        <v>210.91</v>
      </c>
      <c r="K122" s="3317"/>
      <c r="L122" s="3209">
        <v>93.66</v>
      </c>
    </row>
    <row r="123" spans="1:12">
      <c r="A123" s="3318">
        <v>122</v>
      </c>
      <c r="B123" s="3319"/>
      <c r="C123" s="3207" t="s">
        <v>5890</v>
      </c>
      <c r="D123" s="3325" t="s">
        <v>5874</v>
      </c>
      <c r="E123" s="3326"/>
      <c r="F123" s="3318">
        <v>202</v>
      </c>
      <c r="G123" s="3319"/>
      <c r="H123" s="3325" t="s">
        <v>5873</v>
      </c>
      <c r="I123" s="3326"/>
      <c r="J123" s="3316">
        <v>230.81</v>
      </c>
      <c r="K123" s="3317"/>
      <c r="L123" s="3209">
        <v>102.5</v>
      </c>
    </row>
    <row r="124" spans="1:12">
      <c r="A124" s="3318">
        <v>123</v>
      </c>
      <c r="B124" s="3319"/>
      <c r="C124" s="3207" t="s">
        <v>5890</v>
      </c>
      <c r="D124" s="3325" t="s">
        <v>5874</v>
      </c>
      <c r="E124" s="3326"/>
      <c r="F124" s="3318">
        <v>302</v>
      </c>
      <c r="G124" s="3319"/>
      <c r="H124" s="3325" t="s">
        <v>5873</v>
      </c>
      <c r="I124" s="3326"/>
      <c r="J124" s="3316">
        <v>230.81</v>
      </c>
      <c r="K124" s="3317"/>
      <c r="L124" s="3209">
        <v>102.5</v>
      </c>
    </row>
    <row r="125" spans="1:12">
      <c r="A125" s="3318">
        <v>124</v>
      </c>
      <c r="B125" s="3319"/>
      <c r="C125" s="3207" t="s">
        <v>5891</v>
      </c>
      <c r="D125" s="3325" t="s">
        <v>5872</v>
      </c>
      <c r="E125" s="3326"/>
      <c r="F125" s="3318">
        <v>102</v>
      </c>
      <c r="G125" s="3319"/>
      <c r="H125" s="3325" t="s">
        <v>5873</v>
      </c>
      <c r="I125" s="3326"/>
      <c r="J125" s="3316">
        <v>210.96</v>
      </c>
      <c r="K125" s="3317"/>
      <c r="L125" s="3209">
        <v>93.68</v>
      </c>
    </row>
    <row r="126" spans="1:12">
      <c r="A126" s="3318">
        <v>125</v>
      </c>
      <c r="B126" s="3319"/>
      <c r="C126" s="3207" t="s">
        <v>5892</v>
      </c>
      <c r="D126" s="3325" t="s">
        <v>5872</v>
      </c>
      <c r="E126" s="3326"/>
      <c r="F126" s="3318">
        <v>101</v>
      </c>
      <c r="G126" s="3319"/>
      <c r="H126" s="3325" t="s">
        <v>5873</v>
      </c>
      <c r="I126" s="3326"/>
      <c r="J126" s="3316">
        <v>272.93</v>
      </c>
      <c r="K126" s="3317"/>
      <c r="L126" s="3209">
        <v>121.2</v>
      </c>
    </row>
    <row r="127" spans="1:12">
      <c r="A127" s="3318">
        <v>126</v>
      </c>
      <c r="B127" s="3319"/>
      <c r="C127" s="3207" t="s">
        <v>5892</v>
      </c>
      <c r="D127" s="3325" t="s">
        <v>5872</v>
      </c>
      <c r="E127" s="3326"/>
      <c r="F127" s="3318">
        <v>102</v>
      </c>
      <c r="G127" s="3319"/>
      <c r="H127" s="3325" t="s">
        <v>5873</v>
      </c>
      <c r="I127" s="3326"/>
      <c r="J127" s="3316">
        <v>271.76</v>
      </c>
      <c r="K127" s="3317"/>
      <c r="L127" s="3209">
        <v>120.68</v>
      </c>
    </row>
    <row r="128" spans="1:12">
      <c r="A128" s="3318">
        <v>127</v>
      </c>
      <c r="B128" s="3319"/>
      <c r="C128" s="3207" t="s">
        <v>5892</v>
      </c>
      <c r="D128" s="3325" t="s">
        <v>5872</v>
      </c>
      <c r="E128" s="3326"/>
      <c r="F128" s="3318">
        <v>201</v>
      </c>
      <c r="G128" s="3319"/>
      <c r="H128" s="3325" t="s">
        <v>5873</v>
      </c>
      <c r="I128" s="3326"/>
      <c r="J128" s="3316">
        <v>272.99</v>
      </c>
      <c r="K128" s="3317"/>
      <c r="L128" s="3209">
        <v>121.23</v>
      </c>
    </row>
    <row r="129" spans="1:12">
      <c r="A129" s="3318">
        <v>128</v>
      </c>
      <c r="B129" s="3319"/>
      <c r="C129" s="3207" t="s">
        <v>5892</v>
      </c>
      <c r="D129" s="3325" t="s">
        <v>5872</v>
      </c>
      <c r="E129" s="3326"/>
      <c r="F129" s="3318">
        <v>202</v>
      </c>
      <c r="G129" s="3319"/>
      <c r="H129" s="3325" t="s">
        <v>5873</v>
      </c>
      <c r="I129" s="3326"/>
      <c r="J129" s="3316">
        <v>271.82</v>
      </c>
      <c r="K129" s="3317"/>
      <c r="L129" s="3209">
        <v>120.71</v>
      </c>
    </row>
    <row r="130" spans="1:12">
      <c r="A130" s="3318">
        <v>129</v>
      </c>
      <c r="B130" s="3319"/>
      <c r="C130" s="3207" t="s">
        <v>5892</v>
      </c>
      <c r="D130" s="3325" t="s">
        <v>5872</v>
      </c>
      <c r="E130" s="3326"/>
      <c r="F130" s="3318">
        <v>301</v>
      </c>
      <c r="G130" s="3319"/>
      <c r="H130" s="3325" t="s">
        <v>5873</v>
      </c>
      <c r="I130" s="3326"/>
      <c r="J130" s="3316">
        <v>272.99</v>
      </c>
      <c r="K130" s="3317"/>
      <c r="L130" s="3209">
        <v>121.23</v>
      </c>
    </row>
    <row r="131" spans="1:12">
      <c r="A131" s="3318">
        <v>130</v>
      </c>
      <c r="B131" s="3319"/>
      <c r="C131" s="3207" t="s">
        <v>5892</v>
      </c>
      <c r="D131" s="3325" t="s">
        <v>5872</v>
      </c>
      <c r="E131" s="3326"/>
      <c r="F131" s="3318">
        <v>302</v>
      </c>
      <c r="G131" s="3319"/>
      <c r="H131" s="3325" t="s">
        <v>5873</v>
      </c>
      <c r="I131" s="3326"/>
      <c r="J131" s="3316">
        <v>271.82</v>
      </c>
      <c r="K131" s="3317"/>
      <c r="L131" s="3209">
        <v>120.71</v>
      </c>
    </row>
    <row r="132" spans="1:12">
      <c r="A132" s="3318">
        <v>131</v>
      </c>
      <c r="B132" s="3319"/>
      <c r="C132" s="3207" t="s">
        <v>5892</v>
      </c>
      <c r="D132" s="3325" t="s">
        <v>5872</v>
      </c>
      <c r="E132" s="3326"/>
      <c r="F132" s="3318">
        <v>401</v>
      </c>
      <c r="G132" s="3319"/>
      <c r="H132" s="3325" t="s">
        <v>5873</v>
      </c>
      <c r="I132" s="3326"/>
      <c r="J132" s="3316">
        <v>272.99</v>
      </c>
      <c r="K132" s="3317"/>
      <c r="L132" s="3209">
        <v>121.23</v>
      </c>
    </row>
    <row r="133" spans="1:12">
      <c r="A133" s="3318">
        <v>132</v>
      </c>
      <c r="B133" s="3319"/>
      <c r="C133" s="3207" t="s">
        <v>5892</v>
      </c>
      <c r="D133" s="3325" t="s">
        <v>5872</v>
      </c>
      <c r="E133" s="3326"/>
      <c r="F133" s="3318">
        <v>402</v>
      </c>
      <c r="G133" s="3319"/>
      <c r="H133" s="3325" t="s">
        <v>5873</v>
      </c>
      <c r="I133" s="3326"/>
      <c r="J133" s="3316">
        <v>271.82</v>
      </c>
      <c r="K133" s="3317"/>
      <c r="L133" s="3209">
        <v>120.71</v>
      </c>
    </row>
    <row r="134" spans="1:12">
      <c r="A134" s="3318">
        <v>133</v>
      </c>
      <c r="B134" s="3319"/>
      <c r="C134" s="3207" t="s">
        <v>5892</v>
      </c>
      <c r="D134" s="3325" t="s">
        <v>5874</v>
      </c>
      <c r="E134" s="3326"/>
      <c r="F134" s="3318">
        <v>101</v>
      </c>
      <c r="G134" s="3319"/>
      <c r="H134" s="3325" t="s">
        <v>5873</v>
      </c>
      <c r="I134" s="3326"/>
      <c r="J134" s="3316">
        <v>271.76</v>
      </c>
      <c r="K134" s="3317"/>
      <c r="L134" s="3209">
        <v>120.68</v>
      </c>
    </row>
    <row r="135" spans="1:12">
      <c r="A135" s="3318">
        <v>134</v>
      </c>
      <c r="B135" s="3319"/>
      <c r="C135" s="3207" t="s">
        <v>5892</v>
      </c>
      <c r="D135" s="3325" t="s">
        <v>5874</v>
      </c>
      <c r="E135" s="3326"/>
      <c r="F135" s="3318">
        <v>201</v>
      </c>
      <c r="G135" s="3319"/>
      <c r="H135" s="3325" t="s">
        <v>5873</v>
      </c>
      <c r="I135" s="3326"/>
      <c r="J135" s="3316">
        <v>271.82</v>
      </c>
      <c r="K135" s="3317"/>
      <c r="L135" s="3209">
        <v>120.71</v>
      </c>
    </row>
    <row r="136" spans="1:12">
      <c r="A136" s="3318">
        <v>135</v>
      </c>
      <c r="B136" s="3319"/>
      <c r="C136" s="3207" t="s">
        <v>5893</v>
      </c>
      <c r="D136" s="3325" t="s">
        <v>5872</v>
      </c>
      <c r="E136" s="3326"/>
      <c r="F136" s="3318">
        <v>102</v>
      </c>
      <c r="G136" s="3319"/>
      <c r="H136" s="3325" t="s">
        <v>5873</v>
      </c>
      <c r="I136" s="3326"/>
      <c r="J136" s="3316">
        <v>210.97</v>
      </c>
      <c r="K136" s="3317"/>
      <c r="L136" s="3209">
        <v>93.69</v>
      </c>
    </row>
    <row r="137" spans="1:12">
      <c r="A137" s="3318">
        <v>136</v>
      </c>
      <c r="B137" s="3319"/>
      <c r="C137" s="3207" t="s">
        <v>5893</v>
      </c>
      <c r="D137" s="3325" t="s">
        <v>5872</v>
      </c>
      <c r="E137" s="3326"/>
      <c r="F137" s="3318">
        <v>201</v>
      </c>
      <c r="G137" s="3319"/>
      <c r="H137" s="3325" t="s">
        <v>5873</v>
      </c>
      <c r="I137" s="3326"/>
      <c r="J137" s="3316">
        <v>230.87</v>
      </c>
      <c r="K137" s="3317"/>
      <c r="L137" s="3209">
        <v>102.52</v>
      </c>
    </row>
    <row r="138" spans="1:12">
      <c r="A138" s="3318">
        <v>137</v>
      </c>
      <c r="B138" s="3319"/>
      <c r="C138" s="3207" t="s">
        <v>5893</v>
      </c>
      <c r="D138" s="3325" t="s">
        <v>5872</v>
      </c>
      <c r="E138" s="3326"/>
      <c r="F138" s="3318">
        <v>302</v>
      </c>
      <c r="G138" s="3319"/>
      <c r="H138" s="3325" t="s">
        <v>5873</v>
      </c>
      <c r="I138" s="3326"/>
      <c r="J138" s="3316">
        <v>221.83</v>
      </c>
      <c r="K138" s="3317"/>
      <c r="L138" s="3209">
        <v>98.51</v>
      </c>
    </row>
    <row r="139" spans="1:12">
      <c r="A139" s="3318">
        <v>138</v>
      </c>
      <c r="B139" s="3319"/>
      <c r="C139" s="3207" t="s">
        <v>5893</v>
      </c>
      <c r="D139" s="3325" t="s">
        <v>5872</v>
      </c>
      <c r="E139" s="3326"/>
      <c r="F139" s="3318">
        <v>402</v>
      </c>
      <c r="G139" s="3319"/>
      <c r="H139" s="3325" t="s">
        <v>5873</v>
      </c>
      <c r="I139" s="3326"/>
      <c r="J139" s="3316">
        <v>221.83</v>
      </c>
      <c r="K139" s="3317"/>
      <c r="L139" s="3209">
        <v>98.51</v>
      </c>
    </row>
    <row r="140" spans="1:12">
      <c r="A140" s="3318">
        <v>139</v>
      </c>
      <c r="B140" s="3319"/>
      <c r="C140" s="3207" t="s">
        <v>5893</v>
      </c>
      <c r="D140" s="3325" t="s">
        <v>5874</v>
      </c>
      <c r="E140" s="3326"/>
      <c r="F140" s="3318">
        <v>101</v>
      </c>
      <c r="G140" s="3319"/>
      <c r="H140" s="3325" t="s">
        <v>5873</v>
      </c>
      <c r="I140" s="3326"/>
      <c r="J140" s="3316">
        <v>210.97</v>
      </c>
      <c r="K140" s="3317"/>
      <c r="L140" s="3209">
        <v>93.69</v>
      </c>
    </row>
    <row r="141" spans="1:12">
      <c r="A141" s="3318">
        <v>140</v>
      </c>
      <c r="B141" s="3319"/>
      <c r="C141" s="3207" t="s">
        <v>5893</v>
      </c>
      <c r="D141" s="3325" t="s">
        <v>5874</v>
      </c>
      <c r="E141" s="3326"/>
      <c r="F141" s="3318">
        <v>102</v>
      </c>
      <c r="G141" s="3319"/>
      <c r="H141" s="3325" t="s">
        <v>5873</v>
      </c>
      <c r="I141" s="3326"/>
      <c r="J141" s="3316">
        <v>210.97</v>
      </c>
      <c r="K141" s="3317"/>
      <c r="L141" s="3209">
        <v>93.69</v>
      </c>
    </row>
    <row r="142" spans="1:12">
      <c r="A142" s="3318">
        <v>141</v>
      </c>
      <c r="B142" s="3319"/>
      <c r="C142" s="3207" t="s">
        <v>5893</v>
      </c>
      <c r="D142" s="3325" t="s">
        <v>5874</v>
      </c>
      <c r="E142" s="3326"/>
      <c r="F142" s="3318">
        <v>201</v>
      </c>
      <c r="G142" s="3319"/>
      <c r="H142" s="3325" t="s">
        <v>5873</v>
      </c>
      <c r="I142" s="3326"/>
      <c r="J142" s="3316">
        <v>221.83</v>
      </c>
      <c r="K142" s="3317"/>
      <c r="L142" s="3209">
        <v>98.51</v>
      </c>
    </row>
    <row r="143" spans="1:12">
      <c r="A143" s="3318">
        <v>142</v>
      </c>
      <c r="B143" s="3319"/>
      <c r="C143" s="3207" t="s">
        <v>5893</v>
      </c>
      <c r="D143" s="3325" t="s">
        <v>5874</v>
      </c>
      <c r="E143" s="3326"/>
      <c r="F143" s="3318">
        <v>202</v>
      </c>
      <c r="G143" s="3319"/>
      <c r="H143" s="3325" t="s">
        <v>5873</v>
      </c>
      <c r="I143" s="3326"/>
      <c r="J143" s="3316">
        <v>221.83</v>
      </c>
      <c r="K143" s="3317"/>
      <c r="L143" s="3209">
        <v>98.51</v>
      </c>
    </row>
    <row r="144" spans="1:12">
      <c r="A144" s="3318">
        <v>143</v>
      </c>
      <c r="B144" s="3319"/>
      <c r="C144" s="3207" t="s">
        <v>5893</v>
      </c>
      <c r="D144" s="3325" t="s">
        <v>5874</v>
      </c>
      <c r="E144" s="3326"/>
      <c r="F144" s="3318">
        <v>301</v>
      </c>
      <c r="G144" s="3319"/>
      <c r="H144" s="3325" t="s">
        <v>5873</v>
      </c>
      <c r="I144" s="3326"/>
      <c r="J144" s="3316">
        <v>221.83</v>
      </c>
      <c r="K144" s="3317"/>
      <c r="L144" s="3209">
        <v>98.51</v>
      </c>
    </row>
    <row r="145" spans="1:12">
      <c r="A145" s="3318">
        <v>144</v>
      </c>
      <c r="B145" s="3319"/>
      <c r="C145" s="3207" t="s">
        <v>5893</v>
      </c>
      <c r="D145" s="3325" t="s">
        <v>5874</v>
      </c>
      <c r="E145" s="3326"/>
      <c r="F145" s="3318">
        <v>302</v>
      </c>
      <c r="G145" s="3319"/>
      <c r="H145" s="3325" t="s">
        <v>5873</v>
      </c>
      <c r="I145" s="3326"/>
      <c r="J145" s="3316">
        <v>221.83</v>
      </c>
      <c r="K145" s="3317"/>
      <c r="L145" s="3209">
        <v>98.51</v>
      </c>
    </row>
    <row r="146" spans="1:12">
      <c r="A146" s="3318">
        <v>145</v>
      </c>
      <c r="B146" s="3319"/>
      <c r="C146" s="3207" t="s">
        <v>5893</v>
      </c>
      <c r="D146" s="3325" t="s">
        <v>5874</v>
      </c>
      <c r="E146" s="3326"/>
      <c r="F146" s="3318">
        <v>401</v>
      </c>
      <c r="G146" s="3319"/>
      <c r="H146" s="3325" t="s">
        <v>5873</v>
      </c>
      <c r="I146" s="3326"/>
      <c r="J146" s="3316">
        <v>221.83</v>
      </c>
      <c r="K146" s="3317"/>
      <c r="L146" s="3209">
        <v>98.51</v>
      </c>
    </row>
    <row r="147" spans="1:12">
      <c r="A147" s="3318">
        <v>146</v>
      </c>
      <c r="B147" s="3319"/>
      <c r="C147" s="3207" t="s">
        <v>5893</v>
      </c>
      <c r="D147" s="3325" t="s">
        <v>5876</v>
      </c>
      <c r="E147" s="3326"/>
      <c r="F147" s="3318">
        <v>101</v>
      </c>
      <c r="G147" s="3319"/>
      <c r="H147" s="3325" t="s">
        <v>5873</v>
      </c>
      <c r="I147" s="3326"/>
      <c r="J147" s="3316">
        <v>210.97</v>
      </c>
      <c r="K147" s="3317"/>
      <c r="L147" s="3209">
        <v>93.69</v>
      </c>
    </row>
    <row r="148" spans="1:12">
      <c r="A148" s="3318">
        <v>147</v>
      </c>
      <c r="B148" s="3319"/>
      <c r="C148" s="3207" t="s">
        <v>5893</v>
      </c>
      <c r="D148" s="3325" t="s">
        <v>5876</v>
      </c>
      <c r="E148" s="3326"/>
      <c r="F148" s="3318">
        <v>401</v>
      </c>
      <c r="G148" s="3319"/>
      <c r="H148" s="3325" t="s">
        <v>5873</v>
      </c>
      <c r="I148" s="3326"/>
      <c r="J148" s="3316">
        <v>221.83</v>
      </c>
      <c r="K148" s="3317"/>
      <c r="L148" s="3209">
        <v>98.51</v>
      </c>
    </row>
    <row r="149" spans="1:12">
      <c r="A149" s="3318">
        <v>148</v>
      </c>
      <c r="B149" s="3319"/>
      <c r="C149" s="3207" t="s">
        <v>5894</v>
      </c>
      <c r="D149" s="3325" t="s">
        <v>5872</v>
      </c>
      <c r="E149" s="3326"/>
      <c r="F149" s="3318">
        <v>102</v>
      </c>
      <c r="G149" s="3319"/>
      <c r="H149" s="3325" t="s">
        <v>5873</v>
      </c>
      <c r="I149" s="3326"/>
      <c r="J149" s="3316">
        <v>210.99</v>
      </c>
      <c r="K149" s="3317"/>
      <c r="L149" s="3209">
        <v>93.7</v>
      </c>
    </row>
    <row r="150" spans="1:12">
      <c r="A150" s="3318">
        <v>149</v>
      </c>
      <c r="B150" s="3319"/>
      <c r="C150" s="3207" t="s">
        <v>5894</v>
      </c>
      <c r="D150" s="3325" t="s">
        <v>5872</v>
      </c>
      <c r="E150" s="3326"/>
      <c r="F150" s="3318">
        <v>201</v>
      </c>
      <c r="G150" s="3319"/>
      <c r="H150" s="3325" t="s">
        <v>5873</v>
      </c>
      <c r="I150" s="3326"/>
      <c r="J150" s="3320">
        <v>230.9</v>
      </c>
      <c r="K150" s="3321"/>
      <c r="L150" s="3209">
        <v>102.54</v>
      </c>
    </row>
    <row r="151" spans="1:12">
      <c r="A151" s="3318">
        <v>150</v>
      </c>
      <c r="B151" s="3319"/>
      <c r="C151" s="3207" t="s">
        <v>5894</v>
      </c>
      <c r="D151" s="3325" t="s">
        <v>5872</v>
      </c>
      <c r="E151" s="3326"/>
      <c r="F151" s="3318">
        <v>302</v>
      </c>
      <c r="G151" s="3319"/>
      <c r="H151" s="3325" t="s">
        <v>5873</v>
      </c>
      <c r="I151" s="3326"/>
      <c r="J151" s="3316">
        <v>221.85</v>
      </c>
      <c r="K151" s="3317"/>
      <c r="L151" s="3209">
        <v>98.52</v>
      </c>
    </row>
    <row r="152" spans="1:12">
      <c r="A152" s="3318">
        <v>151</v>
      </c>
      <c r="B152" s="3319"/>
      <c r="C152" s="3207" t="s">
        <v>5894</v>
      </c>
      <c r="D152" s="3325" t="s">
        <v>5872</v>
      </c>
      <c r="E152" s="3326"/>
      <c r="F152" s="3318">
        <v>401</v>
      </c>
      <c r="G152" s="3319"/>
      <c r="H152" s="3325" t="s">
        <v>5873</v>
      </c>
      <c r="I152" s="3326"/>
      <c r="J152" s="3320">
        <v>230.9</v>
      </c>
      <c r="K152" s="3321"/>
      <c r="L152" s="3209">
        <v>102.54</v>
      </c>
    </row>
    <row r="153" spans="1:12">
      <c r="A153" s="3318">
        <v>152</v>
      </c>
      <c r="B153" s="3319"/>
      <c r="C153" s="3207" t="s">
        <v>5894</v>
      </c>
      <c r="D153" s="3325" t="s">
        <v>5874</v>
      </c>
      <c r="E153" s="3326"/>
      <c r="F153" s="3318">
        <v>101</v>
      </c>
      <c r="G153" s="3319"/>
      <c r="H153" s="3325" t="s">
        <v>5873</v>
      </c>
      <c r="I153" s="3326"/>
      <c r="J153" s="3316">
        <v>210.99</v>
      </c>
      <c r="K153" s="3317"/>
      <c r="L153" s="3209">
        <v>93.7</v>
      </c>
    </row>
    <row r="154" spans="1:12">
      <c r="A154" s="3318">
        <v>153</v>
      </c>
      <c r="B154" s="3319"/>
      <c r="C154" s="3207" t="s">
        <v>5894</v>
      </c>
      <c r="D154" s="3325" t="s">
        <v>5874</v>
      </c>
      <c r="E154" s="3326"/>
      <c r="F154" s="3318">
        <v>102</v>
      </c>
      <c r="G154" s="3319"/>
      <c r="H154" s="3325" t="s">
        <v>5873</v>
      </c>
      <c r="I154" s="3326"/>
      <c r="J154" s="3316">
        <v>210.99</v>
      </c>
      <c r="K154" s="3317"/>
      <c r="L154" s="3209">
        <v>93.7</v>
      </c>
    </row>
    <row r="155" spans="1:12">
      <c r="A155" s="3318">
        <v>154</v>
      </c>
      <c r="B155" s="3319"/>
      <c r="C155" s="3207" t="s">
        <v>5894</v>
      </c>
      <c r="D155" s="3325" t="s">
        <v>5874</v>
      </c>
      <c r="E155" s="3326"/>
      <c r="F155" s="3318">
        <v>302</v>
      </c>
      <c r="G155" s="3319"/>
      <c r="H155" s="3325" t="s">
        <v>5873</v>
      </c>
      <c r="I155" s="3326"/>
      <c r="J155" s="3316">
        <v>221.85</v>
      </c>
      <c r="K155" s="3317"/>
      <c r="L155" s="3209">
        <v>98.52</v>
      </c>
    </row>
    <row r="156" spans="1:12">
      <c r="A156" s="3318">
        <v>155</v>
      </c>
      <c r="B156" s="3319"/>
      <c r="C156" s="3207" t="s">
        <v>5894</v>
      </c>
      <c r="D156" s="3325" t="s">
        <v>5874</v>
      </c>
      <c r="E156" s="3326"/>
      <c r="F156" s="3318">
        <v>401</v>
      </c>
      <c r="G156" s="3319"/>
      <c r="H156" s="3325" t="s">
        <v>5873</v>
      </c>
      <c r="I156" s="3326"/>
      <c r="J156" s="3316">
        <v>221.85</v>
      </c>
      <c r="K156" s="3317"/>
      <c r="L156" s="3209">
        <v>98.52</v>
      </c>
    </row>
    <row r="157" spans="1:12">
      <c r="A157" s="3318">
        <v>156</v>
      </c>
      <c r="B157" s="3319"/>
      <c r="C157" s="3207" t="s">
        <v>5894</v>
      </c>
      <c r="D157" s="3325" t="s">
        <v>5876</v>
      </c>
      <c r="E157" s="3326"/>
      <c r="F157" s="3318">
        <v>101</v>
      </c>
      <c r="G157" s="3319"/>
      <c r="H157" s="3325" t="s">
        <v>5873</v>
      </c>
      <c r="I157" s="3326"/>
      <c r="J157" s="3316">
        <v>210.99</v>
      </c>
      <c r="K157" s="3317"/>
      <c r="L157" s="3209">
        <v>93.7</v>
      </c>
    </row>
    <row r="158" spans="1:12">
      <c r="A158" s="3318">
        <v>157</v>
      </c>
      <c r="B158" s="3319"/>
      <c r="C158" s="3207" t="s">
        <v>5894</v>
      </c>
      <c r="D158" s="3325" t="s">
        <v>5876</v>
      </c>
      <c r="E158" s="3326"/>
      <c r="F158" s="3318">
        <v>201</v>
      </c>
      <c r="G158" s="3319"/>
      <c r="H158" s="3325" t="s">
        <v>5873</v>
      </c>
      <c r="I158" s="3326"/>
      <c r="J158" s="3316">
        <v>221.85</v>
      </c>
      <c r="K158" s="3317"/>
      <c r="L158" s="3209">
        <v>98.52</v>
      </c>
    </row>
    <row r="159" spans="1:12">
      <c r="A159" s="3318">
        <v>158</v>
      </c>
      <c r="B159" s="3319"/>
      <c r="C159" s="3207" t="s">
        <v>5894</v>
      </c>
      <c r="D159" s="3325" t="s">
        <v>5876</v>
      </c>
      <c r="E159" s="3326"/>
      <c r="F159" s="3318">
        <v>202</v>
      </c>
      <c r="G159" s="3319"/>
      <c r="H159" s="3325" t="s">
        <v>5873</v>
      </c>
      <c r="I159" s="3326"/>
      <c r="J159" s="3320">
        <v>230.9</v>
      </c>
      <c r="K159" s="3321"/>
      <c r="L159" s="3209">
        <v>102.54</v>
      </c>
    </row>
    <row r="160" spans="1:12">
      <c r="A160" s="3318">
        <v>159</v>
      </c>
      <c r="B160" s="3319"/>
      <c r="C160" s="3207" t="s">
        <v>5894</v>
      </c>
      <c r="D160" s="3325" t="s">
        <v>5876</v>
      </c>
      <c r="E160" s="3326"/>
      <c r="F160" s="3318">
        <v>301</v>
      </c>
      <c r="G160" s="3319"/>
      <c r="H160" s="3325" t="s">
        <v>5873</v>
      </c>
      <c r="I160" s="3326"/>
      <c r="J160" s="3316">
        <v>221.85</v>
      </c>
      <c r="K160" s="3317"/>
      <c r="L160" s="3209">
        <v>98.52</v>
      </c>
    </row>
    <row r="161" spans="1:13">
      <c r="A161" s="3318">
        <v>160</v>
      </c>
      <c r="B161" s="3319"/>
      <c r="C161" s="3207" t="s">
        <v>5895</v>
      </c>
      <c r="D161" s="3325" t="s">
        <v>5872</v>
      </c>
      <c r="E161" s="3326"/>
      <c r="F161" s="3318">
        <v>101</v>
      </c>
      <c r="G161" s="3319"/>
      <c r="H161" s="3325" t="s">
        <v>5873</v>
      </c>
      <c r="I161" s="3326"/>
      <c r="J161" s="3316">
        <v>217.74</v>
      </c>
      <c r="K161" s="3317"/>
      <c r="L161" s="3209">
        <v>96.69</v>
      </c>
    </row>
    <row r="162" spans="1:13">
      <c r="A162" s="3318">
        <v>161</v>
      </c>
      <c r="B162" s="3319"/>
      <c r="C162" s="3207" t="s">
        <v>5895</v>
      </c>
      <c r="D162" s="3325" t="s">
        <v>5872</v>
      </c>
      <c r="E162" s="3326"/>
      <c r="F162" s="3318">
        <v>102</v>
      </c>
      <c r="G162" s="3319"/>
      <c r="H162" s="3325" t="s">
        <v>5873</v>
      </c>
      <c r="I162" s="3326"/>
      <c r="J162" s="3316">
        <v>209.66</v>
      </c>
      <c r="K162" s="3317"/>
      <c r="L162" s="3209">
        <v>93.11</v>
      </c>
    </row>
    <row r="163" spans="1:13">
      <c r="A163" s="3318">
        <v>162</v>
      </c>
      <c r="B163" s="3319"/>
      <c r="C163" s="3207" t="s">
        <v>5895</v>
      </c>
      <c r="D163" s="3325" t="s">
        <v>5874</v>
      </c>
      <c r="E163" s="3326"/>
      <c r="F163" s="3318">
        <v>101</v>
      </c>
      <c r="G163" s="3319"/>
      <c r="H163" s="3325" t="s">
        <v>5873</v>
      </c>
      <c r="I163" s="3326"/>
      <c r="J163" s="3316">
        <v>209.66</v>
      </c>
      <c r="K163" s="3317"/>
      <c r="L163" s="3209">
        <v>93.11</v>
      </c>
    </row>
    <row r="164" spans="1:13">
      <c r="A164" s="3318">
        <v>163</v>
      </c>
      <c r="B164" s="3319"/>
      <c r="C164" s="3207" t="s">
        <v>5895</v>
      </c>
      <c r="D164" s="3325" t="s">
        <v>5874</v>
      </c>
      <c r="E164" s="3326"/>
      <c r="F164" s="3318">
        <v>102</v>
      </c>
      <c r="G164" s="3319"/>
      <c r="H164" s="3325" t="s">
        <v>5873</v>
      </c>
      <c r="I164" s="3326"/>
      <c r="J164" s="3316">
        <v>209.66</v>
      </c>
      <c r="K164" s="3317"/>
      <c r="L164" s="3209">
        <v>93.11</v>
      </c>
    </row>
    <row r="165" spans="1:13">
      <c r="A165" s="3318">
        <v>164</v>
      </c>
      <c r="B165" s="3319"/>
      <c r="C165" s="3207" t="s">
        <v>5896</v>
      </c>
      <c r="D165" s="3325" t="s">
        <v>5872</v>
      </c>
      <c r="E165" s="3326"/>
      <c r="F165" s="3318">
        <v>101</v>
      </c>
      <c r="G165" s="3319"/>
      <c r="H165" s="3325" t="s">
        <v>5873</v>
      </c>
      <c r="I165" s="3326"/>
      <c r="J165" s="3316">
        <v>217.75</v>
      </c>
      <c r="K165" s="3317"/>
      <c r="L165" s="3209">
        <v>96.7</v>
      </c>
    </row>
    <row r="166" spans="1:13">
      <c r="A166" s="3318">
        <v>165</v>
      </c>
      <c r="B166" s="3319"/>
      <c r="C166" s="3207" t="s">
        <v>5896</v>
      </c>
      <c r="D166" s="3325" t="s">
        <v>5872</v>
      </c>
      <c r="E166" s="3326"/>
      <c r="F166" s="3318">
        <v>201</v>
      </c>
      <c r="G166" s="3319"/>
      <c r="H166" s="3325" t="s">
        <v>5873</v>
      </c>
      <c r="I166" s="3326"/>
      <c r="J166" s="3316">
        <v>228.69</v>
      </c>
      <c r="K166" s="3317"/>
      <c r="L166" s="3209">
        <v>101.56</v>
      </c>
    </row>
    <row r="167" spans="1:13">
      <c r="A167" s="3318">
        <v>166</v>
      </c>
      <c r="B167" s="3319"/>
      <c r="C167" s="3207" t="s">
        <v>5896</v>
      </c>
      <c r="D167" s="3325" t="s">
        <v>5874</v>
      </c>
      <c r="E167" s="3326"/>
      <c r="F167" s="3318">
        <v>101</v>
      </c>
      <c r="G167" s="3319"/>
      <c r="H167" s="3325" t="s">
        <v>5873</v>
      </c>
      <c r="I167" s="3326"/>
      <c r="J167" s="3316">
        <v>209.67</v>
      </c>
      <c r="K167" s="3317"/>
      <c r="L167" s="3209">
        <v>93.11</v>
      </c>
    </row>
    <row r="168" spans="1:13">
      <c r="A168" s="3318">
        <v>167</v>
      </c>
      <c r="B168" s="3319"/>
      <c r="C168" s="3207" t="s">
        <v>5896</v>
      </c>
      <c r="D168" s="3325" t="s">
        <v>5874</v>
      </c>
      <c r="E168" s="3326"/>
      <c r="F168" s="3318">
        <v>402</v>
      </c>
      <c r="G168" s="3319"/>
      <c r="H168" s="3325" t="s">
        <v>5873</v>
      </c>
      <c r="I168" s="3326"/>
      <c r="J168" s="3316">
        <v>220.38</v>
      </c>
      <c r="K168" s="3317"/>
      <c r="L168" s="3209">
        <v>97.87</v>
      </c>
    </row>
    <row r="169" spans="1:13">
      <c r="A169" s="3318">
        <v>168</v>
      </c>
      <c r="B169" s="3319"/>
      <c r="C169" s="3207" t="s">
        <v>5896</v>
      </c>
      <c r="D169" s="3325" t="s">
        <v>5876</v>
      </c>
      <c r="E169" s="3326"/>
      <c r="F169" s="3318">
        <v>101</v>
      </c>
      <c r="G169" s="3319"/>
      <c r="H169" s="3325" t="s">
        <v>5873</v>
      </c>
      <c r="I169" s="3326"/>
      <c r="J169" s="3316">
        <v>209.67</v>
      </c>
      <c r="K169" s="3317"/>
      <c r="L169" s="3209">
        <v>93.11</v>
      </c>
    </row>
    <row r="170" spans="1:13">
      <c r="J170" s="3316">
        <f>ROUND(SUM(J2:K169),2)</f>
        <v>36124.269999999997</v>
      </c>
      <c r="K170" s="3317"/>
      <c r="L170" s="3209">
        <f>SUM(L2:L169)</f>
        <v>16042.080000000011</v>
      </c>
      <c r="M170" s="3212">
        <f>'新范围-仓储'!L435</f>
        <v>6836.8000000000011</v>
      </c>
    </row>
    <row r="171" spans="1:13">
      <c r="J171" s="3212">
        <f>J170</f>
        <v>36124.269999999997</v>
      </c>
      <c r="M171" s="3212">
        <f>'新范围-车位'!L430</f>
        <v>7134.9800000000514</v>
      </c>
    </row>
    <row r="172" spans="1:13">
      <c r="M172" s="3218">
        <f>L170+M170+M171</f>
        <v>30013.860000000062</v>
      </c>
    </row>
  </sheetData>
  <mergeCells count="846">
    <mergeCell ref="A1:B1"/>
    <mergeCell ref="D1:E1"/>
    <mergeCell ref="F1:G1"/>
    <mergeCell ref="H1:I1"/>
    <mergeCell ref="J1:K1"/>
    <mergeCell ref="A2:B2"/>
    <mergeCell ref="D2:E2"/>
    <mergeCell ref="F2:G2"/>
    <mergeCell ref="H2:I2"/>
    <mergeCell ref="J2:K2"/>
    <mergeCell ref="A3:B3"/>
    <mergeCell ref="D3:E3"/>
    <mergeCell ref="F3:G3"/>
    <mergeCell ref="H3:I3"/>
    <mergeCell ref="J3:K3"/>
    <mergeCell ref="A4:B4"/>
    <mergeCell ref="D4:E4"/>
    <mergeCell ref="F4:G4"/>
    <mergeCell ref="H4:I4"/>
    <mergeCell ref="J4:K4"/>
    <mergeCell ref="A5:B5"/>
    <mergeCell ref="D5:E5"/>
    <mergeCell ref="F5:G5"/>
    <mergeCell ref="H5:I5"/>
    <mergeCell ref="J5:K5"/>
    <mergeCell ref="A6:B6"/>
    <mergeCell ref="D6:E6"/>
    <mergeCell ref="F6:G6"/>
    <mergeCell ref="H6:I6"/>
    <mergeCell ref="J6:K6"/>
    <mergeCell ref="A7:B7"/>
    <mergeCell ref="D7:E7"/>
    <mergeCell ref="F7:G7"/>
    <mergeCell ref="H7:I7"/>
    <mergeCell ref="J7:K7"/>
    <mergeCell ref="A8:B8"/>
    <mergeCell ref="D8:E8"/>
    <mergeCell ref="F8:G8"/>
    <mergeCell ref="H8:I8"/>
    <mergeCell ref="J8:K8"/>
    <mergeCell ref="A9:B9"/>
    <mergeCell ref="D9:E9"/>
    <mergeCell ref="F9:G9"/>
    <mergeCell ref="H9:I9"/>
    <mergeCell ref="J9:K9"/>
    <mergeCell ref="A10:B10"/>
    <mergeCell ref="D10:E10"/>
    <mergeCell ref="F10:G10"/>
    <mergeCell ref="H10:I10"/>
    <mergeCell ref="J10:K10"/>
    <mergeCell ref="A11:B11"/>
    <mergeCell ref="D11:E11"/>
    <mergeCell ref="F11:G11"/>
    <mergeCell ref="H11:I11"/>
    <mergeCell ref="J11:K11"/>
    <mergeCell ref="A12:B12"/>
    <mergeCell ref="D12:E12"/>
    <mergeCell ref="F12:G12"/>
    <mergeCell ref="H12:I12"/>
    <mergeCell ref="J12:K12"/>
    <mergeCell ref="A14:B14"/>
    <mergeCell ref="D14:E14"/>
    <mergeCell ref="F14:G14"/>
    <mergeCell ref="H14:I14"/>
    <mergeCell ref="J14:K14"/>
    <mergeCell ref="A13:B13"/>
    <mergeCell ref="D13:E13"/>
    <mergeCell ref="F13:G13"/>
    <mergeCell ref="H13:I13"/>
    <mergeCell ref="J13:K13"/>
    <mergeCell ref="A15:B15"/>
    <mergeCell ref="D15:E15"/>
    <mergeCell ref="F15:G15"/>
    <mergeCell ref="H15:I15"/>
    <mergeCell ref="J15:K15"/>
    <mergeCell ref="A16:B16"/>
    <mergeCell ref="D16:E16"/>
    <mergeCell ref="F16:G16"/>
    <mergeCell ref="H16:I16"/>
    <mergeCell ref="J16:K16"/>
    <mergeCell ref="A17:B17"/>
    <mergeCell ref="D17:E17"/>
    <mergeCell ref="F17:G17"/>
    <mergeCell ref="H17:I17"/>
    <mergeCell ref="J17:K17"/>
    <mergeCell ref="A18:B18"/>
    <mergeCell ref="D18:E18"/>
    <mergeCell ref="F18:G18"/>
    <mergeCell ref="H18:I18"/>
    <mergeCell ref="J18:K18"/>
    <mergeCell ref="A19:B19"/>
    <mergeCell ref="D19:E19"/>
    <mergeCell ref="F19:G19"/>
    <mergeCell ref="H19:I19"/>
    <mergeCell ref="J19:K19"/>
    <mergeCell ref="A20:B20"/>
    <mergeCell ref="D20:E20"/>
    <mergeCell ref="F20:G20"/>
    <mergeCell ref="H20:I20"/>
    <mergeCell ref="J20:K20"/>
    <mergeCell ref="A21:B21"/>
    <mergeCell ref="D21:E21"/>
    <mergeCell ref="F21:G21"/>
    <mergeCell ref="H21:I21"/>
    <mergeCell ref="J21:K21"/>
    <mergeCell ref="A22:B22"/>
    <mergeCell ref="D22:E22"/>
    <mergeCell ref="F22:G22"/>
    <mergeCell ref="H22:I22"/>
    <mergeCell ref="J22:K22"/>
    <mergeCell ref="A26:B26"/>
    <mergeCell ref="D26:E26"/>
    <mergeCell ref="F26:G26"/>
    <mergeCell ref="H26:I26"/>
    <mergeCell ref="J26:K26"/>
    <mergeCell ref="A23:B23"/>
    <mergeCell ref="J23:K23"/>
    <mergeCell ref="A24:B24"/>
    <mergeCell ref="J24:K24"/>
    <mergeCell ref="A25:B25"/>
    <mergeCell ref="J25:K25"/>
    <mergeCell ref="D25:E25"/>
    <mergeCell ref="F25:G25"/>
    <mergeCell ref="H25:I25"/>
    <mergeCell ref="D23:E23"/>
    <mergeCell ref="F23:G23"/>
    <mergeCell ref="H23:I23"/>
    <mergeCell ref="D24:E24"/>
    <mergeCell ref="F24:G24"/>
    <mergeCell ref="H24:I24"/>
    <mergeCell ref="A29:B29"/>
    <mergeCell ref="D29:E29"/>
    <mergeCell ref="F29:G29"/>
    <mergeCell ref="H29:I29"/>
    <mergeCell ref="J29:K29"/>
    <mergeCell ref="A27:B27"/>
    <mergeCell ref="D27:E27"/>
    <mergeCell ref="F27:G27"/>
    <mergeCell ref="H27:I27"/>
    <mergeCell ref="J27:K27"/>
    <mergeCell ref="A28:B28"/>
    <mergeCell ref="D28:E28"/>
    <mergeCell ref="F28:G28"/>
    <mergeCell ref="H28:I28"/>
    <mergeCell ref="J28:K28"/>
    <mergeCell ref="A30:B30"/>
    <mergeCell ref="D30:E30"/>
    <mergeCell ref="F30:G30"/>
    <mergeCell ref="H30:I30"/>
    <mergeCell ref="J30:K30"/>
    <mergeCell ref="A31:B31"/>
    <mergeCell ref="D31:E31"/>
    <mergeCell ref="F31:G31"/>
    <mergeCell ref="H31:I31"/>
    <mergeCell ref="J31:K31"/>
    <mergeCell ref="A32:B32"/>
    <mergeCell ref="D32:E32"/>
    <mergeCell ref="F32:G32"/>
    <mergeCell ref="H32:I32"/>
    <mergeCell ref="J32:K32"/>
    <mergeCell ref="A33:B33"/>
    <mergeCell ref="D33:E33"/>
    <mergeCell ref="F33:G33"/>
    <mergeCell ref="H33:I33"/>
    <mergeCell ref="J33:K33"/>
    <mergeCell ref="A34:B34"/>
    <mergeCell ref="D34:E34"/>
    <mergeCell ref="F34:G34"/>
    <mergeCell ref="H34:I34"/>
    <mergeCell ref="J34:K34"/>
    <mergeCell ref="A35:B35"/>
    <mergeCell ref="D35:E35"/>
    <mergeCell ref="F35:G35"/>
    <mergeCell ref="H35:I35"/>
    <mergeCell ref="J35:K35"/>
    <mergeCell ref="A37:B37"/>
    <mergeCell ref="D37:E37"/>
    <mergeCell ref="F37:G37"/>
    <mergeCell ref="H37:I37"/>
    <mergeCell ref="J37:K37"/>
    <mergeCell ref="A36:B36"/>
    <mergeCell ref="D36:E36"/>
    <mergeCell ref="F36:G36"/>
    <mergeCell ref="H36:I36"/>
    <mergeCell ref="J36:K36"/>
    <mergeCell ref="A38:B38"/>
    <mergeCell ref="D38:E38"/>
    <mergeCell ref="F38:G38"/>
    <mergeCell ref="H38:I38"/>
    <mergeCell ref="J38:K38"/>
    <mergeCell ref="A39:B39"/>
    <mergeCell ref="D39:E39"/>
    <mergeCell ref="F39:G39"/>
    <mergeCell ref="H39:I39"/>
    <mergeCell ref="J39:K39"/>
    <mergeCell ref="A42:B42"/>
    <mergeCell ref="D42:E42"/>
    <mergeCell ref="F42:G42"/>
    <mergeCell ref="H42:I42"/>
    <mergeCell ref="J42:K42"/>
    <mergeCell ref="A40:B40"/>
    <mergeCell ref="D40:E40"/>
    <mergeCell ref="F40:G40"/>
    <mergeCell ref="H40:I40"/>
    <mergeCell ref="J40:K40"/>
    <mergeCell ref="A41:B41"/>
    <mergeCell ref="D41:E41"/>
    <mergeCell ref="F41:G41"/>
    <mergeCell ref="H41:I41"/>
    <mergeCell ref="J41:K41"/>
    <mergeCell ref="A43:B43"/>
    <mergeCell ref="D43:E43"/>
    <mergeCell ref="F43:G43"/>
    <mergeCell ref="H43:I43"/>
    <mergeCell ref="J43:K43"/>
    <mergeCell ref="A44:B44"/>
    <mergeCell ref="D44:E44"/>
    <mergeCell ref="F44:G44"/>
    <mergeCell ref="H44:I44"/>
    <mergeCell ref="J44:K44"/>
    <mergeCell ref="A47:B47"/>
    <mergeCell ref="D47:E47"/>
    <mergeCell ref="F47:G47"/>
    <mergeCell ref="H47:I47"/>
    <mergeCell ref="J47:K47"/>
    <mergeCell ref="A45:B45"/>
    <mergeCell ref="D45:E45"/>
    <mergeCell ref="F45:G45"/>
    <mergeCell ref="H45:I45"/>
    <mergeCell ref="J45:K45"/>
    <mergeCell ref="A46:B46"/>
    <mergeCell ref="D46:E46"/>
    <mergeCell ref="F46:G46"/>
    <mergeCell ref="H46:I46"/>
    <mergeCell ref="J46:K46"/>
    <mergeCell ref="A48:B48"/>
    <mergeCell ref="D48:E48"/>
    <mergeCell ref="F48:G48"/>
    <mergeCell ref="H48:I48"/>
    <mergeCell ref="J48:K48"/>
    <mergeCell ref="A49:B49"/>
    <mergeCell ref="D49:E49"/>
    <mergeCell ref="F49:G49"/>
    <mergeCell ref="H49:I49"/>
    <mergeCell ref="J49:K49"/>
    <mergeCell ref="A50:B50"/>
    <mergeCell ref="D50:E50"/>
    <mergeCell ref="F50:G50"/>
    <mergeCell ref="H50:I50"/>
    <mergeCell ref="J50:K50"/>
    <mergeCell ref="A51:B51"/>
    <mergeCell ref="D51:E51"/>
    <mergeCell ref="F51:G51"/>
    <mergeCell ref="H51:I51"/>
    <mergeCell ref="J51:K51"/>
    <mergeCell ref="A52:B52"/>
    <mergeCell ref="D52:E52"/>
    <mergeCell ref="F52:G52"/>
    <mergeCell ref="H52:I52"/>
    <mergeCell ref="J52:K52"/>
    <mergeCell ref="A53:B53"/>
    <mergeCell ref="D53:E53"/>
    <mergeCell ref="F53:G53"/>
    <mergeCell ref="H53:I53"/>
    <mergeCell ref="J53:K53"/>
    <mergeCell ref="A54:B54"/>
    <mergeCell ref="D54:E54"/>
    <mergeCell ref="F54:G54"/>
    <mergeCell ref="H54:I54"/>
    <mergeCell ref="J54:K54"/>
    <mergeCell ref="A55:B55"/>
    <mergeCell ref="D55:E55"/>
    <mergeCell ref="F55:G55"/>
    <mergeCell ref="H55:I55"/>
    <mergeCell ref="J55:K55"/>
    <mergeCell ref="A56:B56"/>
    <mergeCell ref="D56:E56"/>
    <mergeCell ref="F56:G56"/>
    <mergeCell ref="H56:I56"/>
    <mergeCell ref="J56:K56"/>
    <mergeCell ref="A57:B57"/>
    <mergeCell ref="D57:E57"/>
    <mergeCell ref="F57:G57"/>
    <mergeCell ref="H57:I57"/>
    <mergeCell ref="J57:K57"/>
    <mergeCell ref="A58:B58"/>
    <mergeCell ref="D58:E58"/>
    <mergeCell ref="F58:G58"/>
    <mergeCell ref="H58:I58"/>
    <mergeCell ref="J58:K58"/>
    <mergeCell ref="A59:B59"/>
    <mergeCell ref="D59:E59"/>
    <mergeCell ref="F59:G59"/>
    <mergeCell ref="H59:I59"/>
    <mergeCell ref="J59:K59"/>
    <mergeCell ref="A62:B62"/>
    <mergeCell ref="D62:E62"/>
    <mergeCell ref="F62:G62"/>
    <mergeCell ref="H62:I62"/>
    <mergeCell ref="J62:K62"/>
    <mergeCell ref="A60:B60"/>
    <mergeCell ref="D60:E60"/>
    <mergeCell ref="F60:G60"/>
    <mergeCell ref="H60:I60"/>
    <mergeCell ref="J60:K60"/>
    <mergeCell ref="A61:B61"/>
    <mergeCell ref="D61:E61"/>
    <mergeCell ref="F61:G61"/>
    <mergeCell ref="H61:I61"/>
    <mergeCell ref="J61:K61"/>
    <mergeCell ref="A63:B63"/>
    <mergeCell ref="D63:E63"/>
    <mergeCell ref="F63:G63"/>
    <mergeCell ref="H63:I63"/>
    <mergeCell ref="J63:K63"/>
    <mergeCell ref="A64:B64"/>
    <mergeCell ref="D64:E64"/>
    <mergeCell ref="F64:G64"/>
    <mergeCell ref="H64:I64"/>
    <mergeCell ref="J64:K64"/>
    <mergeCell ref="A67:B67"/>
    <mergeCell ref="D67:E67"/>
    <mergeCell ref="F67:G67"/>
    <mergeCell ref="H67:I67"/>
    <mergeCell ref="J67:K67"/>
    <mergeCell ref="A65:B65"/>
    <mergeCell ref="D65:E65"/>
    <mergeCell ref="F65:G65"/>
    <mergeCell ref="H65:I65"/>
    <mergeCell ref="J65:K65"/>
    <mergeCell ref="A66:B66"/>
    <mergeCell ref="D66:E66"/>
    <mergeCell ref="F66:G66"/>
    <mergeCell ref="H66:I66"/>
    <mergeCell ref="J66:K66"/>
    <mergeCell ref="A68:B68"/>
    <mergeCell ref="D68:E68"/>
    <mergeCell ref="F68:G68"/>
    <mergeCell ref="H68:I68"/>
    <mergeCell ref="J68:K68"/>
    <mergeCell ref="A69:B69"/>
    <mergeCell ref="D69:E69"/>
    <mergeCell ref="F69:G69"/>
    <mergeCell ref="H69:I69"/>
    <mergeCell ref="J69:K69"/>
    <mergeCell ref="A70:B70"/>
    <mergeCell ref="D70:E70"/>
    <mergeCell ref="F70:G70"/>
    <mergeCell ref="H70:I70"/>
    <mergeCell ref="J70:K70"/>
    <mergeCell ref="A71:B71"/>
    <mergeCell ref="D71:E71"/>
    <mergeCell ref="F71:G71"/>
    <mergeCell ref="H71:I71"/>
    <mergeCell ref="J71:K71"/>
    <mergeCell ref="A72:B72"/>
    <mergeCell ref="D72:E72"/>
    <mergeCell ref="F72:G72"/>
    <mergeCell ref="H72:I72"/>
    <mergeCell ref="J72:K72"/>
    <mergeCell ref="A73:B73"/>
    <mergeCell ref="D73:E73"/>
    <mergeCell ref="F73:G73"/>
    <mergeCell ref="H73:I73"/>
    <mergeCell ref="J73:K73"/>
    <mergeCell ref="A74:B74"/>
    <mergeCell ref="D74:E74"/>
    <mergeCell ref="F74:G74"/>
    <mergeCell ref="H74:I74"/>
    <mergeCell ref="J74:K74"/>
    <mergeCell ref="A75:B75"/>
    <mergeCell ref="D75:E75"/>
    <mergeCell ref="F75:G75"/>
    <mergeCell ref="H75:I75"/>
    <mergeCell ref="J75:K75"/>
    <mergeCell ref="A76:B76"/>
    <mergeCell ref="D76:E76"/>
    <mergeCell ref="F76:G76"/>
    <mergeCell ref="H76:I76"/>
    <mergeCell ref="J76:K76"/>
    <mergeCell ref="A77:B77"/>
    <mergeCell ref="D77:E77"/>
    <mergeCell ref="F77:G77"/>
    <mergeCell ref="H77:I77"/>
    <mergeCell ref="J77:K77"/>
    <mergeCell ref="A78:B78"/>
    <mergeCell ref="D78:E78"/>
    <mergeCell ref="F78:G78"/>
    <mergeCell ref="H78:I78"/>
    <mergeCell ref="J78:K78"/>
    <mergeCell ref="A79:B79"/>
    <mergeCell ref="D79:E79"/>
    <mergeCell ref="F79:G79"/>
    <mergeCell ref="H79:I79"/>
    <mergeCell ref="J79:K79"/>
    <mergeCell ref="A80:B80"/>
    <mergeCell ref="D80:E80"/>
    <mergeCell ref="F80:G80"/>
    <mergeCell ref="H80:I80"/>
    <mergeCell ref="J80:K80"/>
    <mergeCell ref="A81:B81"/>
    <mergeCell ref="D81:E81"/>
    <mergeCell ref="F81:G81"/>
    <mergeCell ref="H81:I81"/>
    <mergeCell ref="J81:K81"/>
    <mergeCell ref="A82:B82"/>
    <mergeCell ref="D82:E82"/>
    <mergeCell ref="F82:G82"/>
    <mergeCell ref="H82:I82"/>
    <mergeCell ref="J82:K82"/>
    <mergeCell ref="A83:B83"/>
    <mergeCell ref="D83:E83"/>
    <mergeCell ref="F83:G83"/>
    <mergeCell ref="H83:I83"/>
    <mergeCell ref="J83:K83"/>
    <mergeCell ref="A84:B84"/>
    <mergeCell ref="D84:E84"/>
    <mergeCell ref="F84:G84"/>
    <mergeCell ref="H84:I84"/>
    <mergeCell ref="J84:K84"/>
    <mergeCell ref="A85:B85"/>
    <mergeCell ref="D85:E85"/>
    <mergeCell ref="F85:G85"/>
    <mergeCell ref="H85:I85"/>
    <mergeCell ref="J85:K85"/>
    <mergeCell ref="A86:B86"/>
    <mergeCell ref="D86:E86"/>
    <mergeCell ref="F86:G86"/>
    <mergeCell ref="H86:I86"/>
    <mergeCell ref="J86:K86"/>
    <mergeCell ref="A87:B87"/>
    <mergeCell ref="D87:E87"/>
    <mergeCell ref="F87:G87"/>
    <mergeCell ref="H87:I87"/>
    <mergeCell ref="J87:K87"/>
    <mergeCell ref="A88:B88"/>
    <mergeCell ref="D88:E88"/>
    <mergeCell ref="F88:G88"/>
    <mergeCell ref="H88:I88"/>
    <mergeCell ref="J88:K88"/>
    <mergeCell ref="A89:B89"/>
    <mergeCell ref="D89:E89"/>
    <mergeCell ref="F89:G89"/>
    <mergeCell ref="H89:I89"/>
    <mergeCell ref="J89:K89"/>
    <mergeCell ref="A90:B90"/>
    <mergeCell ref="D90:E90"/>
    <mergeCell ref="F90:G90"/>
    <mergeCell ref="H90:I90"/>
    <mergeCell ref="J90:K90"/>
    <mergeCell ref="A91:B91"/>
    <mergeCell ref="D91:E91"/>
    <mergeCell ref="F91:G91"/>
    <mergeCell ref="H91:I91"/>
    <mergeCell ref="J91:K91"/>
    <mergeCell ref="A92:B92"/>
    <mergeCell ref="D92:E92"/>
    <mergeCell ref="F92:G92"/>
    <mergeCell ref="H92:I92"/>
    <mergeCell ref="J92:K92"/>
    <mergeCell ref="A93:B93"/>
    <mergeCell ref="D93:E93"/>
    <mergeCell ref="F93:G93"/>
    <mergeCell ref="H93:I93"/>
    <mergeCell ref="J93:K93"/>
    <mergeCell ref="A94:B94"/>
    <mergeCell ref="D94:E94"/>
    <mergeCell ref="F94:G94"/>
    <mergeCell ref="H94:I94"/>
    <mergeCell ref="J94:K94"/>
    <mergeCell ref="A95:B95"/>
    <mergeCell ref="D95:E95"/>
    <mergeCell ref="F95:G95"/>
    <mergeCell ref="H95:I95"/>
    <mergeCell ref="J95:K95"/>
    <mergeCell ref="A96:B96"/>
    <mergeCell ref="D96:E96"/>
    <mergeCell ref="F96:G96"/>
    <mergeCell ref="H96:I96"/>
    <mergeCell ref="J96:K96"/>
    <mergeCell ref="A97:B97"/>
    <mergeCell ref="D97:E97"/>
    <mergeCell ref="F97:G97"/>
    <mergeCell ref="H97:I97"/>
    <mergeCell ref="J97:K97"/>
    <mergeCell ref="A98:B98"/>
    <mergeCell ref="D98:E98"/>
    <mergeCell ref="F98:G98"/>
    <mergeCell ref="H98:I98"/>
    <mergeCell ref="J98:K98"/>
    <mergeCell ref="A99:B99"/>
    <mergeCell ref="D99:E99"/>
    <mergeCell ref="F99:G99"/>
    <mergeCell ref="H99:I99"/>
    <mergeCell ref="J99:K99"/>
    <mergeCell ref="A101:B101"/>
    <mergeCell ref="D101:E101"/>
    <mergeCell ref="F101:G101"/>
    <mergeCell ref="H101:I101"/>
    <mergeCell ref="J101:K101"/>
    <mergeCell ref="A100:B100"/>
    <mergeCell ref="D100:E100"/>
    <mergeCell ref="F100:G100"/>
    <mergeCell ref="H100:I100"/>
    <mergeCell ref="J100:K100"/>
    <mergeCell ref="A102:B102"/>
    <mergeCell ref="D102:E102"/>
    <mergeCell ref="F102:G102"/>
    <mergeCell ref="H102:I102"/>
    <mergeCell ref="J102:K102"/>
    <mergeCell ref="A103:B103"/>
    <mergeCell ref="D103:E103"/>
    <mergeCell ref="F103:G103"/>
    <mergeCell ref="H103:I103"/>
    <mergeCell ref="J103:K103"/>
    <mergeCell ref="A104:B104"/>
    <mergeCell ref="D104:E104"/>
    <mergeCell ref="F104:G104"/>
    <mergeCell ref="H104:I104"/>
    <mergeCell ref="J104:K104"/>
    <mergeCell ref="A105:B105"/>
    <mergeCell ref="D105:E105"/>
    <mergeCell ref="F105:G105"/>
    <mergeCell ref="H105:I105"/>
    <mergeCell ref="J105:K105"/>
    <mergeCell ref="A106:B106"/>
    <mergeCell ref="D106:E106"/>
    <mergeCell ref="F106:G106"/>
    <mergeCell ref="H106:I106"/>
    <mergeCell ref="J106:K106"/>
    <mergeCell ref="A107:B107"/>
    <mergeCell ref="D107:E107"/>
    <mergeCell ref="F107:G107"/>
    <mergeCell ref="H107:I107"/>
    <mergeCell ref="J107:K107"/>
    <mergeCell ref="A108:B108"/>
    <mergeCell ref="D108:E108"/>
    <mergeCell ref="F108:G108"/>
    <mergeCell ref="H108:I108"/>
    <mergeCell ref="J108:K108"/>
    <mergeCell ref="A109:B109"/>
    <mergeCell ref="D109:E109"/>
    <mergeCell ref="F109:G109"/>
    <mergeCell ref="H109:I109"/>
    <mergeCell ref="J109:K109"/>
    <mergeCell ref="A111:B111"/>
    <mergeCell ref="D111:E111"/>
    <mergeCell ref="F111:G111"/>
    <mergeCell ref="H111:I111"/>
    <mergeCell ref="J111:K111"/>
    <mergeCell ref="A110:B110"/>
    <mergeCell ref="D110:E110"/>
    <mergeCell ref="F110:G110"/>
    <mergeCell ref="H110:I110"/>
    <mergeCell ref="J110:K110"/>
    <mergeCell ref="A112:B112"/>
    <mergeCell ref="D112:E112"/>
    <mergeCell ref="F112:G112"/>
    <mergeCell ref="H112:I112"/>
    <mergeCell ref="J112:K112"/>
    <mergeCell ref="A113:B113"/>
    <mergeCell ref="D113:E113"/>
    <mergeCell ref="F113:G113"/>
    <mergeCell ref="H113:I113"/>
    <mergeCell ref="J113:K113"/>
    <mergeCell ref="A115:B115"/>
    <mergeCell ref="D115:E115"/>
    <mergeCell ref="F115:G115"/>
    <mergeCell ref="H115:I115"/>
    <mergeCell ref="J115:K115"/>
    <mergeCell ref="A114:B114"/>
    <mergeCell ref="D114:E114"/>
    <mergeCell ref="F114:G114"/>
    <mergeCell ref="H114:I114"/>
    <mergeCell ref="J114:K114"/>
    <mergeCell ref="A116:B116"/>
    <mergeCell ref="D116:E116"/>
    <mergeCell ref="F116:G116"/>
    <mergeCell ref="H116:I116"/>
    <mergeCell ref="J116:K116"/>
    <mergeCell ref="A117:B117"/>
    <mergeCell ref="D117:E117"/>
    <mergeCell ref="F117:G117"/>
    <mergeCell ref="H117:I117"/>
    <mergeCell ref="J117:K117"/>
    <mergeCell ref="A118:B118"/>
    <mergeCell ref="D118:E118"/>
    <mergeCell ref="F118:G118"/>
    <mergeCell ref="H118:I118"/>
    <mergeCell ref="J118:K118"/>
    <mergeCell ref="A119:B119"/>
    <mergeCell ref="D119:E119"/>
    <mergeCell ref="F119:G119"/>
    <mergeCell ref="H119:I119"/>
    <mergeCell ref="J119:K119"/>
    <mergeCell ref="A121:B121"/>
    <mergeCell ref="D121:E121"/>
    <mergeCell ref="F121:G121"/>
    <mergeCell ref="H121:I121"/>
    <mergeCell ref="J121:K121"/>
    <mergeCell ref="A120:B120"/>
    <mergeCell ref="D120:E120"/>
    <mergeCell ref="F120:G120"/>
    <mergeCell ref="H120:I120"/>
    <mergeCell ref="J120:K120"/>
    <mergeCell ref="A122:B122"/>
    <mergeCell ref="D122:E122"/>
    <mergeCell ref="F122:G122"/>
    <mergeCell ref="H122:I122"/>
    <mergeCell ref="J122:K122"/>
    <mergeCell ref="A123:B123"/>
    <mergeCell ref="D123:E123"/>
    <mergeCell ref="F123:G123"/>
    <mergeCell ref="H123:I123"/>
    <mergeCell ref="J123:K123"/>
    <mergeCell ref="A125:B125"/>
    <mergeCell ref="D125:E125"/>
    <mergeCell ref="F125:G125"/>
    <mergeCell ref="H125:I125"/>
    <mergeCell ref="J125:K125"/>
    <mergeCell ref="A124:B124"/>
    <mergeCell ref="D124:E124"/>
    <mergeCell ref="F124:G124"/>
    <mergeCell ref="H124:I124"/>
    <mergeCell ref="J124:K124"/>
    <mergeCell ref="A126:B126"/>
    <mergeCell ref="D126:E126"/>
    <mergeCell ref="F126:G126"/>
    <mergeCell ref="H126:I126"/>
    <mergeCell ref="J126:K126"/>
    <mergeCell ref="A127:B127"/>
    <mergeCell ref="D127:E127"/>
    <mergeCell ref="F127:G127"/>
    <mergeCell ref="H127:I127"/>
    <mergeCell ref="J127:K127"/>
    <mergeCell ref="A128:B128"/>
    <mergeCell ref="D128:E128"/>
    <mergeCell ref="F128:G128"/>
    <mergeCell ref="H128:I128"/>
    <mergeCell ref="J128:K128"/>
    <mergeCell ref="A129:B129"/>
    <mergeCell ref="D129:E129"/>
    <mergeCell ref="F129:G129"/>
    <mergeCell ref="H129:I129"/>
    <mergeCell ref="J129:K129"/>
    <mergeCell ref="A130:B130"/>
    <mergeCell ref="D130:E130"/>
    <mergeCell ref="F130:G130"/>
    <mergeCell ref="H130:I130"/>
    <mergeCell ref="J130:K130"/>
    <mergeCell ref="A131:B131"/>
    <mergeCell ref="D131:E131"/>
    <mergeCell ref="F131:G131"/>
    <mergeCell ref="H131:I131"/>
    <mergeCell ref="J131:K131"/>
    <mergeCell ref="A132:B132"/>
    <mergeCell ref="D132:E132"/>
    <mergeCell ref="F132:G132"/>
    <mergeCell ref="H132:I132"/>
    <mergeCell ref="J132:K132"/>
    <mergeCell ref="A133:B133"/>
    <mergeCell ref="D133:E133"/>
    <mergeCell ref="F133:G133"/>
    <mergeCell ref="H133:I133"/>
    <mergeCell ref="J133:K133"/>
    <mergeCell ref="A136:B136"/>
    <mergeCell ref="D136:E136"/>
    <mergeCell ref="F136:G136"/>
    <mergeCell ref="H136:I136"/>
    <mergeCell ref="J136:K136"/>
    <mergeCell ref="A134:B134"/>
    <mergeCell ref="D134:E134"/>
    <mergeCell ref="F134:G134"/>
    <mergeCell ref="H134:I134"/>
    <mergeCell ref="J134:K134"/>
    <mergeCell ref="A135:B135"/>
    <mergeCell ref="D135:E135"/>
    <mergeCell ref="F135:G135"/>
    <mergeCell ref="H135:I135"/>
    <mergeCell ref="J135:K135"/>
    <mergeCell ref="A137:B137"/>
    <mergeCell ref="D137:E137"/>
    <mergeCell ref="F137:G137"/>
    <mergeCell ref="H137:I137"/>
    <mergeCell ref="J137:K137"/>
    <mergeCell ref="A138:B138"/>
    <mergeCell ref="D138:E138"/>
    <mergeCell ref="F138:G138"/>
    <mergeCell ref="H138:I138"/>
    <mergeCell ref="J138:K138"/>
    <mergeCell ref="A139:B139"/>
    <mergeCell ref="D139:E139"/>
    <mergeCell ref="F139:G139"/>
    <mergeCell ref="H139:I139"/>
    <mergeCell ref="J139:K139"/>
    <mergeCell ref="A140:B140"/>
    <mergeCell ref="D140:E140"/>
    <mergeCell ref="F140:G140"/>
    <mergeCell ref="H140:I140"/>
    <mergeCell ref="J140:K140"/>
    <mergeCell ref="A141:B141"/>
    <mergeCell ref="D141:E141"/>
    <mergeCell ref="F141:G141"/>
    <mergeCell ref="H141:I141"/>
    <mergeCell ref="J141:K141"/>
    <mergeCell ref="A142:B142"/>
    <mergeCell ref="D142:E142"/>
    <mergeCell ref="F142:G142"/>
    <mergeCell ref="H142:I142"/>
    <mergeCell ref="J142:K142"/>
    <mergeCell ref="A143:B143"/>
    <mergeCell ref="D143:E143"/>
    <mergeCell ref="F143:G143"/>
    <mergeCell ref="H143:I143"/>
    <mergeCell ref="J143:K143"/>
    <mergeCell ref="A144:B144"/>
    <mergeCell ref="D144:E144"/>
    <mergeCell ref="F144:G144"/>
    <mergeCell ref="H144:I144"/>
    <mergeCell ref="J144:K144"/>
    <mergeCell ref="A145:B145"/>
    <mergeCell ref="D145:E145"/>
    <mergeCell ref="F145:G145"/>
    <mergeCell ref="H145:I145"/>
    <mergeCell ref="J145:K145"/>
    <mergeCell ref="A146:B146"/>
    <mergeCell ref="D146:E146"/>
    <mergeCell ref="F146:G146"/>
    <mergeCell ref="H146:I146"/>
    <mergeCell ref="J146:K146"/>
    <mergeCell ref="A149:B149"/>
    <mergeCell ref="D149:E149"/>
    <mergeCell ref="F149:G149"/>
    <mergeCell ref="H149:I149"/>
    <mergeCell ref="J149:K149"/>
    <mergeCell ref="A147:B147"/>
    <mergeCell ref="D147:E147"/>
    <mergeCell ref="F147:G147"/>
    <mergeCell ref="H147:I147"/>
    <mergeCell ref="J147:K147"/>
    <mergeCell ref="A148:B148"/>
    <mergeCell ref="D148:E148"/>
    <mergeCell ref="F148:G148"/>
    <mergeCell ref="H148:I148"/>
    <mergeCell ref="J148:K148"/>
    <mergeCell ref="A150:B150"/>
    <mergeCell ref="D150:E150"/>
    <mergeCell ref="F150:G150"/>
    <mergeCell ref="H150:I150"/>
    <mergeCell ref="J150:K150"/>
    <mergeCell ref="A151:B151"/>
    <mergeCell ref="D151:E151"/>
    <mergeCell ref="F151:G151"/>
    <mergeCell ref="H151:I151"/>
    <mergeCell ref="J151:K151"/>
    <mergeCell ref="A152:B152"/>
    <mergeCell ref="D152:E152"/>
    <mergeCell ref="F152:G152"/>
    <mergeCell ref="H152:I152"/>
    <mergeCell ref="J152:K152"/>
    <mergeCell ref="A153:B153"/>
    <mergeCell ref="D153:E153"/>
    <mergeCell ref="F153:G153"/>
    <mergeCell ref="H153:I153"/>
    <mergeCell ref="J153:K153"/>
    <mergeCell ref="A154:B154"/>
    <mergeCell ref="D154:E154"/>
    <mergeCell ref="F154:G154"/>
    <mergeCell ref="H154:I154"/>
    <mergeCell ref="J154:K154"/>
    <mergeCell ref="A155:B155"/>
    <mergeCell ref="D155:E155"/>
    <mergeCell ref="F155:G155"/>
    <mergeCell ref="H155:I155"/>
    <mergeCell ref="J155:K155"/>
    <mergeCell ref="A156:B156"/>
    <mergeCell ref="D156:E156"/>
    <mergeCell ref="F156:G156"/>
    <mergeCell ref="H156:I156"/>
    <mergeCell ref="J156:K156"/>
    <mergeCell ref="A157:B157"/>
    <mergeCell ref="D157:E157"/>
    <mergeCell ref="F157:G157"/>
    <mergeCell ref="H157:I157"/>
    <mergeCell ref="J157:K157"/>
    <mergeCell ref="A158:B158"/>
    <mergeCell ref="D158:E158"/>
    <mergeCell ref="F158:G158"/>
    <mergeCell ref="H158:I158"/>
    <mergeCell ref="J158:K158"/>
    <mergeCell ref="A159:B159"/>
    <mergeCell ref="D159:E159"/>
    <mergeCell ref="F159:G159"/>
    <mergeCell ref="H159:I159"/>
    <mergeCell ref="J159:K159"/>
    <mergeCell ref="A161:B161"/>
    <mergeCell ref="D161:E161"/>
    <mergeCell ref="F161:G161"/>
    <mergeCell ref="H161:I161"/>
    <mergeCell ref="J161:K161"/>
    <mergeCell ref="A160:B160"/>
    <mergeCell ref="D160:E160"/>
    <mergeCell ref="F160:G160"/>
    <mergeCell ref="H160:I160"/>
    <mergeCell ref="J160:K160"/>
    <mergeCell ref="J170:K170"/>
    <mergeCell ref="A164:B164"/>
    <mergeCell ref="D164:E164"/>
    <mergeCell ref="F164:G164"/>
    <mergeCell ref="H164:I164"/>
    <mergeCell ref="J164:K164"/>
    <mergeCell ref="A162:B162"/>
    <mergeCell ref="D162:E162"/>
    <mergeCell ref="F162:G162"/>
    <mergeCell ref="H162:I162"/>
    <mergeCell ref="J162:K162"/>
    <mergeCell ref="A163:B163"/>
    <mergeCell ref="D163:E163"/>
    <mergeCell ref="F163:G163"/>
    <mergeCell ref="H163:I163"/>
    <mergeCell ref="J163:K163"/>
    <mergeCell ref="A165:B165"/>
    <mergeCell ref="D165:E165"/>
    <mergeCell ref="F165:G165"/>
    <mergeCell ref="H165:I165"/>
    <mergeCell ref="J165:K165"/>
    <mergeCell ref="A166:B166"/>
    <mergeCell ref="D166:E166"/>
    <mergeCell ref="F166:G166"/>
    <mergeCell ref="H166:I166"/>
    <mergeCell ref="J166:K166"/>
    <mergeCell ref="A169:B169"/>
    <mergeCell ref="D169:E169"/>
    <mergeCell ref="F169:G169"/>
    <mergeCell ref="H169:I169"/>
    <mergeCell ref="J169:K169"/>
    <mergeCell ref="A167:B167"/>
    <mergeCell ref="D167:E167"/>
    <mergeCell ref="F167:G167"/>
    <mergeCell ref="H167:I167"/>
    <mergeCell ref="J167:K167"/>
    <mergeCell ref="A168:B168"/>
    <mergeCell ref="D168:E168"/>
    <mergeCell ref="F168:G168"/>
    <mergeCell ref="H168:I168"/>
    <mergeCell ref="J168:K168"/>
  </mergeCells>
  <phoneticPr fontId="134" type="noConversion"/>
  <conditionalFormatting sqref="C1:C46">
    <cfRule type="duplicateValues" dxfId="150" priority="913"/>
    <cfRule type="duplicateValues" dxfId="149" priority="914"/>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436"/>
  <sheetViews>
    <sheetView topLeftCell="A417" workbookViewId="0">
      <selection activeCell="H173" sqref="H173:I173"/>
    </sheetView>
  </sheetViews>
  <sheetFormatPr defaultRowHeight="13.5"/>
  <cols>
    <col min="1" max="1" width="5.75" bestFit="1" customWidth="1"/>
    <col min="2" max="2" width="17.875" bestFit="1" customWidth="1"/>
    <col min="3" max="3" width="42.75" bestFit="1" customWidth="1"/>
    <col min="4" max="4" width="17.125" hidden="1" customWidth="1"/>
    <col min="5" max="5" width="9.75" bestFit="1" customWidth="1"/>
    <col min="6" max="6" width="10.5" bestFit="1" customWidth="1"/>
    <col min="7" max="8" width="9.75" bestFit="1" customWidth="1"/>
    <col min="10" max="10" width="9.5" bestFit="1" customWidth="1"/>
  </cols>
  <sheetData>
    <row r="1" spans="1:12" ht="31.5">
      <c r="A1" s="3307" t="s">
        <v>5864</v>
      </c>
      <c r="B1" s="3308"/>
      <c r="C1" s="3205" t="s">
        <v>5865</v>
      </c>
      <c r="D1" s="3331" t="s">
        <v>5866</v>
      </c>
      <c r="E1" s="3332"/>
      <c r="F1" s="3307" t="s">
        <v>5867</v>
      </c>
      <c r="G1" s="3308"/>
      <c r="H1" s="3307" t="s">
        <v>5868</v>
      </c>
      <c r="I1" s="3308"/>
      <c r="J1" s="3307" t="s">
        <v>5869</v>
      </c>
      <c r="K1" s="3308"/>
      <c r="L1" s="3206" t="s">
        <v>5870</v>
      </c>
    </row>
    <row r="2" spans="1:12">
      <c r="A2" s="3318">
        <v>1</v>
      </c>
      <c r="B2" s="3319"/>
      <c r="C2" s="3207" t="s">
        <v>5897</v>
      </c>
      <c r="D2" s="3327"/>
      <c r="E2" s="3328"/>
      <c r="F2" s="3318">
        <v>101</v>
      </c>
      <c r="G2" s="3319"/>
      <c r="H2" s="3325" t="s">
        <v>5898</v>
      </c>
      <c r="I2" s="3326"/>
      <c r="J2" s="3305">
        <v>30.96</v>
      </c>
      <c r="K2" s="3306"/>
      <c r="L2" s="3208">
        <v>13.75</v>
      </c>
    </row>
    <row r="3" spans="1:12">
      <c r="A3" s="3318">
        <v>2</v>
      </c>
      <c r="B3" s="3319"/>
      <c r="C3" s="3207" t="s">
        <v>5897</v>
      </c>
      <c r="D3" s="3327"/>
      <c r="E3" s="3328"/>
      <c r="F3" s="3318">
        <v>102</v>
      </c>
      <c r="G3" s="3319"/>
      <c r="H3" s="3325" t="s">
        <v>5898</v>
      </c>
      <c r="I3" s="3326"/>
      <c r="J3" s="3305">
        <v>16.05</v>
      </c>
      <c r="K3" s="3306"/>
      <c r="L3" s="3208">
        <v>7.13</v>
      </c>
    </row>
    <row r="4" spans="1:12">
      <c r="A4" s="3318">
        <v>3</v>
      </c>
      <c r="B4" s="3319"/>
      <c r="C4" s="3207" t="s">
        <v>5897</v>
      </c>
      <c r="D4" s="3327"/>
      <c r="E4" s="3328"/>
      <c r="F4" s="3318">
        <v>103</v>
      </c>
      <c r="G4" s="3319"/>
      <c r="H4" s="3325" t="s">
        <v>5898</v>
      </c>
      <c r="I4" s="3326"/>
      <c r="J4" s="3305">
        <v>46.62</v>
      </c>
      <c r="K4" s="3306"/>
      <c r="L4" s="3208">
        <v>20.7</v>
      </c>
    </row>
    <row r="5" spans="1:12">
      <c r="A5" s="3318">
        <v>4</v>
      </c>
      <c r="B5" s="3319"/>
      <c r="C5" s="3207" t="s">
        <v>5897</v>
      </c>
      <c r="D5" s="3327"/>
      <c r="E5" s="3328"/>
      <c r="F5" s="3318">
        <v>104</v>
      </c>
      <c r="G5" s="3319"/>
      <c r="H5" s="3325" t="s">
        <v>5898</v>
      </c>
      <c r="I5" s="3326"/>
      <c r="J5" s="3305">
        <v>53.65</v>
      </c>
      <c r="K5" s="3306"/>
      <c r="L5" s="3208">
        <v>23.82</v>
      </c>
    </row>
    <row r="6" spans="1:12">
      <c r="A6" s="3318">
        <v>5</v>
      </c>
      <c r="B6" s="3319"/>
      <c r="C6" s="3207" t="s">
        <v>5897</v>
      </c>
      <c r="D6" s="3327"/>
      <c r="E6" s="3328"/>
      <c r="F6" s="3318">
        <v>105</v>
      </c>
      <c r="G6" s="3319"/>
      <c r="H6" s="3325" t="s">
        <v>5898</v>
      </c>
      <c r="I6" s="3326"/>
      <c r="J6" s="3305">
        <v>23.61</v>
      </c>
      <c r="K6" s="3306"/>
      <c r="L6" s="3208">
        <v>10.48</v>
      </c>
    </row>
    <row r="7" spans="1:12">
      <c r="A7" s="3318">
        <v>6</v>
      </c>
      <c r="B7" s="3319"/>
      <c r="C7" s="3207" t="s">
        <v>5897</v>
      </c>
      <c r="D7" s="3327"/>
      <c r="E7" s="3328"/>
      <c r="F7" s="3318">
        <v>106</v>
      </c>
      <c r="G7" s="3319"/>
      <c r="H7" s="3325" t="s">
        <v>5898</v>
      </c>
      <c r="I7" s="3326"/>
      <c r="J7" s="3305">
        <v>23.65</v>
      </c>
      <c r="K7" s="3306"/>
      <c r="L7" s="3208">
        <v>10.5</v>
      </c>
    </row>
    <row r="8" spans="1:12">
      <c r="A8" s="3318">
        <v>7</v>
      </c>
      <c r="B8" s="3319"/>
      <c r="C8" s="3207" t="s">
        <v>5897</v>
      </c>
      <c r="D8" s="3327"/>
      <c r="E8" s="3328"/>
      <c r="F8" s="3318">
        <v>107</v>
      </c>
      <c r="G8" s="3319"/>
      <c r="H8" s="3325" t="s">
        <v>5898</v>
      </c>
      <c r="I8" s="3326"/>
      <c r="J8" s="3305">
        <v>56.61</v>
      </c>
      <c r="K8" s="3306"/>
      <c r="L8" s="3208">
        <v>25.14</v>
      </c>
    </row>
    <row r="9" spans="1:12">
      <c r="A9" s="3318">
        <v>8</v>
      </c>
      <c r="B9" s="3319"/>
      <c r="C9" s="3207" t="s">
        <v>5897</v>
      </c>
      <c r="D9" s="3327"/>
      <c r="E9" s="3328"/>
      <c r="F9" s="3318">
        <v>108</v>
      </c>
      <c r="G9" s="3319"/>
      <c r="H9" s="3325" t="s">
        <v>5898</v>
      </c>
      <c r="I9" s="3326"/>
      <c r="J9" s="3305">
        <v>41.07</v>
      </c>
      <c r="K9" s="3306"/>
      <c r="L9" s="3208">
        <v>18.239999999999998</v>
      </c>
    </row>
    <row r="10" spans="1:12">
      <c r="A10" s="3318">
        <v>9</v>
      </c>
      <c r="B10" s="3319"/>
      <c r="C10" s="3207" t="s">
        <v>5897</v>
      </c>
      <c r="D10" s="3327"/>
      <c r="E10" s="3328"/>
      <c r="F10" s="3318">
        <v>109</v>
      </c>
      <c r="G10" s="3319"/>
      <c r="H10" s="3325" t="s">
        <v>5898</v>
      </c>
      <c r="I10" s="3326"/>
      <c r="J10" s="3305">
        <v>41.07</v>
      </c>
      <c r="K10" s="3306"/>
      <c r="L10" s="3208">
        <v>18.239999999999998</v>
      </c>
    </row>
    <row r="11" spans="1:12">
      <c r="A11" s="3318">
        <v>10</v>
      </c>
      <c r="B11" s="3319"/>
      <c r="C11" s="3207" t="s">
        <v>5897</v>
      </c>
      <c r="D11" s="3327"/>
      <c r="E11" s="3328"/>
      <c r="F11" s="3318">
        <v>111</v>
      </c>
      <c r="G11" s="3319"/>
      <c r="H11" s="3325" t="s">
        <v>5898</v>
      </c>
      <c r="I11" s="3326"/>
      <c r="J11" s="3305">
        <v>23.65</v>
      </c>
      <c r="K11" s="3306"/>
      <c r="L11" s="3208">
        <v>10.5</v>
      </c>
    </row>
    <row r="12" spans="1:12">
      <c r="A12" s="3318">
        <v>11</v>
      </c>
      <c r="B12" s="3319"/>
      <c r="C12" s="3207" t="s">
        <v>5897</v>
      </c>
      <c r="D12" s="3327"/>
      <c r="E12" s="3328"/>
      <c r="F12" s="3318">
        <v>112</v>
      </c>
      <c r="G12" s="3319"/>
      <c r="H12" s="3325" t="s">
        <v>5898</v>
      </c>
      <c r="I12" s="3326"/>
      <c r="J12" s="3305">
        <v>23.61</v>
      </c>
      <c r="K12" s="3306"/>
      <c r="L12" s="3208">
        <v>10.48</v>
      </c>
    </row>
    <row r="13" spans="1:12">
      <c r="A13" s="3318">
        <v>12</v>
      </c>
      <c r="B13" s="3319"/>
      <c r="C13" s="3207" t="s">
        <v>5897</v>
      </c>
      <c r="D13" s="3327"/>
      <c r="E13" s="3328"/>
      <c r="F13" s="3318">
        <v>113</v>
      </c>
      <c r="G13" s="3319"/>
      <c r="H13" s="3325" t="s">
        <v>5898</v>
      </c>
      <c r="I13" s="3326"/>
      <c r="J13" s="3305">
        <v>49.56</v>
      </c>
      <c r="K13" s="3306"/>
      <c r="L13" s="3208">
        <v>22.01</v>
      </c>
    </row>
    <row r="14" spans="1:12">
      <c r="A14" s="3318">
        <v>13</v>
      </c>
      <c r="B14" s="3319"/>
      <c r="C14" s="3207" t="s">
        <v>5897</v>
      </c>
      <c r="D14" s="3327"/>
      <c r="E14" s="3328"/>
      <c r="F14" s="3318">
        <v>114</v>
      </c>
      <c r="G14" s="3319"/>
      <c r="H14" s="3325" t="s">
        <v>5898</v>
      </c>
      <c r="I14" s="3326"/>
      <c r="J14" s="3305">
        <v>47.93</v>
      </c>
      <c r="K14" s="3306"/>
      <c r="L14" s="3208">
        <v>21.28</v>
      </c>
    </row>
    <row r="15" spans="1:12">
      <c r="A15" s="3318">
        <v>14</v>
      </c>
      <c r="B15" s="3319"/>
      <c r="C15" s="3207" t="s">
        <v>5897</v>
      </c>
      <c r="D15" s="3327"/>
      <c r="E15" s="3328"/>
      <c r="F15" s="3318">
        <v>115</v>
      </c>
      <c r="G15" s="3319"/>
      <c r="H15" s="3325" t="s">
        <v>5898</v>
      </c>
      <c r="I15" s="3326"/>
      <c r="J15" s="3305">
        <v>22.61</v>
      </c>
      <c r="K15" s="3306"/>
      <c r="L15" s="3208">
        <v>10.039999999999999</v>
      </c>
    </row>
    <row r="16" spans="1:12">
      <c r="A16" s="3318">
        <v>15</v>
      </c>
      <c r="B16" s="3319"/>
      <c r="C16" s="3207" t="s">
        <v>5897</v>
      </c>
      <c r="D16" s="3327"/>
      <c r="E16" s="3328"/>
      <c r="F16" s="3318">
        <v>116</v>
      </c>
      <c r="G16" s="3319"/>
      <c r="H16" s="3325" t="s">
        <v>5898</v>
      </c>
      <c r="I16" s="3326"/>
      <c r="J16" s="3305">
        <v>27.95</v>
      </c>
      <c r="K16" s="3306"/>
      <c r="L16" s="3208">
        <v>12.41</v>
      </c>
    </row>
    <row r="17" spans="1:12">
      <c r="A17" s="3318">
        <v>16</v>
      </c>
      <c r="B17" s="3319"/>
      <c r="C17" s="3207" t="s">
        <v>5897</v>
      </c>
      <c r="D17" s="3327"/>
      <c r="E17" s="3328"/>
      <c r="F17" s="3318">
        <v>117</v>
      </c>
      <c r="G17" s="3319"/>
      <c r="H17" s="3325" t="s">
        <v>5898</v>
      </c>
      <c r="I17" s="3326"/>
      <c r="J17" s="3314">
        <v>27.6</v>
      </c>
      <c r="K17" s="3315"/>
      <c r="L17" s="3208">
        <v>12.26</v>
      </c>
    </row>
    <row r="18" spans="1:12">
      <c r="A18" s="3318">
        <v>17</v>
      </c>
      <c r="B18" s="3319"/>
      <c r="C18" s="3207" t="s">
        <v>5897</v>
      </c>
      <c r="D18" s="3327"/>
      <c r="E18" s="3328"/>
      <c r="F18" s="3318">
        <v>118</v>
      </c>
      <c r="G18" s="3319"/>
      <c r="H18" s="3325" t="s">
        <v>5898</v>
      </c>
      <c r="I18" s="3326"/>
      <c r="J18" s="3305">
        <v>19.13</v>
      </c>
      <c r="K18" s="3306"/>
      <c r="L18" s="3208">
        <v>8.5</v>
      </c>
    </row>
    <row r="19" spans="1:12">
      <c r="A19" s="3318">
        <v>18</v>
      </c>
      <c r="B19" s="3319"/>
      <c r="C19" s="3207" t="s">
        <v>5897</v>
      </c>
      <c r="D19" s="3327"/>
      <c r="E19" s="3328"/>
      <c r="F19" s="3318">
        <v>119</v>
      </c>
      <c r="G19" s="3319"/>
      <c r="H19" s="3325" t="s">
        <v>5898</v>
      </c>
      <c r="I19" s="3326"/>
      <c r="J19" s="3305">
        <v>19.13</v>
      </c>
      <c r="K19" s="3306"/>
      <c r="L19" s="3208">
        <v>8.5</v>
      </c>
    </row>
    <row r="20" spans="1:12">
      <c r="A20" s="3318">
        <v>19</v>
      </c>
      <c r="B20" s="3319"/>
      <c r="C20" s="3207" t="s">
        <v>5897</v>
      </c>
      <c r="D20" s="3327"/>
      <c r="E20" s="3328"/>
      <c r="F20" s="3318">
        <v>120</v>
      </c>
      <c r="G20" s="3319"/>
      <c r="H20" s="3325" t="s">
        <v>5898</v>
      </c>
      <c r="I20" s="3326"/>
      <c r="J20" s="3314">
        <v>27.6</v>
      </c>
      <c r="K20" s="3315"/>
      <c r="L20" s="3208">
        <v>12.26</v>
      </c>
    </row>
    <row r="21" spans="1:12">
      <c r="A21" s="3318">
        <v>20</v>
      </c>
      <c r="B21" s="3319"/>
      <c r="C21" s="3207" t="s">
        <v>5897</v>
      </c>
      <c r="D21" s="3327"/>
      <c r="E21" s="3328"/>
      <c r="F21" s="3318">
        <v>201</v>
      </c>
      <c r="G21" s="3319"/>
      <c r="H21" s="3325" t="s">
        <v>5898</v>
      </c>
      <c r="I21" s="3326"/>
      <c r="J21" s="3305">
        <v>15.83</v>
      </c>
      <c r="K21" s="3306"/>
      <c r="L21" s="3208">
        <v>7.03</v>
      </c>
    </row>
    <row r="22" spans="1:12">
      <c r="A22" s="3318">
        <v>21</v>
      </c>
      <c r="B22" s="3319"/>
      <c r="C22" s="3207" t="s">
        <v>5897</v>
      </c>
      <c r="D22" s="3327"/>
      <c r="E22" s="3328"/>
      <c r="F22" s="3318">
        <v>202</v>
      </c>
      <c r="G22" s="3319"/>
      <c r="H22" s="3325" t="s">
        <v>5898</v>
      </c>
      <c r="I22" s="3326"/>
      <c r="J22" s="3305">
        <v>18.309999999999999</v>
      </c>
      <c r="K22" s="3306"/>
      <c r="L22" s="3208">
        <v>8.1300000000000008</v>
      </c>
    </row>
    <row r="23" spans="1:12">
      <c r="A23" s="3318">
        <v>22</v>
      </c>
      <c r="B23" s="3319"/>
      <c r="C23" s="3207" t="s">
        <v>5897</v>
      </c>
      <c r="D23" s="3327"/>
      <c r="E23" s="3328"/>
      <c r="F23" s="3318">
        <v>203</v>
      </c>
      <c r="G23" s="3319"/>
      <c r="H23" s="3325" t="s">
        <v>5898</v>
      </c>
      <c r="I23" s="3326"/>
      <c r="J23" s="3305">
        <v>16.329999999999998</v>
      </c>
      <c r="K23" s="3306"/>
      <c r="L23" s="3208">
        <v>7.25</v>
      </c>
    </row>
    <row r="24" spans="1:12">
      <c r="A24" s="3318">
        <v>23</v>
      </c>
      <c r="B24" s="3319"/>
      <c r="C24" s="3207" t="s">
        <v>5897</v>
      </c>
      <c r="D24" s="3327"/>
      <c r="E24" s="3328"/>
      <c r="F24" s="3318">
        <v>204</v>
      </c>
      <c r="G24" s="3319"/>
      <c r="H24" s="3325" t="s">
        <v>5898</v>
      </c>
      <c r="I24" s="3326"/>
      <c r="J24" s="3305">
        <v>12.38</v>
      </c>
      <c r="K24" s="3306"/>
      <c r="L24" s="3208">
        <v>5.5</v>
      </c>
    </row>
    <row r="25" spans="1:12">
      <c r="A25" s="3318">
        <v>24</v>
      </c>
      <c r="B25" s="3319"/>
      <c r="C25" s="3207" t="s">
        <v>5897</v>
      </c>
      <c r="D25" s="3327"/>
      <c r="E25" s="3328"/>
      <c r="F25" s="3318">
        <v>205</v>
      </c>
      <c r="G25" s="3319"/>
      <c r="H25" s="3325" t="s">
        <v>5898</v>
      </c>
      <c r="I25" s="3326"/>
      <c r="J25" s="3318">
        <v>17</v>
      </c>
      <c r="K25" s="3319"/>
      <c r="L25" s="3208">
        <v>7.55</v>
      </c>
    </row>
    <row r="26" spans="1:12">
      <c r="A26" s="3318">
        <v>25</v>
      </c>
      <c r="B26" s="3319"/>
      <c r="C26" s="3207" t="s">
        <v>5899</v>
      </c>
      <c r="D26" s="3327"/>
      <c r="E26" s="3328"/>
      <c r="F26" s="3318">
        <v>107</v>
      </c>
      <c r="G26" s="3319"/>
      <c r="H26" s="3325" t="s">
        <v>5898</v>
      </c>
      <c r="I26" s="3326"/>
      <c r="J26" s="3316">
        <v>56.79</v>
      </c>
      <c r="K26" s="3317"/>
      <c r="L26" s="3208">
        <v>25.22</v>
      </c>
    </row>
    <row r="27" spans="1:12">
      <c r="A27" s="3318">
        <v>26</v>
      </c>
      <c r="B27" s="3319"/>
      <c r="C27" s="3207" t="s">
        <v>5899</v>
      </c>
      <c r="D27" s="3327"/>
      <c r="E27" s="3328"/>
      <c r="F27" s="3318">
        <v>108</v>
      </c>
      <c r="G27" s="3319"/>
      <c r="H27" s="3325" t="s">
        <v>5898</v>
      </c>
      <c r="I27" s="3326"/>
      <c r="J27" s="3320">
        <v>41.5</v>
      </c>
      <c r="K27" s="3321"/>
      <c r="L27" s="3208">
        <v>18.43</v>
      </c>
    </row>
    <row r="28" spans="1:12">
      <c r="A28" s="3318">
        <v>27</v>
      </c>
      <c r="B28" s="3319"/>
      <c r="C28" s="3207" t="s">
        <v>5899</v>
      </c>
      <c r="D28" s="3327"/>
      <c r="E28" s="3328"/>
      <c r="F28" s="3318">
        <v>109</v>
      </c>
      <c r="G28" s="3319"/>
      <c r="H28" s="3325" t="s">
        <v>5898</v>
      </c>
      <c r="I28" s="3326"/>
      <c r="J28" s="3320">
        <v>41.5</v>
      </c>
      <c r="K28" s="3321"/>
      <c r="L28" s="3208">
        <v>18.43</v>
      </c>
    </row>
    <row r="29" spans="1:12">
      <c r="A29" s="3318">
        <v>28</v>
      </c>
      <c r="B29" s="3319"/>
      <c r="C29" s="3207" t="s">
        <v>5899</v>
      </c>
      <c r="D29" s="3327"/>
      <c r="E29" s="3328"/>
      <c r="F29" s="3318">
        <v>110</v>
      </c>
      <c r="G29" s="3319"/>
      <c r="H29" s="3325" t="s">
        <v>5898</v>
      </c>
      <c r="I29" s="3326"/>
      <c r="J29" s="3316">
        <v>56.79</v>
      </c>
      <c r="K29" s="3317"/>
      <c r="L29" s="3208">
        <v>25.22</v>
      </c>
    </row>
    <row r="30" spans="1:12">
      <c r="A30" s="3318">
        <v>29</v>
      </c>
      <c r="B30" s="3319"/>
      <c r="C30" s="3207" t="s">
        <v>5899</v>
      </c>
      <c r="D30" s="3327"/>
      <c r="E30" s="3328"/>
      <c r="F30" s="3318">
        <v>111</v>
      </c>
      <c r="G30" s="3319"/>
      <c r="H30" s="3325" t="s">
        <v>5898</v>
      </c>
      <c r="I30" s="3326"/>
      <c r="J30" s="3316">
        <v>23.72</v>
      </c>
      <c r="K30" s="3317"/>
      <c r="L30" s="3208">
        <v>10.53</v>
      </c>
    </row>
    <row r="31" spans="1:12">
      <c r="A31" s="3318">
        <v>30</v>
      </c>
      <c r="B31" s="3319"/>
      <c r="C31" s="3207" t="s">
        <v>5899</v>
      </c>
      <c r="D31" s="3327"/>
      <c r="E31" s="3328"/>
      <c r="F31" s="3318">
        <v>112</v>
      </c>
      <c r="G31" s="3319"/>
      <c r="H31" s="3325" t="s">
        <v>5898</v>
      </c>
      <c r="I31" s="3326"/>
      <c r="J31" s="3316">
        <v>23.68</v>
      </c>
      <c r="K31" s="3317"/>
      <c r="L31" s="3208">
        <v>10.52</v>
      </c>
    </row>
    <row r="32" spans="1:12">
      <c r="A32" s="3318">
        <v>31</v>
      </c>
      <c r="B32" s="3319"/>
      <c r="C32" s="3207" t="s">
        <v>5899</v>
      </c>
      <c r="D32" s="3327"/>
      <c r="E32" s="3328"/>
      <c r="F32" s="3318">
        <v>113</v>
      </c>
      <c r="G32" s="3319"/>
      <c r="H32" s="3325" t="s">
        <v>5898</v>
      </c>
      <c r="I32" s="3326"/>
      <c r="J32" s="3316">
        <v>56.75</v>
      </c>
      <c r="K32" s="3317"/>
      <c r="L32" s="3208">
        <v>25.2</v>
      </c>
    </row>
    <row r="33" spans="1:12">
      <c r="A33" s="3318">
        <v>32</v>
      </c>
      <c r="B33" s="3319"/>
      <c r="C33" s="3207" t="s">
        <v>5899</v>
      </c>
      <c r="D33" s="3327"/>
      <c r="E33" s="3328"/>
      <c r="F33" s="3318">
        <v>114</v>
      </c>
      <c r="G33" s="3319"/>
      <c r="H33" s="3325" t="s">
        <v>5898</v>
      </c>
      <c r="I33" s="3326"/>
      <c r="J33" s="3316">
        <v>41.19</v>
      </c>
      <c r="K33" s="3317"/>
      <c r="L33" s="3208">
        <v>18.29</v>
      </c>
    </row>
    <row r="34" spans="1:12">
      <c r="A34" s="3318">
        <v>33</v>
      </c>
      <c r="B34" s="3319"/>
      <c r="C34" s="3207" t="s">
        <v>5899</v>
      </c>
      <c r="D34" s="3327"/>
      <c r="E34" s="3328"/>
      <c r="F34" s="3318">
        <v>115</v>
      </c>
      <c r="G34" s="3319"/>
      <c r="H34" s="3325" t="s">
        <v>5898</v>
      </c>
      <c r="I34" s="3326"/>
      <c r="J34" s="3316">
        <v>41.19</v>
      </c>
      <c r="K34" s="3317"/>
      <c r="L34" s="3208">
        <v>18.29</v>
      </c>
    </row>
    <row r="35" spans="1:12">
      <c r="A35" s="3318">
        <v>34</v>
      </c>
      <c r="B35" s="3319"/>
      <c r="C35" s="3207" t="s">
        <v>5899</v>
      </c>
      <c r="D35" s="3327"/>
      <c r="E35" s="3328"/>
      <c r="F35" s="3318">
        <v>117</v>
      </c>
      <c r="G35" s="3319"/>
      <c r="H35" s="3325" t="s">
        <v>5898</v>
      </c>
      <c r="I35" s="3326"/>
      <c r="J35" s="3316">
        <v>23.72</v>
      </c>
      <c r="K35" s="3317"/>
      <c r="L35" s="3208">
        <v>10.53</v>
      </c>
    </row>
    <row r="36" spans="1:12">
      <c r="A36" s="3318">
        <v>35</v>
      </c>
      <c r="B36" s="3319"/>
      <c r="C36" s="3207" t="s">
        <v>5899</v>
      </c>
      <c r="D36" s="3327"/>
      <c r="E36" s="3328"/>
      <c r="F36" s="3318">
        <v>118</v>
      </c>
      <c r="G36" s="3319"/>
      <c r="H36" s="3325" t="s">
        <v>5898</v>
      </c>
      <c r="I36" s="3326"/>
      <c r="J36" s="3316">
        <v>23.68</v>
      </c>
      <c r="K36" s="3317"/>
      <c r="L36" s="3208">
        <v>10.52</v>
      </c>
    </row>
    <row r="37" spans="1:12">
      <c r="A37" s="3318">
        <v>36</v>
      </c>
      <c r="B37" s="3319"/>
      <c r="C37" s="3207" t="s">
        <v>5899</v>
      </c>
      <c r="D37" s="3327"/>
      <c r="E37" s="3328"/>
      <c r="F37" s="3318">
        <v>119</v>
      </c>
      <c r="G37" s="3319"/>
      <c r="H37" s="3325" t="s">
        <v>5898</v>
      </c>
      <c r="I37" s="3326"/>
      <c r="J37" s="3316">
        <v>49.71</v>
      </c>
      <c r="K37" s="3317"/>
      <c r="L37" s="3208">
        <v>22.08</v>
      </c>
    </row>
    <row r="38" spans="1:12">
      <c r="A38" s="3318">
        <v>37</v>
      </c>
      <c r="B38" s="3319"/>
      <c r="C38" s="3207" t="s">
        <v>5899</v>
      </c>
      <c r="D38" s="3327"/>
      <c r="E38" s="3328"/>
      <c r="F38" s="3318">
        <v>120</v>
      </c>
      <c r="G38" s="3319"/>
      <c r="H38" s="3325" t="s">
        <v>5898</v>
      </c>
      <c r="I38" s="3326"/>
      <c r="J38" s="3316">
        <v>48.07</v>
      </c>
      <c r="K38" s="3317"/>
      <c r="L38" s="3208">
        <v>21.35</v>
      </c>
    </row>
    <row r="39" spans="1:12">
      <c r="A39" s="3318">
        <v>38</v>
      </c>
      <c r="B39" s="3319"/>
      <c r="C39" s="3207" t="s">
        <v>5899</v>
      </c>
      <c r="D39" s="3327"/>
      <c r="E39" s="3328"/>
      <c r="F39" s="3318">
        <v>121</v>
      </c>
      <c r="G39" s="3319"/>
      <c r="H39" s="3325" t="s">
        <v>5898</v>
      </c>
      <c r="I39" s="3326"/>
      <c r="J39" s="3316">
        <v>22.85</v>
      </c>
      <c r="K39" s="3317"/>
      <c r="L39" s="3208">
        <v>10.15</v>
      </c>
    </row>
    <row r="40" spans="1:12">
      <c r="A40" s="3318">
        <v>39</v>
      </c>
      <c r="B40" s="3319"/>
      <c r="C40" s="3207" t="s">
        <v>5899</v>
      </c>
      <c r="D40" s="3327"/>
      <c r="E40" s="3328"/>
      <c r="F40" s="3318">
        <v>122</v>
      </c>
      <c r="G40" s="3319"/>
      <c r="H40" s="3325" t="s">
        <v>5898</v>
      </c>
      <c r="I40" s="3326"/>
      <c r="J40" s="3316">
        <v>28.04</v>
      </c>
      <c r="K40" s="3317"/>
      <c r="L40" s="3208">
        <v>12.45</v>
      </c>
    </row>
    <row r="41" spans="1:12">
      <c r="A41" s="3318">
        <v>40</v>
      </c>
      <c r="B41" s="3319"/>
      <c r="C41" s="3207" t="s">
        <v>5899</v>
      </c>
      <c r="D41" s="3327"/>
      <c r="E41" s="3328"/>
      <c r="F41" s="3318">
        <v>123</v>
      </c>
      <c r="G41" s="3319"/>
      <c r="H41" s="3325" t="s">
        <v>5898</v>
      </c>
      <c r="I41" s="3326"/>
      <c r="J41" s="3316">
        <v>27.68</v>
      </c>
      <c r="K41" s="3317"/>
      <c r="L41" s="3208">
        <v>12.29</v>
      </c>
    </row>
    <row r="42" spans="1:12">
      <c r="A42" s="3318">
        <v>41</v>
      </c>
      <c r="B42" s="3319"/>
      <c r="C42" s="3207" t="s">
        <v>5899</v>
      </c>
      <c r="D42" s="3327"/>
      <c r="E42" s="3328"/>
      <c r="F42" s="3318">
        <v>124</v>
      </c>
      <c r="G42" s="3319"/>
      <c r="H42" s="3325" t="s">
        <v>5898</v>
      </c>
      <c r="I42" s="3326"/>
      <c r="J42" s="3316">
        <v>19.190000000000001</v>
      </c>
      <c r="K42" s="3317"/>
      <c r="L42" s="3208">
        <v>8.52</v>
      </c>
    </row>
    <row r="43" spans="1:12">
      <c r="A43" s="3318">
        <v>42</v>
      </c>
      <c r="B43" s="3319"/>
      <c r="C43" s="3207" t="s">
        <v>5899</v>
      </c>
      <c r="D43" s="3327"/>
      <c r="E43" s="3328"/>
      <c r="F43" s="3318">
        <v>125</v>
      </c>
      <c r="G43" s="3319"/>
      <c r="H43" s="3325" t="s">
        <v>5898</v>
      </c>
      <c r="I43" s="3326"/>
      <c r="J43" s="3316">
        <v>19.190000000000001</v>
      </c>
      <c r="K43" s="3317"/>
      <c r="L43" s="3208">
        <v>8.52</v>
      </c>
    </row>
    <row r="44" spans="1:12">
      <c r="A44" s="3318">
        <v>43</v>
      </c>
      <c r="B44" s="3319"/>
      <c r="C44" s="3207" t="s">
        <v>5899</v>
      </c>
      <c r="D44" s="3327"/>
      <c r="E44" s="3328"/>
      <c r="F44" s="3318">
        <v>126</v>
      </c>
      <c r="G44" s="3319"/>
      <c r="H44" s="3325" t="s">
        <v>5898</v>
      </c>
      <c r="I44" s="3326"/>
      <c r="J44" s="3316">
        <v>27.85</v>
      </c>
      <c r="K44" s="3317"/>
      <c r="L44" s="3208">
        <v>12.37</v>
      </c>
    </row>
    <row r="45" spans="1:12">
      <c r="A45" s="3318">
        <v>44</v>
      </c>
      <c r="B45" s="3319"/>
      <c r="C45" s="3207" t="s">
        <v>5899</v>
      </c>
      <c r="D45" s="3327"/>
      <c r="E45" s="3328"/>
      <c r="F45" s="3318">
        <v>127</v>
      </c>
      <c r="G45" s="3319"/>
      <c r="H45" s="3325" t="s">
        <v>5898</v>
      </c>
      <c r="I45" s="3326"/>
      <c r="J45" s="3316">
        <v>27.68</v>
      </c>
      <c r="K45" s="3317"/>
      <c r="L45" s="3208">
        <v>12.29</v>
      </c>
    </row>
    <row r="46" spans="1:12">
      <c r="A46" s="3318">
        <v>45</v>
      </c>
      <c r="B46" s="3319"/>
      <c r="C46" s="3207" t="s">
        <v>5899</v>
      </c>
      <c r="D46" s="3327"/>
      <c r="E46" s="3328"/>
      <c r="F46" s="3318">
        <v>128</v>
      </c>
      <c r="G46" s="3319"/>
      <c r="H46" s="3325" t="s">
        <v>5898</v>
      </c>
      <c r="I46" s="3326"/>
      <c r="J46" s="3316">
        <v>19.829999999999998</v>
      </c>
      <c r="K46" s="3317"/>
      <c r="L46" s="3208">
        <v>8.81</v>
      </c>
    </row>
    <row r="47" spans="1:12">
      <c r="A47" s="3318">
        <v>46</v>
      </c>
      <c r="B47" s="3319"/>
      <c r="C47" s="3207" t="s">
        <v>5899</v>
      </c>
      <c r="D47" s="3327"/>
      <c r="E47" s="3328"/>
      <c r="F47" s="3318">
        <v>129</v>
      </c>
      <c r="G47" s="3319"/>
      <c r="H47" s="3325" t="s">
        <v>5898</v>
      </c>
      <c r="I47" s="3326"/>
      <c r="J47" s="3316">
        <v>19.829999999999998</v>
      </c>
      <c r="K47" s="3317"/>
      <c r="L47" s="3208">
        <v>8.81</v>
      </c>
    </row>
    <row r="48" spans="1:12">
      <c r="A48" s="3318">
        <v>47</v>
      </c>
      <c r="B48" s="3319"/>
      <c r="C48" s="3207" t="s">
        <v>5899</v>
      </c>
      <c r="D48" s="3327"/>
      <c r="E48" s="3328"/>
      <c r="F48" s="3318">
        <v>130</v>
      </c>
      <c r="G48" s="3319"/>
      <c r="H48" s="3325" t="s">
        <v>5898</v>
      </c>
      <c r="I48" s="3326"/>
      <c r="J48" s="3316">
        <v>27.68</v>
      </c>
      <c r="K48" s="3317"/>
      <c r="L48" s="3208">
        <v>12.29</v>
      </c>
    </row>
    <row r="49" spans="1:12">
      <c r="A49" s="3318">
        <v>48</v>
      </c>
      <c r="B49" s="3319"/>
      <c r="C49" s="3207" t="s">
        <v>5899</v>
      </c>
      <c r="D49" s="3327"/>
      <c r="E49" s="3328"/>
      <c r="F49" s="3318">
        <v>202</v>
      </c>
      <c r="G49" s="3319"/>
      <c r="H49" s="3325" t="s">
        <v>5898</v>
      </c>
      <c r="I49" s="3326"/>
      <c r="J49" s="3316">
        <v>16.38</v>
      </c>
      <c r="K49" s="3317"/>
      <c r="L49" s="3208">
        <v>7.27</v>
      </c>
    </row>
    <row r="50" spans="1:12">
      <c r="A50" s="3318">
        <v>49</v>
      </c>
      <c r="B50" s="3319"/>
      <c r="C50" s="3207" t="s">
        <v>5899</v>
      </c>
      <c r="D50" s="3327"/>
      <c r="E50" s="3328"/>
      <c r="F50" s="3318">
        <v>204</v>
      </c>
      <c r="G50" s="3319"/>
      <c r="H50" s="3325" t="s">
        <v>5898</v>
      </c>
      <c r="I50" s="3326"/>
      <c r="J50" s="3316">
        <v>16.38</v>
      </c>
      <c r="K50" s="3317"/>
      <c r="L50" s="3208">
        <v>7.27</v>
      </c>
    </row>
    <row r="51" spans="1:12">
      <c r="A51" s="3318">
        <v>50</v>
      </c>
      <c r="B51" s="3319"/>
      <c r="C51" s="3207" t="s">
        <v>5899</v>
      </c>
      <c r="D51" s="3327"/>
      <c r="E51" s="3328"/>
      <c r="F51" s="3318">
        <v>205</v>
      </c>
      <c r="G51" s="3319"/>
      <c r="H51" s="3325" t="s">
        <v>5898</v>
      </c>
      <c r="I51" s="3326"/>
      <c r="J51" s="3316">
        <v>16.38</v>
      </c>
      <c r="K51" s="3317"/>
      <c r="L51" s="3208">
        <v>7.27</v>
      </c>
    </row>
    <row r="52" spans="1:12">
      <c r="A52" s="3318">
        <v>51</v>
      </c>
      <c r="B52" s="3319"/>
      <c r="C52" s="3207" t="s">
        <v>5899</v>
      </c>
      <c r="D52" s="3327"/>
      <c r="E52" s="3328"/>
      <c r="F52" s="3318">
        <v>206</v>
      </c>
      <c r="G52" s="3319"/>
      <c r="H52" s="3325" t="s">
        <v>5898</v>
      </c>
      <c r="I52" s="3326"/>
      <c r="J52" s="3316">
        <v>17.059999999999999</v>
      </c>
      <c r="K52" s="3317"/>
      <c r="L52" s="3208">
        <v>7.58</v>
      </c>
    </row>
    <row r="53" spans="1:12">
      <c r="A53" s="3318">
        <v>52</v>
      </c>
      <c r="B53" s="3319"/>
      <c r="C53" s="3207" t="s">
        <v>5900</v>
      </c>
      <c r="D53" s="3327"/>
      <c r="E53" s="3328"/>
      <c r="F53" s="3318">
        <v>106</v>
      </c>
      <c r="G53" s="3319"/>
      <c r="H53" s="3325" t="s">
        <v>5898</v>
      </c>
      <c r="I53" s="3326"/>
      <c r="J53" s="3316">
        <v>23.66</v>
      </c>
      <c r="K53" s="3317"/>
      <c r="L53" s="3208">
        <v>10.51</v>
      </c>
    </row>
    <row r="54" spans="1:12">
      <c r="A54" s="3318">
        <v>53</v>
      </c>
      <c r="B54" s="3319"/>
      <c r="C54" s="3207" t="s">
        <v>5900</v>
      </c>
      <c r="D54" s="3327"/>
      <c r="E54" s="3328"/>
      <c r="F54" s="3318">
        <v>107</v>
      </c>
      <c r="G54" s="3319"/>
      <c r="H54" s="3325" t="s">
        <v>5898</v>
      </c>
      <c r="I54" s="3326"/>
      <c r="J54" s="3316">
        <v>56.69</v>
      </c>
      <c r="K54" s="3317"/>
      <c r="L54" s="3208">
        <v>25.17</v>
      </c>
    </row>
    <row r="55" spans="1:12">
      <c r="A55" s="3318">
        <v>54</v>
      </c>
      <c r="B55" s="3319"/>
      <c r="C55" s="3207" t="s">
        <v>5900</v>
      </c>
      <c r="D55" s="3327"/>
      <c r="E55" s="3328"/>
      <c r="F55" s="3318">
        <v>108</v>
      </c>
      <c r="G55" s="3319"/>
      <c r="H55" s="3325" t="s">
        <v>5898</v>
      </c>
      <c r="I55" s="3326"/>
      <c r="J55" s="3316">
        <v>41.45</v>
      </c>
      <c r="K55" s="3317"/>
      <c r="L55" s="3208">
        <v>18.41</v>
      </c>
    </row>
    <row r="56" spans="1:12">
      <c r="A56" s="3318">
        <v>55</v>
      </c>
      <c r="B56" s="3319"/>
      <c r="C56" s="3207" t="s">
        <v>5900</v>
      </c>
      <c r="D56" s="3327"/>
      <c r="E56" s="3328"/>
      <c r="F56" s="3318">
        <v>109</v>
      </c>
      <c r="G56" s="3319"/>
      <c r="H56" s="3325" t="s">
        <v>5898</v>
      </c>
      <c r="I56" s="3326"/>
      <c r="J56" s="3316">
        <v>41.45</v>
      </c>
      <c r="K56" s="3317"/>
      <c r="L56" s="3208">
        <v>18.41</v>
      </c>
    </row>
    <row r="57" spans="1:12">
      <c r="A57" s="3318">
        <v>56</v>
      </c>
      <c r="B57" s="3319"/>
      <c r="C57" s="3207" t="s">
        <v>5900</v>
      </c>
      <c r="D57" s="3327"/>
      <c r="E57" s="3328"/>
      <c r="F57" s="3318">
        <v>110</v>
      </c>
      <c r="G57" s="3319"/>
      <c r="H57" s="3325" t="s">
        <v>5898</v>
      </c>
      <c r="I57" s="3326"/>
      <c r="J57" s="3316">
        <v>56.69</v>
      </c>
      <c r="K57" s="3317"/>
      <c r="L57" s="3208">
        <v>25.17</v>
      </c>
    </row>
    <row r="58" spans="1:12">
      <c r="A58" s="3318">
        <v>57</v>
      </c>
      <c r="B58" s="3319"/>
      <c r="C58" s="3207" t="s">
        <v>5900</v>
      </c>
      <c r="D58" s="3327"/>
      <c r="E58" s="3328"/>
      <c r="F58" s="3318">
        <v>111</v>
      </c>
      <c r="G58" s="3319"/>
      <c r="H58" s="3325" t="s">
        <v>5898</v>
      </c>
      <c r="I58" s="3326"/>
      <c r="J58" s="3316">
        <v>23.66</v>
      </c>
      <c r="K58" s="3317"/>
      <c r="L58" s="3208">
        <v>10.51</v>
      </c>
    </row>
    <row r="59" spans="1:12">
      <c r="A59" s="3318">
        <v>58</v>
      </c>
      <c r="B59" s="3319"/>
      <c r="C59" s="3207" t="s">
        <v>5900</v>
      </c>
      <c r="D59" s="3327"/>
      <c r="E59" s="3328"/>
      <c r="F59" s="3318">
        <v>115</v>
      </c>
      <c r="G59" s="3319"/>
      <c r="H59" s="3325" t="s">
        <v>5898</v>
      </c>
      <c r="I59" s="3326"/>
      <c r="J59" s="3316">
        <v>41.15</v>
      </c>
      <c r="K59" s="3317"/>
      <c r="L59" s="3208">
        <v>18.27</v>
      </c>
    </row>
    <row r="60" spans="1:12">
      <c r="A60" s="3318">
        <v>59</v>
      </c>
      <c r="B60" s="3319"/>
      <c r="C60" s="3207" t="s">
        <v>5900</v>
      </c>
      <c r="D60" s="3327"/>
      <c r="E60" s="3328"/>
      <c r="F60" s="3318">
        <v>116</v>
      </c>
      <c r="G60" s="3319"/>
      <c r="H60" s="3325" t="s">
        <v>5898</v>
      </c>
      <c r="I60" s="3326"/>
      <c r="J60" s="3316">
        <v>56.69</v>
      </c>
      <c r="K60" s="3317"/>
      <c r="L60" s="3208">
        <v>25.17</v>
      </c>
    </row>
    <row r="61" spans="1:12">
      <c r="A61" s="3318">
        <v>60</v>
      </c>
      <c r="B61" s="3319"/>
      <c r="C61" s="3207" t="s">
        <v>5900</v>
      </c>
      <c r="D61" s="3327"/>
      <c r="E61" s="3328"/>
      <c r="F61" s="3318">
        <v>117</v>
      </c>
      <c r="G61" s="3319"/>
      <c r="H61" s="3325" t="s">
        <v>5898</v>
      </c>
      <c r="I61" s="3326"/>
      <c r="J61" s="3316">
        <v>23.66</v>
      </c>
      <c r="K61" s="3317"/>
      <c r="L61" s="3208">
        <v>10.51</v>
      </c>
    </row>
    <row r="62" spans="1:12">
      <c r="A62" s="3318">
        <v>61</v>
      </c>
      <c r="B62" s="3319"/>
      <c r="C62" s="3207" t="s">
        <v>5900</v>
      </c>
      <c r="D62" s="3327"/>
      <c r="E62" s="3328"/>
      <c r="F62" s="3318">
        <v>123</v>
      </c>
      <c r="G62" s="3319"/>
      <c r="H62" s="3325" t="s">
        <v>5898</v>
      </c>
      <c r="I62" s="3326"/>
      <c r="J62" s="3316">
        <v>27.65</v>
      </c>
      <c r="K62" s="3317"/>
      <c r="L62" s="3208">
        <v>12.28</v>
      </c>
    </row>
    <row r="63" spans="1:12">
      <c r="A63" s="3318">
        <v>62</v>
      </c>
      <c r="B63" s="3319"/>
      <c r="C63" s="3207" t="s">
        <v>5900</v>
      </c>
      <c r="D63" s="3327"/>
      <c r="E63" s="3328"/>
      <c r="F63" s="3318">
        <v>124</v>
      </c>
      <c r="G63" s="3319"/>
      <c r="H63" s="3325" t="s">
        <v>5898</v>
      </c>
      <c r="I63" s="3326"/>
      <c r="J63" s="3316">
        <v>19.170000000000002</v>
      </c>
      <c r="K63" s="3317"/>
      <c r="L63" s="3208">
        <v>8.51</v>
      </c>
    </row>
    <row r="64" spans="1:12">
      <c r="A64" s="3318">
        <v>63</v>
      </c>
      <c r="B64" s="3319"/>
      <c r="C64" s="3207" t="s">
        <v>5900</v>
      </c>
      <c r="D64" s="3327"/>
      <c r="E64" s="3328"/>
      <c r="F64" s="3318">
        <v>125</v>
      </c>
      <c r="G64" s="3319"/>
      <c r="H64" s="3325" t="s">
        <v>5898</v>
      </c>
      <c r="I64" s="3326"/>
      <c r="J64" s="3316">
        <v>19.170000000000002</v>
      </c>
      <c r="K64" s="3317"/>
      <c r="L64" s="3208">
        <v>8.51</v>
      </c>
    </row>
    <row r="65" spans="1:12">
      <c r="A65" s="3318">
        <v>64</v>
      </c>
      <c r="B65" s="3319"/>
      <c r="C65" s="3207" t="s">
        <v>5900</v>
      </c>
      <c r="D65" s="3327"/>
      <c r="E65" s="3328"/>
      <c r="F65" s="3318">
        <v>126</v>
      </c>
      <c r="G65" s="3319"/>
      <c r="H65" s="3325" t="s">
        <v>5898</v>
      </c>
      <c r="I65" s="3326"/>
      <c r="J65" s="3316">
        <v>27.82</v>
      </c>
      <c r="K65" s="3317"/>
      <c r="L65" s="3208">
        <v>12.35</v>
      </c>
    </row>
    <row r="66" spans="1:12">
      <c r="A66" s="3318">
        <v>65</v>
      </c>
      <c r="B66" s="3319"/>
      <c r="C66" s="3207" t="s">
        <v>5900</v>
      </c>
      <c r="D66" s="3327"/>
      <c r="E66" s="3328"/>
      <c r="F66" s="3318">
        <v>127</v>
      </c>
      <c r="G66" s="3319"/>
      <c r="H66" s="3325" t="s">
        <v>5898</v>
      </c>
      <c r="I66" s="3326"/>
      <c r="J66" s="3316">
        <v>27.65</v>
      </c>
      <c r="K66" s="3317"/>
      <c r="L66" s="3208">
        <v>12.28</v>
      </c>
    </row>
    <row r="67" spans="1:12">
      <c r="A67" s="3318">
        <v>66</v>
      </c>
      <c r="B67" s="3319"/>
      <c r="C67" s="3207" t="s">
        <v>5900</v>
      </c>
      <c r="D67" s="3327"/>
      <c r="E67" s="3328"/>
      <c r="F67" s="3318">
        <v>128</v>
      </c>
      <c r="G67" s="3319"/>
      <c r="H67" s="3325" t="s">
        <v>5898</v>
      </c>
      <c r="I67" s="3326"/>
      <c r="J67" s="3316">
        <v>19.809999999999999</v>
      </c>
      <c r="K67" s="3317"/>
      <c r="L67" s="3208">
        <v>8.8000000000000007</v>
      </c>
    </row>
    <row r="68" spans="1:12">
      <c r="A68" s="3318">
        <v>67</v>
      </c>
      <c r="B68" s="3319"/>
      <c r="C68" s="3207" t="s">
        <v>5900</v>
      </c>
      <c r="D68" s="3327"/>
      <c r="E68" s="3328"/>
      <c r="F68" s="3318">
        <v>130</v>
      </c>
      <c r="G68" s="3319"/>
      <c r="H68" s="3325" t="s">
        <v>5898</v>
      </c>
      <c r="I68" s="3326"/>
      <c r="J68" s="3316">
        <v>27.65</v>
      </c>
      <c r="K68" s="3317"/>
      <c r="L68" s="3208">
        <v>12.28</v>
      </c>
    </row>
    <row r="69" spans="1:12">
      <c r="A69" s="3318">
        <v>68</v>
      </c>
      <c r="B69" s="3319"/>
      <c r="C69" s="3207" t="s">
        <v>5900</v>
      </c>
      <c r="D69" s="3327"/>
      <c r="E69" s="3328"/>
      <c r="F69" s="3318">
        <v>202</v>
      </c>
      <c r="G69" s="3319"/>
      <c r="H69" s="3325" t="s">
        <v>5898</v>
      </c>
      <c r="I69" s="3326"/>
      <c r="J69" s="3316">
        <v>16.36</v>
      </c>
      <c r="K69" s="3317"/>
      <c r="L69" s="3208">
        <v>7.27</v>
      </c>
    </row>
    <row r="70" spans="1:12">
      <c r="A70" s="3318">
        <v>69</v>
      </c>
      <c r="B70" s="3319"/>
      <c r="C70" s="3207" t="s">
        <v>5900</v>
      </c>
      <c r="D70" s="3327"/>
      <c r="E70" s="3328"/>
      <c r="F70" s="3318">
        <v>203</v>
      </c>
      <c r="G70" s="3319"/>
      <c r="H70" s="3325" t="s">
        <v>5898</v>
      </c>
      <c r="I70" s="3326"/>
      <c r="J70" s="3320">
        <v>12.4</v>
      </c>
      <c r="K70" s="3321"/>
      <c r="L70" s="3208">
        <v>5.51</v>
      </c>
    </row>
    <row r="71" spans="1:12">
      <c r="A71" s="3318">
        <v>70</v>
      </c>
      <c r="B71" s="3319"/>
      <c r="C71" s="3207" t="s">
        <v>5900</v>
      </c>
      <c r="D71" s="3327"/>
      <c r="E71" s="3328"/>
      <c r="F71" s="3318">
        <v>205</v>
      </c>
      <c r="G71" s="3319"/>
      <c r="H71" s="3325" t="s">
        <v>5898</v>
      </c>
      <c r="I71" s="3326"/>
      <c r="J71" s="3316">
        <v>16.36</v>
      </c>
      <c r="K71" s="3317"/>
      <c r="L71" s="3208">
        <v>7.27</v>
      </c>
    </row>
    <row r="72" spans="1:12">
      <c r="A72" s="3318">
        <v>71</v>
      </c>
      <c r="B72" s="3319"/>
      <c r="C72" s="3207" t="s">
        <v>5901</v>
      </c>
      <c r="D72" s="3327"/>
      <c r="E72" s="3328"/>
      <c r="F72" s="3318">
        <v>101</v>
      </c>
      <c r="G72" s="3319"/>
      <c r="H72" s="3325" t="s">
        <v>5898</v>
      </c>
      <c r="I72" s="3326"/>
      <c r="J72" s="3316">
        <v>31.03</v>
      </c>
      <c r="K72" s="3317"/>
      <c r="L72" s="3208">
        <v>13.78</v>
      </c>
    </row>
    <row r="73" spans="1:12">
      <c r="A73" s="3318">
        <v>72</v>
      </c>
      <c r="B73" s="3319"/>
      <c r="C73" s="3207" t="s">
        <v>5901</v>
      </c>
      <c r="D73" s="3327"/>
      <c r="E73" s="3328"/>
      <c r="F73" s="3318">
        <v>102</v>
      </c>
      <c r="G73" s="3319"/>
      <c r="H73" s="3325" t="s">
        <v>5898</v>
      </c>
      <c r="I73" s="3326"/>
      <c r="J73" s="3316">
        <v>16.079999999999998</v>
      </c>
      <c r="K73" s="3317"/>
      <c r="L73" s="3208">
        <v>7.14</v>
      </c>
    </row>
    <row r="74" spans="1:12">
      <c r="A74" s="3318">
        <v>73</v>
      </c>
      <c r="B74" s="3319"/>
      <c r="C74" s="3207" t="s">
        <v>5901</v>
      </c>
      <c r="D74" s="3327"/>
      <c r="E74" s="3328"/>
      <c r="F74" s="3318">
        <v>103</v>
      </c>
      <c r="G74" s="3319"/>
      <c r="H74" s="3325" t="s">
        <v>5898</v>
      </c>
      <c r="I74" s="3326"/>
      <c r="J74" s="3316">
        <v>46.54</v>
      </c>
      <c r="K74" s="3317"/>
      <c r="L74" s="3208">
        <v>20.67</v>
      </c>
    </row>
    <row r="75" spans="1:12">
      <c r="A75" s="3318">
        <v>74</v>
      </c>
      <c r="B75" s="3319"/>
      <c r="C75" s="3207" t="s">
        <v>5901</v>
      </c>
      <c r="D75" s="3327"/>
      <c r="E75" s="3328"/>
      <c r="F75" s="3318">
        <v>104</v>
      </c>
      <c r="G75" s="3319"/>
      <c r="H75" s="3325" t="s">
        <v>5898</v>
      </c>
      <c r="I75" s="3326"/>
      <c r="J75" s="3316">
        <v>53.76</v>
      </c>
      <c r="K75" s="3317"/>
      <c r="L75" s="3208">
        <v>23.87</v>
      </c>
    </row>
    <row r="76" spans="1:12">
      <c r="A76" s="3318">
        <v>75</v>
      </c>
      <c r="B76" s="3319"/>
      <c r="C76" s="3207" t="s">
        <v>5901</v>
      </c>
      <c r="D76" s="3327"/>
      <c r="E76" s="3328"/>
      <c r="F76" s="3318">
        <v>105</v>
      </c>
      <c r="G76" s="3319"/>
      <c r="H76" s="3325" t="s">
        <v>5898</v>
      </c>
      <c r="I76" s="3326"/>
      <c r="J76" s="3316">
        <v>23.66</v>
      </c>
      <c r="K76" s="3317"/>
      <c r="L76" s="3208">
        <v>10.51</v>
      </c>
    </row>
    <row r="77" spans="1:12">
      <c r="A77" s="3318">
        <v>76</v>
      </c>
      <c r="B77" s="3319"/>
      <c r="C77" s="3207" t="s">
        <v>5901</v>
      </c>
      <c r="D77" s="3327"/>
      <c r="E77" s="3328"/>
      <c r="F77" s="3318">
        <v>106</v>
      </c>
      <c r="G77" s="3319"/>
      <c r="H77" s="3325" t="s">
        <v>5898</v>
      </c>
      <c r="I77" s="3326"/>
      <c r="J77" s="3316">
        <v>23.66</v>
      </c>
      <c r="K77" s="3317"/>
      <c r="L77" s="3208">
        <v>10.51</v>
      </c>
    </row>
    <row r="78" spans="1:12">
      <c r="A78" s="3318">
        <v>77</v>
      </c>
      <c r="B78" s="3319"/>
      <c r="C78" s="3207" t="s">
        <v>5901</v>
      </c>
      <c r="D78" s="3327"/>
      <c r="E78" s="3328"/>
      <c r="F78" s="3318">
        <v>107</v>
      </c>
      <c r="G78" s="3319"/>
      <c r="H78" s="3325" t="s">
        <v>5898</v>
      </c>
      <c r="I78" s="3326"/>
      <c r="J78" s="3316">
        <v>56.69</v>
      </c>
      <c r="K78" s="3317"/>
      <c r="L78" s="3208">
        <v>25.17</v>
      </c>
    </row>
    <row r="79" spans="1:12">
      <c r="A79" s="3318">
        <v>78</v>
      </c>
      <c r="B79" s="3319"/>
      <c r="C79" s="3207" t="s">
        <v>5901</v>
      </c>
      <c r="D79" s="3327"/>
      <c r="E79" s="3328"/>
      <c r="F79" s="3318">
        <v>108</v>
      </c>
      <c r="G79" s="3319"/>
      <c r="H79" s="3325" t="s">
        <v>5898</v>
      </c>
      <c r="I79" s="3326"/>
      <c r="J79" s="3316">
        <v>41.15</v>
      </c>
      <c r="K79" s="3317"/>
      <c r="L79" s="3208">
        <v>18.27</v>
      </c>
    </row>
    <row r="80" spans="1:12">
      <c r="A80" s="3318">
        <v>79</v>
      </c>
      <c r="B80" s="3319"/>
      <c r="C80" s="3207" t="s">
        <v>5901</v>
      </c>
      <c r="D80" s="3327"/>
      <c r="E80" s="3328"/>
      <c r="F80" s="3318">
        <v>109</v>
      </c>
      <c r="G80" s="3319"/>
      <c r="H80" s="3325" t="s">
        <v>5898</v>
      </c>
      <c r="I80" s="3326"/>
      <c r="J80" s="3316">
        <v>41.15</v>
      </c>
      <c r="K80" s="3317"/>
      <c r="L80" s="3208">
        <v>18.27</v>
      </c>
    </row>
    <row r="81" spans="1:12">
      <c r="A81" s="3318">
        <v>80</v>
      </c>
      <c r="B81" s="3319"/>
      <c r="C81" s="3207" t="s">
        <v>5901</v>
      </c>
      <c r="D81" s="3327"/>
      <c r="E81" s="3328"/>
      <c r="F81" s="3318">
        <v>110</v>
      </c>
      <c r="G81" s="3319"/>
      <c r="H81" s="3325" t="s">
        <v>5898</v>
      </c>
      <c r="I81" s="3326"/>
      <c r="J81" s="3316">
        <v>56.69</v>
      </c>
      <c r="K81" s="3317"/>
      <c r="L81" s="3208">
        <v>25.17</v>
      </c>
    </row>
    <row r="82" spans="1:12">
      <c r="A82" s="3318">
        <v>81</v>
      </c>
      <c r="B82" s="3319"/>
      <c r="C82" s="3207" t="s">
        <v>5901</v>
      </c>
      <c r="D82" s="3327"/>
      <c r="E82" s="3328"/>
      <c r="F82" s="3318">
        <v>111</v>
      </c>
      <c r="G82" s="3319"/>
      <c r="H82" s="3325" t="s">
        <v>5898</v>
      </c>
      <c r="I82" s="3326"/>
      <c r="J82" s="3316">
        <v>23.66</v>
      </c>
      <c r="K82" s="3317"/>
      <c r="L82" s="3208">
        <v>10.51</v>
      </c>
    </row>
    <row r="83" spans="1:12">
      <c r="A83" s="3318">
        <v>82</v>
      </c>
      <c r="B83" s="3319"/>
      <c r="C83" s="3207" t="s">
        <v>5901</v>
      </c>
      <c r="D83" s="3327"/>
      <c r="E83" s="3328"/>
      <c r="F83" s="3318">
        <v>117</v>
      </c>
      <c r="G83" s="3319"/>
      <c r="H83" s="3325" t="s">
        <v>5898</v>
      </c>
      <c r="I83" s="3326"/>
      <c r="J83" s="3316">
        <v>27.65</v>
      </c>
      <c r="K83" s="3317"/>
      <c r="L83" s="3208">
        <v>12.28</v>
      </c>
    </row>
    <row r="84" spans="1:12">
      <c r="A84" s="3318">
        <v>83</v>
      </c>
      <c r="B84" s="3319"/>
      <c r="C84" s="3207" t="s">
        <v>5901</v>
      </c>
      <c r="D84" s="3327"/>
      <c r="E84" s="3328"/>
      <c r="F84" s="3318">
        <v>118</v>
      </c>
      <c r="G84" s="3319"/>
      <c r="H84" s="3325" t="s">
        <v>5898</v>
      </c>
      <c r="I84" s="3326"/>
      <c r="J84" s="3316">
        <v>19.170000000000002</v>
      </c>
      <c r="K84" s="3317"/>
      <c r="L84" s="3208">
        <v>8.51</v>
      </c>
    </row>
    <row r="85" spans="1:12">
      <c r="A85" s="3318">
        <v>84</v>
      </c>
      <c r="B85" s="3319"/>
      <c r="C85" s="3207" t="s">
        <v>5901</v>
      </c>
      <c r="D85" s="3327"/>
      <c r="E85" s="3328"/>
      <c r="F85" s="3318">
        <v>119</v>
      </c>
      <c r="G85" s="3319"/>
      <c r="H85" s="3325" t="s">
        <v>5898</v>
      </c>
      <c r="I85" s="3326"/>
      <c r="J85" s="3316">
        <v>19.170000000000002</v>
      </c>
      <c r="K85" s="3317"/>
      <c r="L85" s="3208">
        <v>8.51</v>
      </c>
    </row>
    <row r="86" spans="1:12">
      <c r="A86" s="3318">
        <v>85</v>
      </c>
      <c r="B86" s="3319"/>
      <c r="C86" s="3207" t="s">
        <v>5901</v>
      </c>
      <c r="D86" s="3327"/>
      <c r="E86" s="3328"/>
      <c r="F86" s="3318">
        <v>120</v>
      </c>
      <c r="G86" s="3319"/>
      <c r="H86" s="3325" t="s">
        <v>5898</v>
      </c>
      <c r="I86" s="3326"/>
      <c r="J86" s="3316">
        <v>27.65</v>
      </c>
      <c r="K86" s="3317"/>
      <c r="L86" s="3208">
        <v>12.28</v>
      </c>
    </row>
    <row r="87" spans="1:12">
      <c r="A87" s="3318">
        <v>86</v>
      </c>
      <c r="B87" s="3319"/>
      <c r="C87" s="3207" t="s">
        <v>5901</v>
      </c>
      <c r="D87" s="3327"/>
      <c r="E87" s="3328"/>
      <c r="F87" s="3318">
        <v>201</v>
      </c>
      <c r="G87" s="3319"/>
      <c r="H87" s="3325" t="s">
        <v>5898</v>
      </c>
      <c r="I87" s="3326"/>
      <c r="J87" s="3316">
        <v>18.350000000000001</v>
      </c>
      <c r="K87" s="3317"/>
      <c r="L87" s="3208">
        <v>8.15</v>
      </c>
    </row>
    <row r="88" spans="1:12">
      <c r="A88" s="3318">
        <v>87</v>
      </c>
      <c r="B88" s="3319"/>
      <c r="C88" s="3207" t="s">
        <v>5901</v>
      </c>
      <c r="D88" s="3327"/>
      <c r="E88" s="3328"/>
      <c r="F88" s="3318">
        <v>202</v>
      </c>
      <c r="G88" s="3319"/>
      <c r="H88" s="3325" t="s">
        <v>5898</v>
      </c>
      <c r="I88" s="3326"/>
      <c r="J88" s="3316">
        <v>16.36</v>
      </c>
      <c r="K88" s="3317"/>
      <c r="L88" s="3208">
        <v>7.27</v>
      </c>
    </row>
    <row r="89" spans="1:12">
      <c r="A89" s="3318">
        <v>88</v>
      </c>
      <c r="B89" s="3319"/>
      <c r="C89" s="3207" t="s">
        <v>5901</v>
      </c>
      <c r="D89" s="3327"/>
      <c r="E89" s="3328"/>
      <c r="F89" s="3318">
        <v>203</v>
      </c>
      <c r="G89" s="3319"/>
      <c r="H89" s="3325" t="s">
        <v>5898</v>
      </c>
      <c r="I89" s="3326"/>
      <c r="J89" s="3316">
        <v>12.41</v>
      </c>
      <c r="K89" s="3317"/>
      <c r="L89" s="3208">
        <v>5.51</v>
      </c>
    </row>
    <row r="90" spans="1:12">
      <c r="A90" s="3318">
        <v>89</v>
      </c>
      <c r="B90" s="3319"/>
      <c r="C90" s="3207" t="s">
        <v>5902</v>
      </c>
      <c r="D90" s="3327"/>
      <c r="E90" s="3328"/>
      <c r="F90" s="3318">
        <v>101</v>
      </c>
      <c r="G90" s="3319"/>
      <c r="H90" s="3325" t="s">
        <v>5898</v>
      </c>
      <c r="I90" s="3326"/>
      <c r="J90" s="3316">
        <v>27.29</v>
      </c>
      <c r="K90" s="3317"/>
      <c r="L90" s="3208">
        <v>12.12</v>
      </c>
    </row>
    <row r="91" spans="1:12">
      <c r="A91" s="3318">
        <v>90</v>
      </c>
      <c r="B91" s="3319"/>
      <c r="C91" s="3207" t="s">
        <v>5902</v>
      </c>
      <c r="D91" s="3327"/>
      <c r="E91" s="3328"/>
      <c r="F91" s="3318">
        <v>102</v>
      </c>
      <c r="G91" s="3319"/>
      <c r="H91" s="3325" t="s">
        <v>5898</v>
      </c>
      <c r="I91" s="3326"/>
      <c r="J91" s="3316">
        <v>22.38</v>
      </c>
      <c r="K91" s="3317"/>
      <c r="L91" s="3208">
        <v>9.94</v>
      </c>
    </row>
    <row r="92" spans="1:12">
      <c r="A92" s="3318">
        <v>91</v>
      </c>
      <c r="B92" s="3319"/>
      <c r="C92" s="3207" t="s">
        <v>5902</v>
      </c>
      <c r="D92" s="3327"/>
      <c r="E92" s="3328"/>
      <c r="F92" s="3318">
        <v>103</v>
      </c>
      <c r="G92" s="3319"/>
      <c r="H92" s="3325" t="s">
        <v>5898</v>
      </c>
      <c r="I92" s="3326"/>
      <c r="J92" s="3316">
        <v>47.06</v>
      </c>
      <c r="K92" s="3317"/>
      <c r="L92" s="3208">
        <v>20.9</v>
      </c>
    </row>
    <row r="93" spans="1:12">
      <c r="A93" s="3318">
        <v>92</v>
      </c>
      <c r="B93" s="3319"/>
      <c r="C93" s="3207" t="s">
        <v>5902</v>
      </c>
      <c r="D93" s="3327"/>
      <c r="E93" s="3328"/>
      <c r="F93" s="3318">
        <v>104</v>
      </c>
      <c r="G93" s="3319"/>
      <c r="H93" s="3325" t="s">
        <v>5898</v>
      </c>
      <c r="I93" s="3326"/>
      <c r="J93" s="3320">
        <v>48.7</v>
      </c>
      <c r="K93" s="3321"/>
      <c r="L93" s="3208">
        <v>21.63</v>
      </c>
    </row>
    <row r="94" spans="1:12">
      <c r="A94" s="3318">
        <v>93</v>
      </c>
      <c r="B94" s="3319"/>
      <c r="C94" s="3207" t="s">
        <v>5902</v>
      </c>
      <c r="D94" s="3327"/>
      <c r="E94" s="3328"/>
      <c r="F94" s="3318">
        <v>105</v>
      </c>
      <c r="G94" s="3319"/>
      <c r="H94" s="3325" t="s">
        <v>5898</v>
      </c>
      <c r="I94" s="3326"/>
      <c r="J94" s="3320">
        <v>23.2</v>
      </c>
      <c r="K94" s="3321"/>
      <c r="L94" s="3208">
        <v>10.3</v>
      </c>
    </row>
    <row r="95" spans="1:12">
      <c r="A95" s="3318">
        <v>94</v>
      </c>
      <c r="B95" s="3319"/>
      <c r="C95" s="3207" t="s">
        <v>5902</v>
      </c>
      <c r="D95" s="3327"/>
      <c r="E95" s="3328"/>
      <c r="F95" s="3318">
        <v>106</v>
      </c>
      <c r="G95" s="3319"/>
      <c r="H95" s="3325" t="s">
        <v>5898</v>
      </c>
      <c r="I95" s="3326"/>
      <c r="J95" s="3320">
        <v>23.2</v>
      </c>
      <c r="K95" s="3321"/>
      <c r="L95" s="3208">
        <v>10.3</v>
      </c>
    </row>
    <row r="96" spans="1:12">
      <c r="A96" s="3318">
        <v>95</v>
      </c>
      <c r="B96" s="3319"/>
      <c r="C96" s="3207" t="s">
        <v>5902</v>
      </c>
      <c r="D96" s="3327"/>
      <c r="E96" s="3328"/>
      <c r="F96" s="3318">
        <v>107</v>
      </c>
      <c r="G96" s="3319"/>
      <c r="H96" s="3325" t="s">
        <v>5898</v>
      </c>
      <c r="I96" s="3326"/>
      <c r="J96" s="3320">
        <v>48.7</v>
      </c>
      <c r="K96" s="3321"/>
      <c r="L96" s="3208">
        <v>21.63</v>
      </c>
    </row>
    <row r="97" spans="1:12">
      <c r="A97" s="3318">
        <v>96</v>
      </c>
      <c r="B97" s="3319"/>
      <c r="C97" s="3207" t="s">
        <v>5902</v>
      </c>
      <c r="D97" s="3327"/>
      <c r="E97" s="3328"/>
      <c r="F97" s="3318">
        <v>108</v>
      </c>
      <c r="G97" s="3319"/>
      <c r="H97" s="3325" t="s">
        <v>5898</v>
      </c>
      <c r="I97" s="3326"/>
      <c r="J97" s="3320">
        <v>47.1</v>
      </c>
      <c r="K97" s="3321"/>
      <c r="L97" s="3208">
        <v>20.92</v>
      </c>
    </row>
    <row r="98" spans="1:12">
      <c r="A98" s="3318">
        <v>97</v>
      </c>
      <c r="B98" s="3319"/>
      <c r="C98" s="3207" t="s">
        <v>5902</v>
      </c>
      <c r="D98" s="3327"/>
      <c r="E98" s="3328"/>
      <c r="F98" s="3318">
        <v>109</v>
      </c>
      <c r="G98" s="3319"/>
      <c r="H98" s="3325" t="s">
        <v>5898</v>
      </c>
      <c r="I98" s="3326"/>
      <c r="J98" s="3316">
        <v>27.52</v>
      </c>
      <c r="K98" s="3317"/>
      <c r="L98" s="3208">
        <v>12.22</v>
      </c>
    </row>
    <row r="99" spans="1:12">
      <c r="A99" s="3318">
        <v>98</v>
      </c>
      <c r="B99" s="3319"/>
      <c r="C99" s="3207" t="s">
        <v>5902</v>
      </c>
      <c r="D99" s="3327"/>
      <c r="E99" s="3328"/>
      <c r="F99" s="3318">
        <v>201</v>
      </c>
      <c r="G99" s="3319"/>
      <c r="H99" s="3325" t="s">
        <v>5898</v>
      </c>
      <c r="I99" s="3326"/>
      <c r="J99" s="3316">
        <v>16.940000000000001</v>
      </c>
      <c r="K99" s="3317"/>
      <c r="L99" s="3208">
        <v>7.52</v>
      </c>
    </row>
    <row r="100" spans="1:12">
      <c r="A100" s="3318">
        <v>99</v>
      </c>
      <c r="B100" s="3319"/>
      <c r="C100" s="3207" t="s">
        <v>5902</v>
      </c>
      <c r="D100" s="3327"/>
      <c r="E100" s="3328"/>
      <c r="F100" s="3318">
        <v>202</v>
      </c>
      <c r="G100" s="3319"/>
      <c r="H100" s="3325" t="s">
        <v>5898</v>
      </c>
      <c r="I100" s="3326"/>
      <c r="J100" s="3316">
        <v>26.37</v>
      </c>
      <c r="K100" s="3317"/>
      <c r="L100" s="3208">
        <v>11.71</v>
      </c>
    </row>
    <row r="101" spans="1:12">
      <c r="A101" s="3318">
        <v>100</v>
      </c>
      <c r="B101" s="3319"/>
      <c r="C101" s="3207" t="s">
        <v>5902</v>
      </c>
      <c r="D101" s="3327"/>
      <c r="E101" s="3328"/>
      <c r="F101" s="3318">
        <v>203</v>
      </c>
      <c r="G101" s="3319"/>
      <c r="H101" s="3325" t="s">
        <v>5898</v>
      </c>
      <c r="I101" s="3326"/>
      <c r="J101" s="3316">
        <v>19.690000000000001</v>
      </c>
      <c r="K101" s="3317"/>
      <c r="L101" s="3208">
        <v>8.74</v>
      </c>
    </row>
    <row r="102" spans="1:12">
      <c r="A102" s="3318">
        <v>101</v>
      </c>
      <c r="B102" s="3319"/>
      <c r="C102" s="3207" t="s">
        <v>5902</v>
      </c>
      <c r="D102" s="3327"/>
      <c r="E102" s="3328"/>
      <c r="F102" s="3318">
        <v>204</v>
      </c>
      <c r="G102" s="3319"/>
      <c r="H102" s="3325" t="s">
        <v>5898</v>
      </c>
      <c r="I102" s="3326"/>
      <c r="J102" s="3316">
        <v>19.690000000000001</v>
      </c>
      <c r="K102" s="3317"/>
      <c r="L102" s="3208">
        <v>8.74</v>
      </c>
    </row>
    <row r="103" spans="1:12">
      <c r="A103" s="3318">
        <v>102</v>
      </c>
      <c r="B103" s="3319"/>
      <c r="C103" s="3207" t="s">
        <v>5902</v>
      </c>
      <c r="D103" s="3327"/>
      <c r="E103" s="3328"/>
      <c r="F103" s="3318">
        <v>205</v>
      </c>
      <c r="G103" s="3319"/>
      <c r="H103" s="3325" t="s">
        <v>5898</v>
      </c>
      <c r="I103" s="3326"/>
      <c r="J103" s="3316">
        <v>16.440000000000001</v>
      </c>
      <c r="K103" s="3317"/>
      <c r="L103" s="3208">
        <v>7.3</v>
      </c>
    </row>
    <row r="104" spans="1:12">
      <c r="A104" s="3318">
        <v>103</v>
      </c>
      <c r="B104" s="3319"/>
      <c r="C104" s="3207" t="s">
        <v>5903</v>
      </c>
      <c r="D104" s="3327"/>
      <c r="E104" s="3328"/>
      <c r="F104" s="3318">
        <v>201</v>
      </c>
      <c r="G104" s="3319"/>
      <c r="H104" s="3325" t="s">
        <v>5898</v>
      </c>
      <c r="I104" s="3326"/>
      <c r="J104" s="3316">
        <v>15.67</v>
      </c>
      <c r="K104" s="3317"/>
      <c r="L104" s="3208">
        <v>6.96</v>
      </c>
    </row>
    <row r="105" spans="1:12">
      <c r="A105" s="3318">
        <v>104</v>
      </c>
      <c r="B105" s="3319"/>
      <c r="C105" s="3207" t="s">
        <v>5904</v>
      </c>
      <c r="D105" s="3327"/>
      <c r="E105" s="3328"/>
      <c r="F105" s="3318">
        <v>106</v>
      </c>
      <c r="G105" s="3319"/>
      <c r="H105" s="3325" t="s">
        <v>5898</v>
      </c>
      <c r="I105" s="3326"/>
      <c r="J105" s="3316">
        <v>23.61</v>
      </c>
      <c r="K105" s="3317"/>
      <c r="L105" s="3208">
        <v>10.48</v>
      </c>
    </row>
    <row r="106" spans="1:12">
      <c r="A106" s="3318">
        <v>105</v>
      </c>
      <c r="B106" s="3319"/>
      <c r="C106" s="3207" t="s">
        <v>5904</v>
      </c>
      <c r="D106" s="3327"/>
      <c r="E106" s="3328"/>
      <c r="F106" s="3318">
        <v>107</v>
      </c>
      <c r="G106" s="3319"/>
      <c r="H106" s="3325" t="s">
        <v>5898</v>
      </c>
      <c r="I106" s="3326"/>
      <c r="J106" s="3316">
        <v>56.57</v>
      </c>
      <c r="K106" s="3317"/>
      <c r="L106" s="3208">
        <v>25.12</v>
      </c>
    </row>
    <row r="107" spans="1:12">
      <c r="A107" s="3318">
        <v>106</v>
      </c>
      <c r="B107" s="3319"/>
      <c r="C107" s="3207" t="s">
        <v>5904</v>
      </c>
      <c r="D107" s="3327"/>
      <c r="E107" s="3328"/>
      <c r="F107" s="3318">
        <v>108</v>
      </c>
      <c r="G107" s="3319"/>
      <c r="H107" s="3325" t="s">
        <v>5898</v>
      </c>
      <c r="I107" s="3326"/>
      <c r="J107" s="3316">
        <v>41.37</v>
      </c>
      <c r="K107" s="3317"/>
      <c r="L107" s="3208">
        <v>18.37</v>
      </c>
    </row>
    <row r="108" spans="1:12">
      <c r="A108" s="3318">
        <v>107</v>
      </c>
      <c r="B108" s="3319"/>
      <c r="C108" s="3207" t="s">
        <v>5904</v>
      </c>
      <c r="D108" s="3327"/>
      <c r="E108" s="3328"/>
      <c r="F108" s="3318">
        <v>109</v>
      </c>
      <c r="G108" s="3319"/>
      <c r="H108" s="3325" t="s">
        <v>5898</v>
      </c>
      <c r="I108" s="3326"/>
      <c r="J108" s="3316">
        <v>41.37</v>
      </c>
      <c r="K108" s="3317"/>
      <c r="L108" s="3208">
        <v>18.37</v>
      </c>
    </row>
    <row r="109" spans="1:12">
      <c r="A109" s="3318">
        <v>108</v>
      </c>
      <c r="B109" s="3319"/>
      <c r="C109" s="3207" t="s">
        <v>5904</v>
      </c>
      <c r="D109" s="3327"/>
      <c r="E109" s="3328"/>
      <c r="F109" s="3318">
        <v>110</v>
      </c>
      <c r="G109" s="3319"/>
      <c r="H109" s="3325" t="s">
        <v>5898</v>
      </c>
      <c r="I109" s="3326"/>
      <c r="J109" s="3316">
        <v>56.57</v>
      </c>
      <c r="K109" s="3317"/>
      <c r="L109" s="3208">
        <v>25.12</v>
      </c>
    </row>
    <row r="110" spans="1:12">
      <c r="A110" s="3318">
        <v>109</v>
      </c>
      <c r="B110" s="3319"/>
      <c r="C110" s="3207" t="s">
        <v>5904</v>
      </c>
      <c r="D110" s="3327"/>
      <c r="E110" s="3328"/>
      <c r="F110" s="3318">
        <v>111</v>
      </c>
      <c r="G110" s="3319"/>
      <c r="H110" s="3325" t="s">
        <v>5898</v>
      </c>
      <c r="I110" s="3326"/>
      <c r="J110" s="3316">
        <v>23.61</v>
      </c>
      <c r="K110" s="3317"/>
      <c r="L110" s="3208">
        <v>10.48</v>
      </c>
    </row>
    <row r="111" spans="1:12">
      <c r="A111" s="3318">
        <v>110</v>
      </c>
      <c r="B111" s="3319"/>
      <c r="C111" s="3207" t="s">
        <v>5904</v>
      </c>
      <c r="D111" s="3327"/>
      <c r="E111" s="3328"/>
      <c r="F111" s="3318">
        <v>115</v>
      </c>
      <c r="G111" s="3319"/>
      <c r="H111" s="3325" t="s">
        <v>5898</v>
      </c>
      <c r="I111" s="3326"/>
      <c r="J111" s="3316">
        <v>41.06</v>
      </c>
      <c r="K111" s="3317"/>
      <c r="L111" s="3208">
        <v>18.23</v>
      </c>
    </row>
    <row r="112" spans="1:12">
      <c r="A112" s="3318">
        <v>111</v>
      </c>
      <c r="B112" s="3319"/>
      <c r="C112" s="3207" t="s">
        <v>5904</v>
      </c>
      <c r="D112" s="3327"/>
      <c r="E112" s="3328"/>
      <c r="F112" s="3318">
        <v>116</v>
      </c>
      <c r="G112" s="3319"/>
      <c r="H112" s="3325" t="s">
        <v>5898</v>
      </c>
      <c r="I112" s="3326"/>
      <c r="J112" s="3316">
        <v>56.57</v>
      </c>
      <c r="K112" s="3317"/>
      <c r="L112" s="3208">
        <v>25.12</v>
      </c>
    </row>
    <row r="113" spans="1:12">
      <c r="A113" s="3318">
        <v>112</v>
      </c>
      <c r="B113" s="3319"/>
      <c r="C113" s="3207" t="s">
        <v>5904</v>
      </c>
      <c r="D113" s="3327"/>
      <c r="E113" s="3328"/>
      <c r="F113" s="3318">
        <v>117</v>
      </c>
      <c r="G113" s="3319"/>
      <c r="H113" s="3325" t="s">
        <v>5898</v>
      </c>
      <c r="I113" s="3326"/>
      <c r="J113" s="3316">
        <v>23.61</v>
      </c>
      <c r="K113" s="3317"/>
      <c r="L113" s="3208">
        <v>10.48</v>
      </c>
    </row>
    <row r="114" spans="1:12">
      <c r="A114" s="3318">
        <v>113</v>
      </c>
      <c r="B114" s="3319"/>
      <c r="C114" s="3207" t="s">
        <v>5904</v>
      </c>
      <c r="D114" s="3327"/>
      <c r="E114" s="3328"/>
      <c r="F114" s="3318">
        <v>118</v>
      </c>
      <c r="G114" s="3319"/>
      <c r="H114" s="3325" t="s">
        <v>5898</v>
      </c>
      <c r="I114" s="3326"/>
      <c r="J114" s="3316">
        <v>23.61</v>
      </c>
      <c r="K114" s="3317"/>
      <c r="L114" s="3208">
        <v>10.48</v>
      </c>
    </row>
    <row r="115" spans="1:12">
      <c r="A115" s="3318">
        <v>114</v>
      </c>
      <c r="B115" s="3319"/>
      <c r="C115" s="3207" t="s">
        <v>5904</v>
      </c>
      <c r="D115" s="3327"/>
      <c r="E115" s="3328"/>
      <c r="F115" s="3318">
        <v>119</v>
      </c>
      <c r="G115" s="3319"/>
      <c r="H115" s="3325" t="s">
        <v>5898</v>
      </c>
      <c r="I115" s="3326"/>
      <c r="J115" s="3316">
        <v>49.55</v>
      </c>
      <c r="K115" s="3317"/>
      <c r="L115" s="3208">
        <v>22</v>
      </c>
    </row>
    <row r="116" spans="1:12">
      <c r="A116" s="3318">
        <v>115</v>
      </c>
      <c r="B116" s="3319"/>
      <c r="C116" s="3207" t="s">
        <v>5904</v>
      </c>
      <c r="D116" s="3327"/>
      <c r="E116" s="3328"/>
      <c r="F116" s="3318">
        <v>120</v>
      </c>
      <c r="G116" s="3319"/>
      <c r="H116" s="3325" t="s">
        <v>5898</v>
      </c>
      <c r="I116" s="3326"/>
      <c r="J116" s="3316">
        <v>47.92</v>
      </c>
      <c r="K116" s="3317"/>
      <c r="L116" s="3208">
        <v>21.28</v>
      </c>
    </row>
    <row r="117" spans="1:12">
      <c r="A117" s="3318">
        <v>116</v>
      </c>
      <c r="B117" s="3319"/>
      <c r="C117" s="3207" t="s">
        <v>5904</v>
      </c>
      <c r="D117" s="3327"/>
      <c r="E117" s="3328"/>
      <c r="F117" s="3318">
        <v>121</v>
      </c>
      <c r="G117" s="3319"/>
      <c r="H117" s="3325" t="s">
        <v>5898</v>
      </c>
      <c r="I117" s="3326"/>
      <c r="J117" s="3316">
        <v>22.78</v>
      </c>
      <c r="K117" s="3317"/>
      <c r="L117" s="3208">
        <v>10.119999999999999</v>
      </c>
    </row>
    <row r="118" spans="1:12">
      <c r="A118" s="3318">
        <v>117</v>
      </c>
      <c r="B118" s="3319"/>
      <c r="C118" s="3207" t="s">
        <v>5904</v>
      </c>
      <c r="D118" s="3327"/>
      <c r="E118" s="3328"/>
      <c r="F118" s="3318">
        <v>122</v>
      </c>
      <c r="G118" s="3319"/>
      <c r="H118" s="3325" t="s">
        <v>5898</v>
      </c>
      <c r="I118" s="3326"/>
      <c r="J118" s="3316">
        <v>27.95</v>
      </c>
      <c r="K118" s="3317"/>
      <c r="L118" s="3208">
        <v>12.41</v>
      </c>
    </row>
    <row r="119" spans="1:12">
      <c r="A119" s="3318">
        <v>118</v>
      </c>
      <c r="B119" s="3319"/>
      <c r="C119" s="3207" t="s">
        <v>5904</v>
      </c>
      <c r="D119" s="3327"/>
      <c r="E119" s="3328"/>
      <c r="F119" s="3318">
        <v>123</v>
      </c>
      <c r="G119" s="3319"/>
      <c r="H119" s="3325" t="s">
        <v>5898</v>
      </c>
      <c r="I119" s="3326"/>
      <c r="J119" s="3316">
        <v>27.59</v>
      </c>
      <c r="K119" s="3317"/>
      <c r="L119" s="3208">
        <v>12.25</v>
      </c>
    </row>
    <row r="120" spans="1:12">
      <c r="A120" s="3318">
        <v>119</v>
      </c>
      <c r="B120" s="3319"/>
      <c r="C120" s="3207" t="s">
        <v>5904</v>
      </c>
      <c r="D120" s="3327"/>
      <c r="E120" s="3328"/>
      <c r="F120" s="3318">
        <v>124</v>
      </c>
      <c r="G120" s="3319"/>
      <c r="H120" s="3325" t="s">
        <v>5898</v>
      </c>
      <c r="I120" s="3326"/>
      <c r="J120" s="3316">
        <v>19.13</v>
      </c>
      <c r="K120" s="3317"/>
      <c r="L120" s="3208">
        <v>8.5</v>
      </c>
    </row>
    <row r="121" spans="1:12">
      <c r="A121" s="3318">
        <v>120</v>
      </c>
      <c r="B121" s="3319"/>
      <c r="C121" s="3207" t="s">
        <v>5904</v>
      </c>
      <c r="D121" s="3327"/>
      <c r="E121" s="3328"/>
      <c r="F121" s="3318">
        <v>126</v>
      </c>
      <c r="G121" s="3319"/>
      <c r="H121" s="3325" t="s">
        <v>5898</v>
      </c>
      <c r="I121" s="3326"/>
      <c r="J121" s="3316">
        <v>27.77</v>
      </c>
      <c r="K121" s="3317"/>
      <c r="L121" s="3208">
        <v>12.33</v>
      </c>
    </row>
    <row r="122" spans="1:12">
      <c r="A122" s="3318">
        <v>121</v>
      </c>
      <c r="B122" s="3319"/>
      <c r="C122" s="3207" t="s">
        <v>5904</v>
      </c>
      <c r="D122" s="3327"/>
      <c r="E122" s="3328"/>
      <c r="F122" s="3318">
        <v>127</v>
      </c>
      <c r="G122" s="3319"/>
      <c r="H122" s="3325" t="s">
        <v>5898</v>
      </c>
      <c r="I122" s="3326"/>
      <c r="J122" s="3316">
        <v>27.59</v>
      </c>
      <c r="K122" s="3317"/>
      <c r="L122" s="3208">
        <v>12.25</v>
      </c>
    </row>
    <row r="123" spans="1:12">
      <c r="A123" s="3318">
        <v>122</v>
      </c>
      <c r="B123" s="3319"/>
      <c r="C123" s="3207" t="s">
        <v>5904</v>
      </c>
      <c r="D123" s="3327"/>
      <c r="E123" s="3328"/>
      <c r="F123" s="3318">
        <v>128</v>
      </c>
      <c r="G123" s="3319"/>
      <c r="H123" s="3325" t="s">
        <v>5898</v>
      </c>
      <c r="I123" s="3326"/>
      <c r="J123" s="3316">
        <v>19.77</v>
      </c>
      <c r="K123" s="3317"/>
      <c r="L123" s="3208">
        <v>8.7799999999999994</v>
      </c>
    </row>
    <row r="124" spans="1:12">
      <c r="A124" s="3318">
        <v>123</v>
      </c>
      <c r="B124" s="3319"/>
      <c r="C124" s="3207" t="s">
        <v>5904</v>
      </c>
      <c r="D124" s="3327"/>
      <c r="E124" s="3328"/>
      <c r="F124" s="3318">
        <v>202</v>
      </c>
      <c r="G124" s="3319"/>
      <c r="H124" s="3325" t="s">
        <v>5898</v>
      </c>
      <c r="I124" s="3326"/>
      <c r="J124" s="3316">
        <v>16.329999999999998</v>
      </c>
      <c r="K124" s="3317"/>
      <c r="L124" s="3208">
        <v>7.25</v>
      </c>
    </row>
    <row r="125" spans="1:12">
      <c r="A125" s="3318">
        <v>124</v>
      </c>
      <c r="B125" s="3319"/>
      <c r="C125" s="3207" t="s">
        <v>5904</v>
      </c>
      <c r="D125" s="3327"/>
      <c r="E125" s="3328"/>
      <c r="F125" s="3318">
        <v>203</v>
      </c>
      <c r="G125" s="3319"/>
      <c r="H125" s="3325" t="s">
        <v>5898</v>
      </c>
      <c r="I125" s="3326"/>
      <c r="J125" s="3316">
        <v>12.38</v>
      </c>
      <c r="K125" s="3317"/>
      <c r="L125" s="3208">
        <v>5.5</v>
      </c>
    </row>
    <row r="126" spans="1:12">
      <c r="A126" s="3318">
        <v>125</v>
      </c>
      <c r="B126" s="3319"/>
      <c r="C126" s="3207" t="s">
        <v>5904</v>
      </c>
      <c r="D126" s="3327"/>
      <c r="E126" s="3328"/>
      <c r="F126" s="3318">
        <v>205</v>
      </c>
      <c r="G126" s="3319"/>
      <c r="H126" s="3325" t="s">
        <v>5898</v>
      </c>
      <c r="I126" s="3326"/>
      <c r="J126" s="3316">
        <v>12.38</v>
      </c>
      <c r="K126" s="3317"/>
      <c r="L126" s="3208">
        <v>5.5</v>
      </c>
    </row>
    <row r="127" spans="1:12">
      <c r="A127" s="3318">
        <v>126</v>
      </c>
      <c r="B127" s="3319"/>
      <c r="C127" s="3207" t="s">
        <v>5904</v>
      </c>
      <c r="D127" s="3327"/>
      <c r="E127" s="3328"/>
      <c r="F127" s="3318">
        <v>206</v>
      </c>
      <c r="G127" s="3319"/>
      <c r="H127" s="3325" t="s">
        <v>5898</v>
      </c>
      <c r="I127" s="3326"/>
      <c r="J127" s="3318">
        <v>17</v>
      </c>
      <c r="K127" s="3319"/>
      <c r="L127" s="3208">
        <v>7.55</v>
      </c>
    </row>
    <row r="128" spans="1:12">
      <c r="A128" s="3318">
        <v>127</v>
      </c>
      <c r="B128" s="3319"/>
      <c r="C128" s="3207" t="s">
        <v>5905</v>
      </c>
      <c r="D128" s="3327"/>
      <c r="E128" s="3328"/>
      <c r="F128" s="3318">
        <v>101</v>
      </c>
      <c r="G128" s="3319"/>
      <c r="H128" s="3325" t="s">
        <v>5898</v>
      </c>
      <c r="I128" s="3326"/>
      <c r="J128" s="3316">
        <v>30.98</v>
      </c>
      <c r="K128" s="3317"/>
      <c r="L128" s="3208">
        <v>13.76</v>
      </c>
    </row>
    <row r="129" spans="1:12">
      <c r="A129" s="3318">
        <v>128</v>
      </c>
      <c r="B129" s="3319"/>
      <c r="C129" s="3207" t="s">
        <v>5905</v>
      </c>
      <c r="D129" s="3327"/>
      <c r="E129" s="3328"/>
      <c r="F129" s="3318">
        <v>102</v>
      </c>
      <c r="G129" s="3319"/>
      <c r="H129" s="3325" t="s">
        <v>5898</v>
      </c>
      <c r="I129" s="3326"/>
      <c r="J129" s="3316">
        <v>16.059999999999999</v>
      </c>
      <c r="K129" s="3317"/>
      <c r="L129" s="3208">
        <v>7.13</v>
      </c>
    </row>
    <row r="130" spans="1:12">
      <c r="A130" s="3318">
        <v>129</v>
      </c>
      <c r="B130" s="3319"/>
      <c r="C130" s="3207" t="s">
        <v>5905</v>
      </c>
      <c r="D130" s="3327"/>
      <c r="E130" s="3328"/>
      <c r="F130" s="3318">
        <v>103</v>
      </c>
      <c r="G130" s="3319"/>
      <c r="H130" s="3325" t="s">
        <v>5898</v>
      </c>
      <c r="I130" s="3326"/>
      <c r="J130" s="3316">
        <v>46.48</v>
      </c>
      <c r="K130" s="3317"/>
      <c r="L130" s="3208">
        <v>20.64</v>
      </c>
    </row>
    <row r="131" spans="1:12">
      <c r="A131" s="3318">
        <v>130</v>
      </c>
      <c r="B131" s="3319"/>
      <c r="C131" s="3207" t="s">
        <v>5905</v>
      </c>
      <c r="D131" s="3327"/>
      <c r="E131" s="3328"/>
      <c r="F131" s="3318">
        <v>104</v>
      </c>
      <c r="G131" s="3319"/>
      <c r="H131" s="3325" t="s">
        <v>5898</v>
      </c>
      <c r="I131" s="3326"/>
      <c r="J131" s="3316">
        <v>53.69</v>
      </c>
      <c r="K131" s="3317"/>
      <c r="L131" s="3208">
        <v>23.84</v>
      </c>
    </row>
    <row r="132" spans="1:12">
      <c r="A132" s="3318">
        <v>131</v>
      </c>
      <c r="B132" s="3319"/>
      <c r="C132" s="3207" t="s">
        <v>5905</v>
      </c>
      <c r="D132" s="3327"/>
      <c r="E132" s="3328"/>
      <c r="F132" s="3318">
        <v>105</v>
      </c>
      <c r="G132" s="3319"/>
      <c r="H132" s="3325" t="s">
        <v>5898</v>
      </c>
      <c r="I132" s="3326"/>
      <c r="J132" s="3316">
        <v>23.63</v>
      </c>
      <c r="K132" s="3317"/>
      <c r="L132" s="3208">
        <v>10.49</v>
      </c>
    </row>
    <row r="133" spans="1:12">
      <c r="A133" s="3318">
        <v>132</v>
      </c>
      <c r="B133" s="3319"/>
      <c r="C133" s="3207" t="s">
        <v>5905</v>
      </c>
      <c r="D133" s="3327"/>
      <c r="E133" s="3328"/>
      <c r="F133" s="3318">
        <v>106</v>
      </c>
      <c r="G133" s="3319"/>
      <c r="H133" s="3325" t="s">
        <v>5898</v>
      </c>
      <c r="I133" s="3326"/>
      <c r="J133" s="3316">
        <v>23.66</v>
      </c>
      <c r="K133" s="3317"/>
      <c r="L133" s="3208">
        <v>10.51</v>
      </c>
    </row>
    <row r="134" spans="1:12">
      <c r="A134" s="3318">
        <v>133</v>
      </c>
      <c r="B134" s="3319"/>
      <c r="C134" s="3207" t="s">
        <v>5905</v>
      </c>
      <c r="D134" s="3327"/>
      <c r="E134" s="3328"/>
      <c r="F134" s="3318">
        <v>107</v>
      </c>
      <c r="G134" s="3319"/>
      <c r="H134" s="3325" t="s">
        <v>5898</v>
      </c>
      <c r="I134" s="3326"/>
      <c r="J134" s="3316">
        <v>56.65</v>
      </c>
      <c r="K134" s="3317"/>
      <c r="L134" s="3208">
        <v>25.16</v>
      </c>
    </row>
    <row r="135" spans="1:12">
      <c r="A135" s="3318">
        <v>134</v>
      </c>
      <c r="B135" s="3319"/>
      <c r="C135" s="3207" t="s">
        <v>5905</v>
      </c>
      <c r="D135" s="3327"/>
      <c r="E135" s="3328"/>
      <c r="F135" s="3318">
        <v>108</v>
      </c>
      <c r="G135" s="3319"/>
      <c r="H135" s="3325" t="s">
        <v>5898</v>
      </c>
      <c r="I135" s="3326"/>
      <c r="J135" s="3316">
        <v>41.09</v>
      </c>
      <c r="K135" s="3317"/>
      <c r="L135" s="3208">
        <v>18.25</v>
      </c>
    </row>
    <row r="136" spans="1:12">
      <c r="A136" s="3318">
        <v>135</v>
      </c>
      <c r="B136" s="3319"/>
      <c r="C136" s="3207" t="s">
        <v>5905</v>
      </c>
      <c r="D136" s="3327"/>
      <c r="E136" s="3328"/>
      <c r="F136" s="3318">
        <v>109</v>
      </c>
      <c r="G136" s="3319"/>
      <c r="H136" s="3325" t="s">
        <v>5898</v>
      </c>
      <c r="I136" s="3326"/>
      <c r="J136" s="3316">
        <v>41.09</v>
      </c>
      <c r="K136" s="3317"/>
      <c r="L136" s="3208">
        <v>18.25</v>
      </c>
    </row>
    <row r="137" spans="1:12">
      <c r="A137" s="3318">
        <v>136</v>
      </c>
      <c r="B137" s="3319"/>
      <c r="C137" s="3207" t="s">
        <v>5905</v>
      </c>
      <c r="D137" s="3327"/>
      <c r="E137" s="3328"/>
      <c r="F137" s="3318">
        <v>110</v>
      </c>
      <c r="G137" s="3319"/>
      <c r="H137" s="3325" t="s">
        <v>5898</v>
      </c>
      <c r="I137" s="3326"/>
      <c r="J137" s="3316">
        <v>56.65</v>
      </c>
      <c r="K137" s="3317"/>
      <c r="L137" s="3208">
        <v>25.16</v>
      </c>
    </row>
    <row r="138" spans="1:12">
      <c r="A138" s="3318">
        <v>137</v>
      </c>
      <c r="B138" s="3319"/>
      <c r="C138" s="3207" t="s">
        <v>5905</v>
      </c>
      <c r="D138" s="3327"/>
      <c r="E138" s="3328"/>
      <c r="F138" s="3318">
        <v>112</v>
      </c>
      <c r="G138" s="3319"/>
      <c r="H138" s="3325" t="s">
        <v>5898</v>
      </c>
      <c r="I138" s="3326"/>
      <c r="J138" s="3316">
        <v>23.63</v>
      </c>
      <c r="K138" s="3317"/>
      <c r="L138" s="3208">
        <v>10.49</v>
      </c>
    </row>
    <row r="139" spans="1:12">
      <c r="A139" s="3318">
        <v>138</v>
      </c>
      <c r="B139" s="3319"/>
      <c r="C139" s="3207" t="s">
        <v>5905</v>
      </c>
      <c r="D139" s="3327"/>
      <c r="E139" s="3328"/>
      <c r="F139" s="3318">
        <v>113</v>
      </c>
      <c r="G139" s="3319"/>
      <c r="H139" s="3325" t="s">
        <v>5898</v>
      </c>
      <c r="I139" s="3326"/>
      <c r="J139" s="3316">
        <v>49.59</v>
      </c>
      <c r="K139" s="3317"/>
      <c r="L139" s="3208">
        <v>22.02</v>
      </c>
    </row>
    <row r="140" spans="1:12">
      <c r="A140" s="3318">
        <v>139</v>
      </c>
      <c r="B140" s="3319"/>
      <c r="C140" s="3207" t="s">
        <v>5905</v>
      </c>
      <c r="D140" s="3327"/>
      <c r="E140" s="3328"/>
      <c r="F140" s="3318">
        <v>114</v>
      </c>
      <c r="G140" s="3319"/>
      <c r="H140" s="3325" t="s">
        <v>5898</v>
      </c>
      <c r="I140" s="3326"/>
      <c r="J140" s="3316">
        <v>47.96</v>
      </c>
      <c r="K140" s="3317"/>
      <c r="L140" s="3208">
        <v>21.3</v>
      </c>
    </row>
    <row r="141" spans="1:12">
      <c r="A141" s="3318">
        <v>140</v>
      </c>
      <c r="B141" s="3319"/>
      <c r="C141" s="3207" t="s">
        <v>5905</v>
      </c>
      <c r="D141" s="3327"/>
      <c r="E141" s="3328"/>
      <c r="F141" s="3318">
        <v>115</v>
      </c>
      <c r="G141" s="3319"/>
      <c r="H141" s="3325" t="s">
        <v>5898</v>
      </c>
      <c r="I141" s="3326"/>
      <c r="J141" s="3316">
        <v>22.62</v>
      </c>
      <c r="K141" s="3317"/>
      <c r="L141" s="3208">
        <v>10.050000000000001</v>
      </c>
    </row>
    <row r="142" spans="1:12">
      <c r="A142" s="3318">
        <v>141</v>
      </c>
      <c r="B142" s="3319"/>
      <c r="C142" s="3207" t="s">
        <v>5905</v>
      </c>
      <c r="D142" s="3327"/>
      <c r="E142" s="3328"/>
      <c r="F142" s="3318">
        <v>116</v>
      </c>
      <c r="G142" s="3319"/>
      <c r="H142" s="3325" t="s">
        <v>5898</v>
      </c>
      <c r="I142" s="3326"/>
      <c r="J142" s="3316">
        <v>27.97</v>
      </c>
      <c r="K142" s="3317"/>
      <c r="L142" s="3208">
        <v>12.42</v>
      </c>
    </row>
    <row r="143" spans="1:12">
      <c r="A143" s="3318">
        <v>142</v>
      </c>
      <c r="B143" s="3319"/>
      <c r="C143" s="3207" t="s">
        <v>5905</v>
      </c>
      <c r="D143" s="3327"/>
      <c r="E143" s="3328"/>
      <c r="F143" s="3318">
        <v>117</v>
      </c>
      <c r="G143" s="3319"/>
      <c r="H143" s="3325" t="s">
        <v>5898</v>
      </c>
      <c r="I143" s="3326"/>
      <c r="J143" s="3316">
        <v>27.62</v>
      </c>
      <c r="K143" s="3317"/>
      <c r="L143" s="3208">
        <v>12.27</v>
      </c>
    </row>
    <row r="144" spans="1:12">
      <c r="A144" s="3318">
        <v>143</v>
      </c>
      <c r="B144" s="3319"/>
      <c r="C144" s="3207" t="s">
        <v>5905</v>
      </c>
      <c r="D144" s="3327"/>
      <c r="E144" s="3328"/>
      <c r="F144" s="3318">
        <v>118</v>
      </c>
      <c r="G144" s="3319"/>
      <c r="H144" s="3325" t="s">
        <v>5898</v>
      </c>
      <c r="I144" s="3326"/>
      <c r="J144" s="3316">
        <v>19.149999999999999</v>
      </c>
      <c r="K144" s="3317"/>
      <c r="L144" s="3208">
        <v>8.5</v>
      </c>
    </row>
    <row r="145" spans="1:12">
      <c r="A145" s="3318">
        <v>144</v>
      </c>
      <c r="B145" s="3319"/>
      <c r="C145" s="3207" t="s">
        <v>5905</v>
      </c>
      <c r="D145" s="3327"/>
      <c r="E145" s="3328"/>
      <c r="F145" s="3318">
        <v>119</v>
      </c>
      <c r="G145" s="3319"/>
      <c r="H145" s="3325" t="s">
        <v>5898</v>
      </c>
      <c r="I145" s="3326"/>
      <c r="J145" s="3316">
        <v>19.149999999999999</v>
      </c>
      <c r="K145" s="3317"/>
      <c r="L145" s="3208">
        <v>8.5</v>
      </c>
    </row>
    <row r="146" spans="1:12">
      <c r="A146" s="3318">
        <v>145</v>
      </c>
      <c r="B146" s="3319"/>
      <c r="C146" s="3207" t="s">
        <v>5905</v>
      </c>
      <c r="D146" s="3327"/>
      <c r="E146" s="3328"/>
      <c r="F146" s="3318">
        <v>120</v>
      </c>
      <c r="G146" s="3319"/>
      <c r="H146" s="3325" t="s">
        <v>5898</v>
      </c>
      <c r="I146" s="3326"/>
      <c r="J146" s="3316">
        <v>27.62</v>
      </c>
      <c r="K146" s="3317"/>
      <c r="L146" s="3208">
        <v>12.27</v>
      </c>
    </row>
    <row r="147" spans="1:12">
      <c r="A147" s="3318">
        <v>146</v>
      </c>
      <c r="B147" s="3319"/>
      <c r="C147" s="3207" t="s">
        <v>5905</v>
      </c>
      <c r="D147" s="3327"/>
      <c r="E147" s="3328"/>
      <c r="F147" s="3318">
        <v>201</v>
      </c>
      <c r="G147" s="3319"/>
      <c r="H147" s="3325" t="s">
        <v>5898</v>
      </c>
      <c r="I147" s="3326"/>
      <c r="J147" s="3316">
        <v>18.329999999999998</v>
      </c>
      <c r="K147" s="3317"/>
      <c r="L147" s="3208">
        <v>8.14</v>
      </c>
    </row>
    <row r="148" spans="1:12">
      <c r="A148" s="3318">
        <v>147</v>
      </c>
      <c r="B148" s="3319"/>
      <c r="C148" s="3207" t="s">
        <v>5905</v>
      </c>
      <c r="D148" s="3327"/>
      <c r="E148" s="3328"/>
      <c r="F148" s="3318">
        <v>203</v>
      </c>
      <c r="G148" s="3319"/>
      <c r="H148" s="3325" t="s">
        <v>5898</v>
      </c>
      <c r="I148" s="3326"/>
      <c r="J148" s="3316">
        <v>16.34</v>
      </c>
      <c r="K148" s="3317"/>
      <c r="L148" s="3208">
        <v>7.26</v>
      </c>
    </row>
    <row r="149" spans="1:12">
      <c r="A149" s="3318">
        <v>148</v>
      </c>
      <c r="B149" s="3319"/>
      <c r="C149" s="3207" t="s">
        <v>5905</v>
      </c>
      <c r="D149" s="3327"/>
      <c r="E149" s="3328"/>
      <c r="F149" s="3318">
        <v>204</v>
      </c>
      <c r="G149" s="3319"/>
      <c r="H149" s="3325" t="s">
        <v>5898</v>
      </c>
      <c r="I149" s="3326"/>
      <c r="J149" s="3316">
        <v>17.02</v>
      </c>
      <c r="K149" s="3317"/>
      <c r="L149" s="3208">
        <v>7.56</v>
      </c>
    </row>
    <row r="150" spans="1:12">
      <c r="A150" s="3318">
        <v>149</v>
      </c>
      <c r="B150" s="3319"/>
      <c r="C150" s="3207" t="s">
        <v>5906</v>
      </c>
      <c r="D150" s="3327"/>
      <c r="E150" s="3328"/>
      <c r="F150" s="3318">
        <v>101</v>
      </c>
      <c r="G150" s="3319"/>
      <c r="H150" s="3325" t="s">
        <v>5898</v>
      </c>
      <c r="I150" s="3326"/>
      <c r="J150" s="3316">
        <v>27.99</v>
      </c>
      <c r="K150" s="3317"/>
      <c r="L150" s="3208">
        <v>12.43</v>
      </c>
    </row>
    <row r="151" spans="1:12">
      <c r="A151" s="3318">
        <v>150</v>
      </c>
      <c r="B151" s="3319"/>
      <c r="C151" s="3207" t="s">
        <v>5906</v>
      </c>
      <c r="D151" s="3327"/>
      <c r="E151" s="3328"/>
      <c r="F151" s="3318">
        <v>102</v>
      </c>
      <c r="G151" s="3319"/>
      <c r="H151" s="3325" t="s">
        <v>5898</v>
      </c>
      <c r="I151" s="3326"/>
      <c r="J151" s="3320">
        <v>22.8</v>
      </c>
      <c r="K151" s="3321"/>
      <c r="L151" s="3208">
        <v>10.130000000000001</v>
      </c>
    </row>
    <row r="152" spans="1:12">
      <c r="A152" s="3318">
        <v>151</v>
      </c>
      <c r="B152" s="3319"/>
      <c r="C152" s="3207" t="s">
        <v>5906</v>
      </c>
      <c r="D152" s="3327"/>
      <c r="E152" s="3328"/>
      <c r="F152" s="3318">
        <v>103</v>
      </c>
      <c r="G152" s="3319"/>
      <c r="H152" s="3325" t="s">
        <v>5898</v>
      </c>
      <c r="I152" s="3326"/>
      <c r="J152" s="3316">
        <v>47.99</v>
      </c>
      <c r="K152" s="3317"/>
      <c r="L152" s="3208">
        <v>21.31</v>
      </c>
    </row>
    <row r="153" spans="1:12">
      <c r="A153" s="3318">
        <v>152</v>
      </c>
      <c r="B153" s="3319"/>
      <c r="C153" s="3207" t="s">
        <v>5906</v>
      </c>
      <c r="D153" s="3327"/>
      <c r="E153" s="3328"/>
      <c r="F153" s="3318">
        <v>104</v>
      </c>
      <c r="G153" s="3319"/>
      <c r="H153" s="3325" t="s">
        <v>5898</v>
      </c>
      <c r="I153" s="3326"/>
      <c r="J153" s="3316">
        <v>49.61</v>
      </c>
      <c r="K153" s="3317"/>
      <c r="L153" s="3208">
        <v>22.03</v>
      </c>
    </row>
    <row r="154" spans="1:12">
      <c r="A154" s="3318">
        <v>153</v>
      </c>
      <c r="B154" s="3319"/>
      <c r="C154" s="3207" t="s">
        <v>5906</v>
      </c>
      <c r="D154" s="3327"/>
      <c r="E154" s="3328"/>
      <c r="F154" s="3318">
        <v>105</v>
      </c>
      <c r="G154" s="3319"/>
      <c r="H154" s="3325" t="s">
        <v>5898</v>
      </c>
      <c r="I154" s="3326"/>
      <c r="J154" s="3316">
        <v>23.64</v>
      </c>
      <c r="K154" s="3317"/>
      <c r="L154" s="3208">
        <v>10.5</v>
      </c>
    </row>
    <row r="155" spans="1:12">
      <c r="A155" s="3318">
        <v>154</v>
      </c>
      <c r="B155" s="3319"/>
      <c r="C155" s="3207" t="s">
        <v>5906</v>
      </c>
      <c r="D155" s="3327"/>
      <c r="E155" s="3328"/>
      <c r="F155" s="3318">
        <v>107</v>
      </c>
      <c r="G155" s="3319"/>
      <c r="H155" s="3325" t="s">
        <v>5898</v>
      </c>
      <c r="I155" s="3326"/>
      <c r="J155" s="3316">
        <v>56.68</v>
      </c>
      <c r="K155" s="3317"/>
      <c r="L155" s="3208">
        <v>25.17</v>
      </c>
    </row>
    <row r="156" spans="1:12">
      <c r="A156" s="3318">
        <v>155</v>
      </c>
      <c r="B156" s="3319"/>
      <c r="C156" s="3207" t="s">
        <v>5906</v>
      </c>
      <c r="D156" s="3327"/>
      <c r="E156" s="3328"/>
      <c r="F156" s="3318">
        <v>108</v>
      </c>
      <c r="G156" s="3319"/>
      <c r="H156" s="3325" t="s">
        <v>5898</v>
      </c>
      <c r="I156" s="3326"/>
      <c r="J156" s="3316">
        <v>41.11</v>
      </c>
      <c r="K156" s="3317"/>
      <c r="L156" s="3208">
        <v>18.260000000000002</v>
      </c>
    </row>
    <row r="157" spans="1:12">
      <c r="A157" s="3318">
        <v>156</v>
      </c>
      <c r="B157" s="3319"/>
      <c r="C157" s="3207" t="s">
        <v>5906</v>
      </c>
      <c r="D157" s="3327"/>
      <c r="E157" s="3328"/>
      <c r="F157" s="3318">
        <v>109</v>
      </c>
      <c r="G157" s="3319"/>
      <c r="H157" s="3325" t="s">
        <v>5898</v>
      </c>
      <c r="I157" s="3326"/>
      <c r="J157" s="3316">
        <v>41.11</v>
      </c>
      <c r="K157" s="3317"/>
      <c r="L157" s="3208">
        <v>18.260000000000002</v>
      </c>
    </row>
    <row r="158" spans="1:12">
      <c r="A158" s="3318">
        <v>157</v>
      </c>
      <c r="B158" s="3319"/>
      <c r="C158" s="3207" t="s">
        <v>5906</v>
      </c>
      <c r="D158" s="3327"/>
      <c r="E158" s="3328"/>
      <c r="F158" s="3318">
        <v>110</v>
      </c>
      <c r="G158" s="3319"/>
      <c r="H158" s="3325" t="s">
        <v>5898</v>
      </c>
      <c r="I158" s="3326"/>
      <c r="J158" s="3316">
        <v>56.68</v>
      </c>
      <c r="K158" s="3317"/>
      <c r="L158" s="3208">
        <v>25.17</v>
      </c>
    </row>
    <row r="159" spans="1:12">
      <c r="A159" s="3318">
        <v>158</v>
      </c>
      <c r="B159" s="3319"/>
      <c r="C159" s="3207" t="s">
        <v>5906</v>
      </c>
      <c r="D159" s="3327"/>
      <c r="E159" s="3328"/>
      <c r="F159" s="3318">
        <v>112</v>
      </c>
      <c r="G159" s="3319"/>
      <c r="H159" s="3325" t="s">
        <v>5898</v>
      </c>
      <c r="I159" s="3326"/>
      <c r="J159" s="3316">
        <v>23.64</v>
      </c>
      <c r="K159" s="3317"/>
      <c r="L159" s="3208">
        <v>10.5</v>
      </c>
    </row>
    <row r="160" spans="1:12">
      <c r="A160" s="3318">
        <v>159</v>
      </c>
      <c r="B160" s="3319"/>
      <c r="C160" s="3207" t="s">
        <v>5906</v>
      </c>
      <c r="D160" s="3327"/>
      <c r="E160" s="3328"/>
      <c r="F160" s="3318">
        <v>113</v>
      </c>
      <c r="G160" s="3319"/>
      <c r="H160" s="3325" t="s">
        <v>5898</v>
      </c>
      <c r="I160" s="3326"/>
      <c r="J160" s="3316">
        <v>53.72</v>
      </c>
      <c r="K160" s="3317"/>
      <c r="L160" s="3208">
        <v>23.86</v>
      </c>
    </row>
    <row r="161" spans="1:12">
      <c r="A161" s="3318">
        <v>160</v>
      </c>
      <c r="B161" s="3319"/>
      <c r="C161" s="3207" t="s">
        <v>5906</v>
      </c>
      <c r="D161" s="3327"/>
      <c r="E161" s="3328"/>
      <c r="F161" s="3318">
        <v>114</v>
      </c>
      <c r="G161" s="3319"/>
      <c r="H161" s="3325" t="s">
        <v>5898</v>
      </c>
      <c r="I161" s="3326"/>
      <c r="J161" s="3320">
        <v>46.5</v>
      </c>
      <c r="K161" s="3321"/>
      <c r="L161" s="3208">
        <v>20.65</v>
      </c>
    </row>
    <row r="162" spans="1:12">
      <c r="A162" s="3318">
        <v>161</v>
      </c>
      <c r="B162" s="3319"/>
      <c r="C162" s="3207" t="s">
        <v>5906</v>
      </c>
      <c r="D162" s="3327"/>
      <c r="E162" s="3328"/>
      <c r="F162" s="3318">
        <v>115</v>
      </c>
      <c r="G162" s="3319"/>
      <c r="H162" s="3325" t="s">
        <v>5898</v>
      </c>
      <c r="I162" s="3326"/>
      <c r="J162" s="3316">
        <v>16.07</v>
      </c>
      <c r="K162" s="3317"/>
      <c r="L162" s="3208">
        <v>7.14</v>
      </c>
    </row>
    <row r="163" spans="1:12">
      <c r="A163" s="3318">
        <v>162</v>
      </c>
      <c r="B163" s="3319"/>
      <c r="C163" s="3207" t="s">
        <v>5906</v>
      </c>
      <c r="D163" s="3327"/>
      <c r="E163" s="3328"/>
      <c r="F163" s="3318">
        <v>116</v>
      </c>
      <c r="G163" s="3319"/>
      <c r="H163" s="3325" t="s">
        <v>5898</v>
      </c>
      <c r="I163" s="3326"/>
      <c r="J163" s="3318">
        <v>31</v>
      </c>
      <c r="K163" s="3319"/>
      <c r="L163" s="3208">
        <v>13.77</v>
      </c>
    </row>
    <row r="164" spans="1:12">
      <c r="A164" s="3318">
        <v>163</v>
      </c>
      <c r="B164" s="3319"/>
      <c r="C164" s="3207" t="s">
        <v>5906</v>
      </c>
      <c r="D164" s="3327"/>
      <c r="E164" s="3328"/>
      <c r="F164" s="3318">
        <v>119</v>
      </c>
      <c r="G164" s="3319"/>
      <c r="H164" s="3325" t="s">
        <v>5898</v>
      </c>
      <c r="I164" s="3326"/>
      <c r="J164" s="3316">
        <v>19.16</v>
      </c>
      <c r="K164" s="3317"/>
      <c r="L164" s="3208">
        <v>8.51</v>
      </c>
    </row>
    <row r="165" spans="1:12">
      <c r="A165" s="3318">
        <v>164</v>
      </c>
      <c r="B165" s="3319"/>
      <c r="C165" s="3207" t="s">
        <v>5906</v>
      </c>
      <c r="D165" s="3327"/>
      <c r="E165" s="3328"/>
      <c r="F165" s="3318">
        <v>120</v>
      </c>
      <c r="G165" s="3319"/>
      <c r="H165" s="3325" t="s">
        <v>5898</v>
      </c>
      <c r="I165" s="3326"/>
      <c r="J165" s="3316">
        <v>27.63</v>
      </c>
      <c r="K165" s="3317"/>
      <c r="L165" s="3208">
        <v>12.27</v>
      </c>
    </row>
    <row r="166" spans="1:12">
      <c r="A166" s="3318">
        <v>165</v>
      </c>
      <c r="B166" s="3319"/>
      <c r="C166" s="3207" t="s">
        <v>5906</v>
      </c>
      <c r="D166" s="3327"/>
      <c r="E166" s="3328"/>
      <c r="F166" s="3318">
        <v>201</v>
      </c>
      <c r="G166" s="3319"/>
      <c r="H166" s="3325" t="s">
        <v>5898</v>
      </c>
      <c r="I166" s="3326"/>
      <c r="J166" s="3316">
        <v>16.350000000000001</v>
      </c>
      <c r="K166" s="3317"/>
      <c r="L166" s="3208">
        <v>7.26</v>
      </c>
    </row>
    <row r="167" spans="1:12">
      <c r="A167" s="3318">
        <v>166</v>
      </c>
      <c r="B167" s="3319"/>
      <c r="C167" s="3207" t="s">
        <v>5906</v>
      </c>
      <c r="D167" s="3327"/>
      <c r="E167" s="3328"/>
      <c r="F167" s="3318">
        <v>203</v>
      </c>
      <c r="G167" s="3319"/>
      <c r="H167" s="3325" t="s">
        <v>5898</v>
      </c>
      <c r="I167" s="3326"/>
      <c r="J167" s="3316">
        <v>17.78</v>
      </c>
      <c r="K167" s="3317"/>
      <c r="L167" s="3208">
        <v>7.9</v>
      </c>
    </row>
    <row r="168" spans="1:12">
      <c r="A168" s="3318">
        <v>167</v>
      </c>
      <c r="B168" s="3319"/>
      <c r="C168" s="3207" t="s">
        <v>5906</v>
      </c>
      <c r="D168" s="3327"/>
      <c r="E168" s="3328"/>
      <c r="F168" s="3318">
        <v>204</v>
      </c>
      <c r="G168" s="3319"/>
      <c r="H168" s="3325" t="s">
        <v>5898</v>
      </c>
      <c r="I168" s="3326"/>
      <c r="J168" s="3316">
        <v>20.59</v>
      </c>
      <c r="K168" s="3317"/>
      <c r="L168" s="3208">
        <v>9.14</v>
      </c>
    </row>
    <row r="169" spans="1:12">
      <c r="A169" s="3318">
        <v>168</v>
      </c>
      <c r="B169" s="3319"/>
      <c r="C169" s="3207" t="s">
        <v>5907</v>
      </c>
      <c r="D169" s="3327"/>
      <c r="E169" s="3328"/>
      <c r="F169" s="3318">
        <v>106</v>
      </c>
      <c r="G169" s="3319"/>
      <c r="H169" s="3325" t="s">
        <v>5898</v>
      </c>
      <c r="I169" s="3326"/>
      <c r="J169" s="3316">
        <v>23.69</v>
      </c>
      <c r="K169" s="3317"/>
      <c r="L169" s="3208">
        <v>10.52</v>
      </c>
    </row>
    <row r="170" spans="1:12">
      <c r="A170" s="3318">
        <v>169</v>
      </c>
      <c r="B170" s="3319"/>
      <c r="C170" s="3207" t="s">
        <v>5907</v>
      </c>
      <c r="D170" s="3327"/>
      <c r="E170" s="3328"/>
      <c r="F170" s="3318">
        <v>107</v>
      </c>
      <c r="G170" s="3319"/>
      <c r="H170" s="3325" t="s">
        <v>5898</v>
      </c>
      <c r="I170" s="3326"/>
      <c r="J170" s="3316">
        <v>56.77</v>
      </c>
      <c r="K170" s="3317"/>
      <c r="L170" s="3208">
        <v>25.21</v>
      </c>
    </row>
    <row r="171" spans="1:12">
      <c r="A171" s="3318">
        <v>170</v>
      </c>
      <c r="B171" s="3319"/>
      <c r="C171" s="3207" t="s">
        <v>5907</v>
      </c>
      <c r="D171" s="3327"/>
      <c r="E171" s="3328"/>
      <c r="F171" s="3318">
        <v>108</v>
      </c>
      <c r="G171" s="3319"/>
      <c r="H171" s="3325" t="s">
        <v>5898</v>
      </c>
      <c r="I171" s="3326"/>
      <c r="J171" s="3316">
        <v>41.51</v>
      </c>
      <c r="K171" s="3317"/>
      <c r="L171" s="3208">
        <v>18.43</v>
      </c>
    </row>
    <row r="172" spans="1:12">
      <c r="A172" s="3318">
        <v>171</v>
      </c>
      <c r="B172" s="3319"/>
      <c r="C172" s="3207" t="s">
        <v>5907</v>
      </c>
      <c r="D172" s="3327"/>
      <c r="E172" s="3328"/>
      <c r="F172" s="3318">
        <v>109</v>
      </c>
      <c r="G172" s="3319"/>
      <c r="H172" s="3325" t="s">
        <v>5898</v>
      </c>
      <c r="I172" s="3326"/>
      <c r="J172" s="3316">
        <v>41.51</v>
      </c>
      <c r="K172" s="3317"/>
      <c r="L172" s="3208">
        <v>18.43</v>
      </c>
    </row>
    <row r="173" spans="1:12">
      <c r="A173" s="3318">
        <v>172</v>
      </c>
      <c r="B173" s="3319"/>
      <c r="C173" s="3207" t="s">
        <v>5907</v>
      </c>
      <c r="D173" s="3327"/>
      <c r="E173" s="3328"/>
      <c r="F173" s="3318">
        <v>110</v>
      </c>
      <c r="G173" s="3319"/>
      <c r="H173" s="3325" t="s">
        <v>5898</v>
      </c>
      <c r="I173" s="3326"/>
      <c r="J173" s="3316">
        <v>56.77</v>
      </c>
      <c r="K173" s="3317"/>
      <c r="L173" s="3208">
        <v>25.21</v>
      </c>
    </row>
    <row r="174" spans="1:12">
      <c r="A174" s="3318">
        <v>173</v>
      </c>
      <c r="B174" s="3319"/>
      <c r="C174" s="3207" t="s">
        <v>5907</v>
      </c>
      <c r="D174" s="3327"/>
      <c r="E174" s="3328"/>
      <c r="F174" s="3318">
        <v>111</v>
      </c>
      <c r="G174" s="3319"/>
      <c r="H174" s="3325" t="s">
        <v>5898</v>
      </c>
      <c r="I174" s="3326"/>
      <c r="J174" s="3316">
        <v>23.69</v>
      </c>
      <c r="K174" s="3317"/>
      <c r="L174" s="3208">
        <v>10.52</v>
      </c>
    </row>
    <row r="175" spans="1:12">
      <c r="A175" s="3318">
        <v>174</v>
      </c>
      <c r="B175" s="3319"/>
      <c r="C175" s="3207" t="s">
        <v>5907</v>
      </c>
      <c r="D175" s="3327"/>
      <c r="E175" s="3328"/>
      <c r="F175" s="3318">
        <v>123</v>
      </c>
      <c r="G175" s="3319"/>
      <c r="H175" s="3325" t="s">
        <v>5898</v>
      </c>
      <c r="I175" s="3326"/>
      <c r="J175" s="3316">
        <v>27.69</v>
      </c>
      <c r="K175" s="3317"/>
      <c r="L175" s="3208">
        <v>12.3</v>
      </c>
    </row>
    <row r="176" spans="1:12">
      <c r="A176" s="3318">
        <v>175</v>
      </c>
      <c r="B176" s="3319"/>
      <c r="C176" s="3207" t="s">
        <v>5907</v>
      </c>
      <c r="D176" s="3327"/>
      <c r="E176" s="3328"/>
      <c r="F176" s="3318">
        <v>124</v>
      </c>
      <c r="G176" s="3319"/>
      <c r="H176" s="3325" t="s">
        <v>5898</v>
      </c>
      <c r="I176" s="3326"/>
      <c r="J176" s="3320">
        <v>19.2</v>
      </c>
      <c r="K176" s="3321"/>
      <c r="L176" s="3208">
        <v>8.5299999999999994</v>
      </c>
    </row>
    <row r="177" spans="1:12">
      <c r="A177" s="3318">
        <v>176</v>
      </c>
      <c r="B177" s="3319"/>
      <c r="C177" s="3207" t="s">
        <v>5907</v>
      </c>
      <c r="D177" s="3327"/>
      <c r="E177" s="3328"/>
      <c r="F177" s="3318">
        <v>125</v>
      </c>
      <c r="G177" s="3319"/>
      <c r="H177" s="3325" t="s">
        <v>5898</v>
      </c>
      <c r="I177" s="3326"/>
      <c r="J177" s="3320">
        <v>19.2</v>
      </c>
      <c r="K177" s="3321"/>
      <c r="L177" s="3208">
        <v>8.5299999999999994</v>
      </c>
    </row>
    <row r="178" spans="1:12">
      <c r="A178" s="3318">
        <v>177</v>
      </c>
      <c r="B178" s="3319"/>
      <c r="C178" s="3207" t="s">
        <v>5907</v>
      </c>
      <c r="D178" s="3327"/>
      <c r="E178" s="3328"/>
      <c r="F178" s="3318">
        <v>127</v>
      </c>
      <c r="G178" s="3319"/>
      <c r="H178" s="3325" t="s">
        <v>5898</v>
      </c>
      <c r="I178" s="3326"/>
      <c r="J178" s="3316">
        <v>27.69</v>
      </c>
      <c r="K178" s="3317"/>
      <c r="L178" s="3208">
        <v>12.3</v>
      </c>
    </row>
    <row r="179" spans="1:12">
      <c r="A179" s="3318">
        <v>178</v>
      </c>
      <c r="B179" s="3319"/>
      <c r="C179" s="3207" t="s">
        <v>5907</v>
      </c>
      <c r="D179" s="3327"/>
      <c r="E179" s="3328"/>
      <c r="F179" s="3318">
        <v>128</v>
      </c>
      <c r="G179" s="3319"/>
      <c r="H179" s="3325" t="s">
        <v>5898</v>
      </c>
      <c r="I179" s="3326"/>
      <c r="J179" s="3316">
        <v>19.84</v>
      </c>
      <c r="K179" s="3317"/>
      <c r="L179" s="3208">
        <v>8.81</v>
      </c>
    </row>
    <row r="180" spans="1:12">
      <c r="A180" s="3318">
        <v>179</v>
      </c>
      <c r="B180" s="3319"/>
      <c r="C180" s="3207" t="s">
        <v>5907</v>
      </c>
      <c r="D180" s="3327"/>
      <c r="E180" s="3328"/>
      <c r="F180" s="3318">
        <v>129</v>
      </c>
      <c r="G180" s="3319"/>
      <c r="H180" s="3325" t="s">
        <v>5898</v>
      </c>
      <c r="I180" s="3326"/>
      <c r="J180" s="3316">
        <v>19.84</v>
      </c>
      <c r="K180" s="3317"/>
      <c r="L180" s="3208">
        <v>8.81</v>
      </c>
    </row>
    <row r="181" spans="1:12">
      <c r="A181" s="3318">
        <v>180</v>
      </c>
      <c r="B181" s="3319"/>
      <c r="C181" s="3207" t="s">
        <v>5907</v>
      </c>
      <c r="D181" s="3327"/>
      <c r="E181" s="3328"/>
      <c r="F181" s="3318">
        <v>130</v>
      </c>
      <c r="G181" s="3319"/>
      <c r="H181" s="3325" t="s">
        <v>5898</v>
      </c>
      <c r="I181" s="3326"/>
      <c r="J181" s="3316">
        <v>27.69</v>
      </c>
      <c r="K181" s="3317"/>
      <c r="L181" s="3208">
        <v>12.3</v>
      </c>
    </row>
    <row r="182" spans="1:12">
      <c r="A182" s="3318">
        <v>181</v>
      </c>
      <c r="B182" s="3319"/>
      <c r="C182" s="3207" t="s">
        <v>5907</v>
      </c>
      <c r="D182" s="3327"/>
      <c r="E182" s="3328"/>
      <c r="F182" s="3318">
        <v>202</v>
      </c>
      <c r="G182" s="3319"/>
      <c r="H182" s="3325" t="s">
        <v>5898</v>
      </c>
      <c r="I182" s="3326"/>
      <c r="J182" s="3316">
        <v>16.39</v>
      </c>
      <c r="K182" s="3317"/>
      <c r="L182" s="3208">
        <v>7.28</v>
      </c>
    </row>
    <row r="183" spans="1:12">
      <c r="A183" s="3318">
        <v>182</v>
      </c>
      <c r="B183" s="3319"/>
      <c r="C183" s="3207" t="s">
        <v>5907</v>
      </c>
      <c r="D183" s="3327"/>
      <c r="E183" s="3328"/>
      <c r="F183" s="3318">
        <v>203</v>
      </c>
      <c r="G183" s="3319"/>
      <c r="H183" s="3325" t="s">
        <v>5898</v>
      </c>
      <c r="I183" s="3326"/>
      <c r="J183" s="3316">
        <v>12.42</v>
      </c>
      <c r="K183" s="3317"/>
      <c r="L183" s="3208">
        <v>5.52</v>
      </c>
    </row>
    <row r="184" spans="1:12">
      <c r="A184" s="3318">
        <v>183</v>
      </c>
      <c r="B184" s="3319"/>
      <c r="C184" s="3207" t="s">
        <v>5908</v>
      </c>
      <c r="D184" s="3327"/>
      <c r="E184" s="3328"/>
      <c r="F184" s="3318">
        <v>106</v>
      </c>
      <c r="G184" s="3319"/>
      <c r="H184" s="3325" t="s">
        <v>5898</v>
      </c>
      <c r="I184" s="3326"/>
      <c r="J184" s="3320">
        <v>34.1</v>
      </c>
      <c r="K184" s="3321"/>
      <c r="L184" s="3210">
        <v>15.14</v>
      </c>
    </row>
    <row r="185" spans="1:12">
      <c r="A185" s="3318">
        <v>184</v>
      </c>
      <c r="B185" s="3319"/>
      <c r="C185" s="3207" t="s">
        <v>5908</v>
      </c>
      <c r="D185" s="3327"/>
      <c r="E185" s="3328"/>
      <c r="F185" s="3318">
        <v>107</v>
      </c>
      <c r="G185" s="3319"/>
      <c r="H185" s="3325" t="s">
        <v>5898</v>
      </c>
      <c r="I185" s="3326"/>
      <c r="J185" s="3316">
        <v>62.51</v>
      </c>
      <c r="K185" s="3317"/>
      <c r="L185" s="3210">
        <v>27.76</v>
      </c>
    </row>
    <row r="186" spans="1:12">
      <c r="A186" s="3318">
        <v>185</v>
      </c>
      <c r="B186" s="3319"/>
      <c r="C186" s="3207" t="s">
        <v>5908</v>
      </c>
      <c r="D186" s="3327"/>
      <c r="E186" s="3328"/>
      <c r="F186" s="3318">
        <v>108</v>
      </c>
      <c r="G186" s="3319"/>
      <c r="H186" s="3325" t="s">
        <v>5898</v>
      </c>
      <c r="I186" s="3326"/>
      <c r="J186" s="3320">
        <v>47.4</v>
      </c>
      <c r="K186" s="3321"/>
      <c r="L186" s="3210">
        <v>21.05</v>
      </c>
    </row>
    <row r="187" spans="1:12">
      <c r="A187" s="3318">
        <v>186</v>
      </c>
      <c r="B187" s="3319"/>
      <c r="C187" s="3207" t="s">
        <v>5908</v>
      </c>
      <c r="D187" s="3327"/>
      <c r="E187" s="3328"/>
      <c r="F187" s="3318">
        <v>109</v>
      </c>
      <c r="G187" s="3319"/>
      <c r="H187" s="3325" t="s">
        <v>5898</v>
      </c>
      <c r="I187" s="3326"/>
      <c r="J187" s="3320">
        <v>47.4</v>
      </c>
      <c r="K187" s="3321"/>
      <c r="L187" s="3210">
        <v>21.05</v>
      </c>
    </row>
    <row r="188" spans="1:12">
      <c r="A188" s="3318">
        <v>187</v>
      </c>
      <c r="B188" s="3319"/>
      <c r="C188" s="3207" t="s">
        <v>5908</v>
      </c>
      <c r="D188" s="3327"/>
      <c r="E188" s="3328"/>
      <c r="F188" s="3318">
        <v>110</v>
      </c>
      <c r="G188" s="3319"/>
      <c r="H188" s="3325" t="s">
        <v>5898</v>
      </c>
      <c r="I188" s="3326"/>
      <c r="J188" s="3316">
        <v>62.51</v>
      </c>
      <c r="K188" s="3317"/>
      <c r="L188" s="3210">
        <v>27.76</v>
      </c>
    </row>
    <row r="189" spans="1:12">
      <c r="A189" s="3318">
        <v>188</v>
      </c>
      <c r="B189" s="3319"/>
      <c r="C189" s="3207" t="s">
        <v>5908</v>
      </c>
      <c r="D189" s="3327"/>
      <c r="E189" s="3328"/>
      <c r="F189" s="3318">
        <v>111</v>
      </c>
      <c r="G189" s="3319"/>
      <c r="H189" s="3325" t="s">
        <v>5898</v>
      </c>
      <c r="I189" s="3326"/>
      <c r="J189" s="3320">
        <v>34.1</v>
      </c>
      <c r="K189" s="3321"/>
      <c r="L189" s="3210">
        <v>15.14</v>
      </c>
    </row>
    <row r="190" spans="1:12">
      <c r="A190" s="3318">
        <v>189</v>
      </c>
      <c r="B190" s="3319"/>
      <c r="C190" s="3207" t="s">
        <v>5908</v>
      </c>
      <c r="D190" s="3327"/>
      <c r="E190" s="3328"/>
      <c r="F190" s="3318">
        <v>112</v>
      </c>
      <c r="G190" s="3319"/>
      <c r="H190" s="3325" t="s">
        <v>5898</v>
      </c>
      <c r="I190" s="3326"/>
      <c r="J190" s="3320">
        <v>34.1</v>
      </c>
      <c r="K190" s="3321"/>
      <c r="L190" s="3210">
        <v>15.14</v>
      </c>
    </row>
    <row r="191" spans="1:12">
      <c r="A191" s="3318">
        <v>190</v>
      </c>
      <c r="B191" s="3319"/>
      <c r="C191" s="3207" t="s">
        <v>5908</v>
      </c>
      <c r="D191" s="3327"/>
      <c r="E191" s="3328"/>
      <c r="F191" s="3318">
        <v>113</v>
      </c>
      <c r="G191" s="3319"/>
      <c r="H191" s="3325" t="s">
        <v>5898</v>
      </c>
      <c r="I191" s="3326"/>
      <c r="J191" s="3316">
        <v>62.51</v>
      </c>
      <c r="K191" s="3317"/>
      <c r="L191" s="3210">
        <v>27.76</v>
      </c>
    </row>
    <row r="192" spans="1:12">
      <c r="A192" s="3318">
        <v>191</v>
      </c>
      <c r="B192" s="3319"/>
      <c r="C192" s="3207" t="s">
        <v>5908</v>
      </c>
      <c r="D192" s="3327"/>
      <c r="E192" s="3328"/>
      <c r="F192" s="3318">
        <v>114</v>
      </c>
      <c r="G192" s="3319"/>
      <c r="H192" s="3325" t="s">
        <v>5898</v>
      </c>
      <c r="I192" s="3326"/>
      <c r="J192" s="3316">
        <v>47.06</v>
      </c>
      <c r="K192" s="3317"/>
      <c r="L192" s="3210">
        <v>20.9</v>
      </c>
    </row>
    <row r="193" spans="1:12">
      <c r="A193" s="3318">
        <v>192</v>
      </c>
      <c r="B193" s="3319"/>
      <c r="C193" s="3207" t="s">
        <v>5908</v>
      </c>
      <c r="D193" s="3327"/>
      <c r="E193" s="3328"/>
      <c r="F193" s="3318">
        <v>115</v>
      </c>
      <c r="G193" s="3319"/>
      <c r="H193" s="3325" t="s">
        <v>5898</v>
      </c>
      <c r="I193" s="3326"/>
      <c r="J193" s="3316">
        <v>47.06</v>
      </c>
      <c r="K193" s="3317"/>
      <c r="L193" s="3210">
        <v>20.9</v>
      </c>
    </row>
    <row r="194" spans="1:12">
      <c r="A194" s="3318">
        <v>193</v>
      </c>
      <c r="B194" s="3319"/>
      <c r="C194" s="3207" t="s">
        <v>5908</v>
      </c>
      <c r="D194" s="3327"/>
      <c r="E194" s="3328"/>
      <c r="F194" s="3318">
        <v>116</v>
      </c>
      <c r="G194" s="3319"/>
      <c r="H194" s="3325" t="s">
        <v>5898</v>
      </c>
      <c r="I194" s="3326"/>
      <c r="J194" s="3316">
        <v>62.51</v>
      </c>
      <c r="K194" s="3317"/>
      <c r="L194" s="3210">
        <v>27.76</v>
      </c>
    </row>
    <row r="195" spans="1:12">
      <c r="A195" s="3318">
        <v>194</v>
      </c>
      <c r="B195" s="3319"/>
      <c r="C195" s="3207" t="s">
        <v>5908</v>
      </c>
      <c r="D195" s="3327"/>
      <c r="E195" s="3328"/>
      <c r="F195" s="3318">
        <v>117</v>
      </c>
      <c r="G195" s="3319"/>
      <c r="H195" s="3325" t="s">
        <v>5898</v>
      </c>
      <c r="I195" s="3326"/>
      <c r="J195" s="3320">
        <v>34.1</v>
      </c>
      <c r="K195" s="3321"/>
      <c r="L195" s="3210">
        <v>15.14</v>
      </c>
    </row>
    <row r="196" spans="1:12">
      <c r="A196" s="3318">
        <v>195</v>
      </c>
      <c r="B196" s="3319"/>
      <c r="C196" s="3207" t="s">
        <v>5908</v>
      </c>
      <c r="D196" s="3327"/>
      <c r="E196" s="3328"/>
      <c r="F196" s="3318">
        <v>118</v>
      </c>
      <c r="G196" s="3319"/>
      <c r="H196" s="3325" t="s">
        <v>5898</v>
      </c>
      <c r="I196" s="3326"/>
      <c r="J196" s="3320">
        <v>34.1</v>
      </c>
      <c r="K196" s="3321"/>
      <c r="L196" s="3210">
        <v>15.14</v>
      </c>
    </row>
    <row r="197" spans="1:12">
      <c r="A197" s="3318">
        <v>196</v>
      </c>
      <c r="B197" s="3319"/>
      <c r="C197" s="3207" t="s">
        <v>5908</v>
      </c>
      <c r="D197" s="3327"/>
      <c r="E197" s="3328"/>
      <c r="F197" s="3318">
        <v>119</v>
      </c>
      <c r="G197" s="3319"/>
      <c r="H197" s="3325" t="s">
        <v>5898</v>
      </c>
      <c r="I197" s="3326"/>
      <c r="J197" s="3316">
        <v>62.51</v>
      </c>
      <c r="K197" s="3317"/>
      <c r="L197" s="3210">
        <v>27.76</v>
      </c>
    </row>
    <row r="198" spans="1:12">
      <c r="A198" s="3318">
        <v>197</v>
      </c>
      <c r="B198" s="3319"/>
      <c r="C198" s="3207" t="s">
        <v>5908</v>
      </c>
      <c r="D198" s="3327"/>
      <c r="E198" s="3328"/>
      <c r="F198" s="3318">
        <v>120</v>
      </c>
      <c r="G198" s="3319"/>
      <c r="H198" s="3325" t="s">
        <v>5898</v>
      </c>
      <c r="I198" s="3326"/>
      <c r="J198" s="3316">
        <v>55.87</v>
      </c>
      <c r="K198" s="3317"/>
      <c r="L198" s="3210">
        <v>24.81</v>
      </c>
    </row>
    <row r="199" spans="1:12">
      <c r="A199" s="3318">
        <v>198</v>
      </c>
      <c r="B199" s="3319"/>
      <c r="C199" s="3207" t="s">
        <v>5908</v>
      </c>
      <c r="D199" s="3327"/>
      <c r="E199" s="3328"/>
      <c r="F199" s="3318">
        <v>121</v>
      </c>
      <c r="G199" s="3319"/>
      <c r="H199" s="3325" t="s">
        <v>5898</v>
      </c>
      <c r="I199" s="3326"/>
      <c r="J199" s="3316">
        <v>28.64</v>
      </c>
      <c r="K199" s="3317"/>
      <c r="L199" s="3210">
        <v>12.72</v>
      </c>
    </row>
    <row r="200" spans="1:12">
      <c r="A200" s="3318">
        <v>199</v>
      </c>
      <c r="B200" s="3319"/>
      <c r="C200" s="3207" t="s">
        <v>5908</v>
      </c>
      <c r="D200" s="3327"/>
      <c r="E200" s="3328"/>
      <c r="F200" s="3318">
        <v>122</v>
      </c>
      <c r="G200" s="3319"/>
      <c r="H200" s="3325" t="s">
        <v>5898</v>
      </c>
      <c r="I200" s="3326"/>
      <c r="J200" s="3316">
        <v>22.65</v>
      </c>
      <c r="K200" s="3317"/>
      <c r="L200" s="3210">
        <v>10.06</v>
      </c>
    </row>
    <row r="201" spans="1:12">
      <c r="A201" s="3318">
        <v>200</v>
      </c>
      <c r="B201" s="3319"/>
      <c r="C201" s="3207" t="s">
        <v>5908</v>
      </c>
      <c r="D201" s="3327"/>
      <c r="E201" s="3328"/>
      <c r="F201" s="3318">
        <v>123</v>
      </c>
      <c r="G201" s="3319"/>
      <c r="H201" s="3325" t="s">
        <v>5898</v>
      </c>
      <c r="I201" s="3326"/>
      <c r="J201" s="3316">
        <v>28.58</v>
      </c>
      <c r="K201" s="3317"/>
      <c r="L201" s="3210">
        <v>12.69</v>
      </c>
    </row>
    <row r="202" spans="1:12">
      <c r="A202" s="3318">
        <v>201</v>
      </c>
      <c r="B202" s="3319"/>
      <c r="C202" s="3207" t="s">
        <v>5908</v>
      </c>
      <c r="D202" s="3327"/>
      <c r="E202" s="3328"/>
      <c r="F202" s="3318">
        <v>124</v>
      </c>
      <c r="G202" s="3319"/>
      <c r="H202" s="3325" t="s">
        <v>5898</v>
      </c>
      <c r="I202" s="3326"/>
      <c r="J202" s="3316">
        <v>28.58</v>
      </c>
      <c r="K202" s="3317"/>
      <c r="L202" s="3210">
        <v>12.69</v>
      </c>
    </row>
    <row r="203" spans="1:12">
      <c r="A203" s="3318">
        <v>202</v>
      </c>
      <c r="B203" s="3319"/>
      <c r="C203" s="3207" t="s">
        <v>5908</v>
      </c>
      <c r="D203" s="3327"/>
      <c r="E203" s="3328"/>
      <c r="F203" s="3318">
        <v>126</v>
      </c>
      <c r="G203" s="3319"/>
      <c r="H203" s="3325" t="s">
        <v>5898</v>
      </c>
      <c r="I203" s="3326"/>
      <c r="J203" s="3316">
        <v>43.21</v>
      </c>
      <c r="K203" s="3317"/>
      <c r="L203" s="3210">
        <v>19.190000000000001</v>
      </c>
    </row>
    <row r="204" spans="1:12">
      <c r="A204" s="3318">
        <v>203</v>
      </c>
      <c r="B204" s="3319"/>
      <c r="C204" s="3207" t="s">
        <v>5908</v>
      </c>
      <c r="D204" s="3327"/>
      <c r="E204" s="3328"/>
      <c r="F204" s="3318">
        <v>127</v>
      </c>
      <c r="G204" s="3319"/>
      <c r="H204" s="3325" t="s">
        <v>5898</v>
      </c>
      <c r="I204" s="3326"/>
      <c r="J204" s="3316">
        <v>43.12</v>
      </c>
      <c r="K204" s="3317"/>
      <c r="L204" s="3210">
        <v>19.149999999999999</v>
      </c>
    </row>
    <row r="205" spans="1:12">
      <c r="A205" s="3318">
        <v>204</v>
      </c>
      <c r="B205" s="3319"/>
      <c r="C205" s="3207" t="s">
        <v>5908</v>
      </c>
      <c r="D205" s="3327"/>
      <c r="E205" s="3328"/>
      <c r="F205" s="3318">
        <v>202</v>
      </c>
      <c r="G205" s="3319"/>
      <c r="H205" s="3325" t="s">
        <v>5898</v>
      </c>
      <c r="I205" s="3326"/>
      <c r="J205" s="3316">
        <v>19.97</v>
      </c>
      <c r="K205" s="3317"/>
      <c r="L205" s="3210">
        <v>8.8699999999999992</v>
      </c>
    </row>
    <row r="206" spans="1:12">
      <c r="A206" s="3318">
        <v>205</v>
      </c>
      <c r="B206" s="3319"/>
      <c r="C206" s="3207" t="s">
        <v>5908</v>
      </c>
      <c r="D206" s="3327"/>
      <c r="E206" s="3328"/>
      <c r="F206" s="3318">
        <v>203</v>
      </c>
      <c r="G206" s="3319"/>
      <c r="H206" s="3325" t="s">
        <v>5898</v>
      </c>
      <c r="I206" s="3326"/>
      <c r="J206" s="3316">
        <v>19.97</v>
      </c>
      <c r="K206" s="3317"/>
      <c r="L206" s="3210">
        <v>8.8699999999999992</v>
      </c>
    </row>
    <row r="207" spans="1:12">
      <c r="A207" s="3318">
        <v>206</v>
      </c>
      <c r="B207" s="3319"/>
      <c r="C207" s="3207" t="s">
        <v>5908</v>
      </c>
      <c r="D207" s="3327"/>
      <c r="E207" s="3328"/>
      <c r="F207" s="3318">
        <v>204</v>
      </c>
      <c r="G207" s="3319"/>
      <c r="H207" s="3325" t="s">
        <v>5898</v>
      </c>
      <c r="I207" s="3326"/>
      <c r="J207" s="3316">
        <v>19.97</v>
      </c>
      <c r="K207" s="3317"/>
      <c r="L207" s="3210">
        <v>8.8699999999999992</v>
      </c>
    </row>
    <row r="208" spans="1:12">
      <c r="A208" s="3318">
        <v>207</v>
      </c>
      <c r="B208" s="3319"/>
      <c r="C208" s="3207" t="s">
        <v>5908</v>
      </c>
      <c r="D208" s="3327"/>
      <c r="E208" s="3328"/>
      <c r="F208" s="3318">
        <v>205</v>
      </c>
      <c r="G208" s="3319"/>
      <c r="H208" s="3325" t="s">
        <v>5898</v>
      </c>
      <c r="I208" s="3326"/>
      <c r="J208" s="3316">
        <v>19.97</v>
      </c>
      <c r="K208" s="3317"/>
      <c r="L208" s="3210">
        <v>8.8699999999999992</v>
      </c>
    </row>
    <row r="209" spans="1:12">
      <c r="A209" s="3318">
        <v>208</v>
      </c>
      <c r="B209" s="3319"/>
      <c r="C209" s="3207" t="s">
        <v>5908</v>
      </c>
      <c r="D209" s="3327"/>
      <c r="E209" s="3328"/>
      <c r="F209" s="3318">
        <v>206</v>
      </c>
      <c r="G209" s="3319"/>
      <c r="H209" s="3325" t="s">
        <v>5898</v>
      </c>
      <c r="I209" s="3326"/>
      <c r="J209" s="3316">
        <v>19.97</v>
      </c>
      <c r="K209" s="3317"/>
      <c r="L209" s="3210">
        <v>8.8699999999999992</v>
      </c>
    </row>
    <row r="210" spans="1:12">
      <c r="A210" s="3318">
        <v>209</v>
      </c>
      <c r="B210" s="3319"/>
      <c r="C210" s="3207" t="s">
        <v>5909</v>
      </c>
      <c r="D210" s="3327"/>
      <c r="E210" s="3328"/>
      <c r="F210" s="3318">
        <v>102</v>
      </c>
      <c r="G210" s="3319"/>
      <c r="H210" s="3325" t="s">
        <v>5898</v>
      </c>
      <c r="I210" s="3326"/>
      <c r="J210" s="3320">
        <v>42.4</v>
      </c>
      <c r="K210" s="3321"/>
      <c r="L210" s="3210">
        <v>18.829999999999998</v>
      </c>
    </row>
    <row r="211" spans="1:12">
      <c r="A211" s="3318">
        <v>210</v>
      </c>
      <c r="B211" s="3319"/>
      <c r="C211" s="3207" t="s">
        <v>5909</v>
      </c>
      <c r="D211" s="3327"/>
      <c r="E211" s="3328"/>
      <c r="F211" s="3318">
        <v>103</v>
      </c>
      <c r="G211" s="3319"/>
      <c r="H211" s="3325" t="s">
        <v>5898</v>
      </c>
      <c r="I211" s="3326"/>
      <c r="J211" s="3316">
        <v>47.18</v>
      </c>
      <c r="K211" s="3317"/>
      <c r="L211" s="3210">
        <v>20.95</v>
      </c>
    </row>
    <row r="212" spans="1:12">
      <c r="A212" s="3318">
        <v>211</v>
      </c>
      <c r="B212" s="3319"/>
      <c r="C212" s="3207" t="s">
        <v>5909</v>
      </c>
      <c r="D212" s="3327"/>
      <c r="E212" s="3328"/>
      <c r="F212" s="3318">
        <v>104</v>
      </c>
      <c r="G212" s="3319"/>
      <c r="H212" s="3325" t="s">
        <v>5898</v>
      </c>
      <c r="I212" s="3326"/>
      <c r="J212" s="3316">
        <v>62.35</v>
      </c>
      <c r="K212" s="3317"/>
      <c r="L212" s="3210">
        <v>27.69</v>
      </c>
    </row>
    <row r="213" spans="1:12">
      <c r="A213" s="3318">
        <v>212</v>
      </c>
      <c r="B213" s="3319"/>
      <c r="C213" s="3207" t="s">
        <v>5909</v>
      </c>
      <c r="D213" s="3327"/>
      <c r="E213" s="3328"/>
      <c r="F213" s="3318">
        <v>105</v>
      </c>
      <c r="G213" s="3319"/>
      <c r="H213" s="3325" t="s">
        <v>5898</v>
      </c>
      <c r="I213" s="3326"/>
      <c r="J213" s="3316">
        <v>61.39</v>
      </c>
      <c r="K213" s="3317"/>
      <c r="L213" s="3210">
        <v>27.26</v>
      </c>
    </row>
    <row r="214" spans="1:12">
      <c r="A214" s="3318">
        <v>213</v>
      </c>
      <c r="B214" s="3319"/>
      <c r="C214" s="3207" t="s">
        <v>5909</v>
      </c>
      <c r="D214" s="3327"/>
      <c r="E214" s="3328"/>
      <c r="F214" s="3318">
        <v>106</v>
      </c>
      <c r="G214" s="3319"/>
      <c r="H214" s="3325" t="s">
        <v>5898</v>
      </c>
      <c r="I214" s="3326"/>
      <c r="J214" s="3316">
        <v>61.39</v>
      </c>
      <c r="K214" s="3317"/>
      <c r="L214" s="3210">
        <v>27.26</v>
      </c>
    </row>
    <row r="215" spans="1:12">
      <c r="A215" s="3318">
        <v>214</v>
      </c>
      <c r="B215" s="3319"/>
      <c r="C215" s="3207" t="s">
        <v>5909</v>
      </c>
      <c r="D215" s="3327"/>
      <c r="E215" s="3328"/>
      <c r="F215" s="3318">
        <v>107</v>
      </c>
      <c r="G215" s="3319"/>
      <c r="H215" s="3325" t="s">
        <v>5898</v>
      </c>
      <c r="I215" s="3326"/>
      <c r="J215" s="3316">
        <v>62.35</v>
      </c>
      <c r="K215" s="3317"/>
      <c r="L215" s="3210">
        <v>27.69</v>
      </c>
    </row>
    <row r="216" spans="1:12">
      <c r="A216" s="3318">
        <v>215</v>
      </c>
      <c r="B216" s="3319"/>
      <c r="C216" s="3207" t="s">
        <v>5909</v>
      </c>
      <c r="D216" s="3327"/>
      <c r="E216" s="3328"/>
      <c r="F216" s="3318">
        <v>108</v>
      </c>
      <c r="G216" s="3319"/>
      <c r="H216" s="3325" t="s">
        <v>5898</v>
      </c>
      <c r="I216" s="3326"/>
      <c r="J216" s="3316">
        <v>47.18</v>
      </c>
      <c r="K216" s="3317"/>
      <c r="L216" s="3210">
        <v>20.95</v>
      </c>
    </row>
    <row r="217" spans="1:12">
      <c r="A217" s="3318">
        <v>216</v>
      </c>
      <c r="B217" s="3319"/>
      <c r="C217" s="3207" t="s">
        <v>5909</v>
      </c>
      <c r="D217" s="3327"/>
      <c r="E217" s="3328"/>
      <c r="F217" s="3318">
        <v>109</v>
      </c>
      <c r="G217" s="3319"/>
      <c r="H217" s="3325" t="s">
        <v>5898</v>
      </c>
      <c r="I217" s="3326"/>
      <c r="J217" s="3316">
        <v>42.77</v>
      </c>
      <c r="K217" s="3317"/>
      <c r="L217" s="3210">
        <v>18.989999999999998</v>
      </c>
    </row>
    <row r="218" spans="1:12">
      <c r="A218" s="3318">
        <v>217</v>
      </c>
      <c r="B218" s="3319"/>
      <c r="C218" s="3207" t="s">
        <v>5909</v>
      </c>
      <c r="D218" s="3327"/>
      <c r="E218" s="3328"/>
      <c r="F218" s="3318">
        <v>110</v>
      </c>
      <c r="G218" s="3319"/>
      <c r="H218" s="3325" t="s">
        <v>5898</v>
      </c>
      <c r="I218" s="3326"/>
      <c r="J218" s="3316">
        <v>42.77</v>
      </c>
      <c r="K218" s="3317"/>
      <c r="L218" s="3210">
        <v>18.989999999999998</v>
      </c>
    </row>
    <row r="219" spans="1:12">
      <c r="A219" s="3318">
        <v>218</v>
      </c>
      <c r="B219" s="3319"/>
      <c r="C219" s="3207" t="s">
        <v>5909</v>
      </c>
      <c r="D219" s="3327"/>
      <c r="E219" s="3328"/>
      <c r="F219" s="3318">
        <v>111</v>
      </c>
      <c r="G219" s="3319"/>
      <c r="H219" s="3325" t="s">
        <v>5898</v>
      </c>
      <c r="I219" s="3326"/>
      <c r="J219" s="3316">
        <v>47.18</v>
      </c>
      <c r="K219" s="3317"/>
      <c r="L219" s="3210">
        <v>20.95</v>
      </c>
    </row>
    <row r="220" spans="1:12">
      <c r="A220" s="3318">
        <v>219</v>
      </c>
      <c r="B220" s="3319"/>
      <c r="C220" s="3207" t="s">
        <v>5909</v>
      </c>
      <c r="D220" s="3327"/>
      <c r="E220" s="3328"/>
      <c r="F220" s="3318">
        <v>112</v>
      </c>
      <c r="G220" s="3319"/>
      <c r="H220" s="3325" t="s">
        <v>5898</v>
      </c>
      <c r="I220" s="3326"/>
      <c r="J220" s="3316">
        <v>62.35</v>
      </c>
      <c r="K220" s="3317"/>
      <c r="L220" s="3210">
        <v>27.69</v>
      </c>
    </row>
    <row r="221" spans="1:12">
      <c r="A221" s="3318">
        <v>220</v>
      </c>
      <c r="B221" s="3319"/>
      <c r="C221" s="3207" t="s">
        <v>5909</v>
      </c>
      <c r="D221" s="3327"/>
      <c r="E221" s="3328"/>
      <c r="F221" s="3318">
        <v>113</v>
      </c>
      <c r="G221" s="3319"/>
      <c r="H221" s="3325" t="s">
        <v>5898</v>
      </c>
      <c r="I221" s="3326"/>
      <c r="J221" s="3316">
        <v>61.39</v>
      </c>
      <c r="K221" s="3317"/>
      <c r="L221" s="3210">
        <v>27.26</v>
      </c>
    </row>
    <row r="222" spans="1:12">
      <c r="A222" s="3318">
        <v>221</v>
      </c>
      <c r="B222" s="3319"/>
      <c r="C222" s="3207" t="s">
        <v>5909</v>
      </c>
      <c r="D222" s="3327"/>
      <c r="E222" s="3328"/>
      <c r="F222" s="3318">
        <v>114</v>
      </c>
      <c r="G222" s="3319"/>
      <c r="H222" s="3325" t="s">
        <v>5898</v>
      </c>
      <c r="I222" s="3326"/>
      <c r="J222" s="3316">
        <v>61.39</v>
      </c>
      <c r="K222" s="3317"/>
      <c r="L222" s="3210">
        <v>27.26</v>
      </c>
    </row>
    <row r="223" spans="1:12">
      <c r="A223" s="3318">
        <v>222</v>
      </c>
      <c r="B223" s="3319"/>
      <c r="C223" s="3207" t="s">
        <v>5909</v>
      </c>
      <c r="D223" s="3327"/>
      <c r="E223" s="3328"/>
      <c r="F223" s="3318">
        <v>115</v>
      </c>
      <c r="G223" s="3319"/>
      <c r="H223" s="3325" t="s">
        <v>5898</v>
      </c>
      <c r="I223" s="3326"/>
      <c r="J223" s="3316">
        <v>62.35</v>
      </c>
      <c r="K223" s="3317"/>
      <c r="L223" s="3210">
        <v>27.69</v>
      </c>
    </row>
    <row r="224" spans="1:12">
      <c r="A224" s="3318">
        <v>223</v>
      </c>
      <c r="B224" s="3319"/>
      <c r="C224" s="3207" t="s">
        <v>5909</v>
      </c>
      <c r="D224" s="3327"/>
      <c r="E224" s="3328"/>
      <c r="F224" s="3318">
        <v>116</v>
      </c>
      <c r="G224" s="3319"/>
      <c r="H224" s="3325" t="s">
        <v>5898</v>
      </c>
      <c r="I224" s="3326"/>
      <c r="J224" s="3316">
        <v>47.18</v>
      </c>
      <c r="K224" s="3317"/>
      <c r="L224" s="3210">
        <v>20.95</v>
      </c>
    </row>
    <row r="225" spans="1:12">
      <c r="A225" s="3318">
        <v>224</v>
      </c>
      <c r="B225" s="3319"/>
      <c r="C225" s="3207" t="s">
        <v>5909</v>
      </c>
      <c r="D225" s="3327"/>
      <c r="E225" s="3328"/>
      <c r="F225" s="3318">
        <v>117</v>
      </c>
      <c r="G225" s="3319"/>
      <c r="H225" s="3325" t="s">
        <v>5898</v>
      </c>
      <c r="I225" s="3326"/>
      <c r="J225" s="3316">
        <v>54.43</v>
      </c>
      <c r="K225" s="3317"/>
      <c r="L225" s="3210">
        <v>24.17</v>
      </c>
    </row>
    <row r="226" spans="1:12">
      <c r="A226" s="3318">
        <v>225</v>
      </c>
      <c r="B226" s="3319"/>
      <c r="C226" s="3207" t="s">
        <v>5909</v>
      </c>
      <c r="D226" s="3327"/>
      <c r="E226" s="3328"/>
      <c r="F226" s="3318">
        <v>118</v>
      </c>
      <c r="G226" s="3319"/>
      <c r="H226" s="3325" t="s">
        <v>5898</v>
      </c>
      <c r="I226" s="3326"/>
      <c r="J226" s="3316">
        <v>15.15</v>
      </c>
      <c r="K226" s="3317"/>
      <c r="L226" s="3210">
        <v>6.73</v>
      </c>
    </row>
    <row r="227" spans="1:12">
      <c r="A227" s="3318">
        <v>226</v>
      </c>
      <c r="B227" s="3319"/>
      <c r="C227" s="3207" t="s">
        <v>5909</v>
      </c>
      <c r="D227" s="3327"/>
      <c r="E227" s="3328"/>
      <c r="F227" s="3318">
        <v>119</v>
      </c>
      <c r="G227" s="3319"/>
      <c r="H227" s="3325" t="s">
        <v>5898</v>
      </c>
      <c r="I227" s="3326"/>
      <c r="J227" s="3316">
        <v>14.91</v>
      </c>
      <c r="K227" s="3317"/>
      <c r="L227" s="3210">
        <v>6.62</v>
      </c>
    </row>
    <row r="228" spans="1:12">
      <c r="A228" s="3318">
        <v>227</v>
      </c>
      <c r="B228" s="3319"/>
      <c r="C228" s="3207" t="s">
        <v>5909</v>
      </c>
      <c r="D228" s="3327"/>
      <c r="E228" s="3328"/>
      <c r="F228" s="3318">
        <v>201</v>
      </c>
      <c r="G228" s="3319"/>
      <c r="H228" s="3325" t="s">
        <v>5898</v>
      </c>
      <c r="I228" s="3326"/>
      <c r="J228" s="3320">
        <v>22.9</v>
      </c>
      <c r="K228" s="3321"/>
      <c r="L228" s="3210">
        <v>10.17</v>
      </c>
    </row>
    <row r="229" spans="1:12">
      <c r="A229" s="3318">
        <v>228</v>
      </c>
      <c r="B229" s="3319"/>
      <c r="C229" s="3207" t="s">
        <v>5909</v>
      </c>
      <c r="D229" s="3327"/>
      <c r="E229" s="3328"/>
      <c r="F229" s="3318">
        <v>202</v>
      </c>
      <c r="G229" s="3319"/>
      <c r="H229" s="3325" t="s">
        <v>5898</v>
      </c>
      <c r="I229" s="3326"/>
      <c r="J229" s="3320">
        <v>22.9</v>
      </c>
      <c r="K229" s="3321"/>
      <c r="L229" s="3210">
        <v>10.17</v>
      </c>
    </row>
    <row r="230" spans="1:12">
      <c r="A230" s="3318">
        <v>229</v>
      </c>
      <c r="B230" s="3319"/>
      <c r="C230" s="3207" t="s">
        <v>5909</v>
      </c>
      <c r="D230" s="3327"/>
      <c r="E230" s="3328"/>
      <c r="F230" s="3318">
        <v>203</v>
      </c>
      <c r="G230" s="3319"/>
      <c r="H230" s="3325" t="s">
        <v>5898</v>
      </c>
      <c r="I230" s="3326"/>
      <c r="J230" s="3320">
        <v>22.9</v>
      </c>
      <c r="K230" s="3321"/>
      <c r="L230" s="3210">
        <v>10.17</v>
      </c>
    </row>
    <row r="231" spans="1:12">
      <c r="A231" s="3318">
        <v>230</v>
      </c>
      <c r="B231" s="3319"/>
      <c r="C231" s="3207" t="s">
        <v>5909</v>
      </c>
      <c r="D231" s="3327"/>
      <c r="E231" s="3328"/>
      <c r="F231" s="3318">
        <v>204</v>
      </c>
      <c r="G231" s="3319"/>
      <c r="H231" s="3325" t="s">
        <v>5898</v>
      </c>
      <c r="I231" s="3326"/>
      <c r="J231" s="3316">
        <v>21.51</v>
      </c>
      <c r="K231" s="3317"/>
      <c r="L231" s="3210">
        <v>9.5500000000000007</v>
      </c>
    </row>
    <row r="232" spans="1:12">
      <c r="A232" s="3318">
        <v>231</v>
      </c>
      <c r="B232" s="3319"/>
      <c r="C232" s="3207" t="s">
        <v>5911</v>
      </c>
      <c r="D232" s="3327"/>
      <c r="E232" s="3328"/>
      <c r="F232" s="3318">
        <v>202</v>
      </c>
      <c r="G232" s="3319"/>
      <c r="H232" s="3325" t="s">
        <v>5898</v>
      </c>
      <c r="I232" s="3326"/>
      <c r="J232" s="3316">
        <v>30.16</v>
      </c>
      <c r="K232" s="3317"/>
      <c r="L232" s="3210">
        <v>13.39</v>
      </c>
    </row>
    <row r="233" spans="1:12">
      <c r="A233" s="3318">
        <v>232</v>
      </c>
      <c r="B233" s="3319"/>
      <c r="C233" s="3207" t="s">
        <v>5913</v>
      </c>
      <c r="D233" s="3327"/>
      <c r="E233" s="3328"/>
      <c r="F233" s="3318">
        <v>106</v>
      </c>
      <c r="G233" s="3319"/>
      <c r="H233" s="3325" t="s">
        <v>5898</v>
      </c>
      <c r="I233" s="3326"/>
      <c r="J233" s="3316">
        <v>61.69</v>
      </c>
      <c r="K233" s="3317"/>
      <c r="L233" s="3210">
        <v>27.4</v>
      </c>
    </row>
    <row r="234" spans="1:12">
      <c r="A234" s="3318">
        <v>233</v>
      </c>
      <c r="B234" s="3319"/>
      <c r="C234" s="3207" t="s">
        <v>5913</v>
      </c>
      <c r="D234" s="3327"/>
      <c r="E234" s="3328"/>
      <c r="F234" s="3318">
        <v>107</v>
      </c>
      <c r="G234" s="3319"/>
      <c r="H234" s="3325" t="s">
        <v>5898</v>
      </c>
      <c r="I234" s="3326"/>
      <c r="J234" s="3316">
        <v>62.66</v>
      </c>
      <c r="K234" s="3317"/>
      <c r="L234" s="3210">
        <v>27.83</v>
      </c>
    </row>
    <row r="235" spans="1:12">
      <c r="A235" s="3318">
        <v>234</v>
      </c>
      <c r="B235" s="3319"/>
      <c r="C235" s="3207" t="s">
        <v>5913</v>
      </c>
      <c r="D235" s="3327"/>
      <c r="E235" s="3328"/>
      <c r="F235" s="3318">
        <v>108</v>
      </c>
      <c r="G235" s="3319"/>
      <c r="H235" s="3325" t="s">
        <v>5898</v>
      </c>
      <c r="I235" s="3326"/>
      <c r="J235" s="3316">
        <v>47.41</v>
      </c>
      <c r="K235" s="3317"/>
      <c r="L235" s="3210">
        <v>21.05</v>
      </c>
    </row>
    <row r="236" spans="1:12">
      <c r="A236" s="3318">
        <v>235</v>
      </c>
      <c r="B236" s="3319"/>
      <c r="C236" s="3207" t="s">
        <v>5913</v>
      </c>
      <c r="D236" s="3327"/>
      <c r="E236" s="3328"/>
      <c r="F236" s="3318">
        <v>109</v>
      </c>
      <c r="G236" s="3319"/>
      <c r="H236" s="3325" t="s">
        <v>5898</v>
      </c>
      <c r="I236" s="3326"/>
      <c r="J236" s="3320">
        <v>42.6</v>
      </c>
      <c r="K236" s="3321"/>
      <c r="L236" s="3210">
        <v>18.920000000000002</v>
      </c>
    </row>
    <row r="237" spans="1:12">
      <c r="A237" s="3318">
        <v>236</v>
      </c>
      <c r="B237" s="3319"/>
      <c r="C237" s="3207" t="s">
        <v>5913</v>
      </c>
      <c r="D237" s="3327"/>
      <c r="E237" s="3328"/>
      <c r="F237" s="3318">
        <v>202</v>
      </c>
      <c r="G237" s="3319"/>
      <c r="H237" s="3325" t="s">
        <v>5898</v>
      </c>
      <c r="I237" s="3326"/>
      <c r="J237" s="3316">
        <v>23.01</v>
      </c>
      <c r="K237" s="3317"/>
      <c r="L237" s="3210">
        <v>10.220000000000001</v>
      </c>
    </row>
    <row r="238" spans="1:12">
      <c r="A238" s="3318">
        <v>237</v>
      </c>
      <c r="B238" s="3319"/>
      <c r="C238" s="3207" t="s">
        <v>5914</v>
      </c>
      <c r="D238" s="3327"/>
      <c r="E238" s="3328"/>
      <c r="F238" s="3318">
        <v>101</v>
      </c>
      <c r="G238" s="3319"/>
      <c r="H238" s="3325" t="s">
        <v>5898</v>
      </c>
      <c r="I238" s="3326"/>
      <c r="J238" s="3316">
        <v>12.98</v>
      </c>
      <c r="K238" s="3317"/>
      <c r="L238" s="3210">
        <v>5.76</v>
      </c>
    </row>
    <row r="239" spans="1:12">
      <c r="A239" s="3318">
        <v>238</v>
      </c>
      <c r="B239" s="3319"/>
      <c r="C239" s="3207" t="s">
        <v>5914</v>
      </c>
      <c r="D239" s="3327"/>
      <c r="E239" s="3328"/>
      <c r="F239" s="3318">
        <v>102</v>
      </c>
      <c r="G239" s="3319"/>
      <c r="H239" s="3325" t="s">
        <v>5898</v>
      </c>
      <c r="I239" s="3326"/>
      <c r="J239" s="3316">
        <v>38.93</v>
      </c>
      <c r="K239" s="3317"/>
      <c r="L239" s="3210">
        <v>17.29</v>
      </c>
    </row>
    <row r="240" spans="1:12">
      <c r="A240" s="3318">
        <v>239</v>
      </c>
      <c r="B240" s="3319"/>
      <c r="C240" s="3207" t="s">
        <v>5914</v>
      </c>
      <c r="D240" s="3327"/>
      <c r="E240" s="3328"/>
      <c r="F240" s="3318">
        <v>103</v>
      </c>
      <c r="G240" s="3319"/>
      <c r="H240" s="3325" t="s">
        <v>5898</v>
      </c>
      <c r="I240" s="3326"/>
      <c r="J240" s="3316">
        <v>47.03</v>
      </c>
      <c r="K240" s="3317"/>
      <c r="L240" s="3210">
        <v>20.89</v>
      </c>
    </row>
    <row r="241" spans="1:12">
      <c r="A241" s="3318">
        <v>240</v>
      </c>
      <c r="B241" s="3319"/>
      <c r="C241" s="3207" t="s">
        <v>5914</v>
      </c>
      <c r="D241" s="3327"/>
      <c r="E241" s="3328"/>
      <c r="F241" s="3318">
        <v>104</v>
      </c>
      <c r="G241" s="3319"/>
      <c r="H241" s="3325" t="s">
        <v>5898</v>
      </c>
      <c r="I241" s="3326"/>
      <c r="J241" s="3316">
        <v>62.16</v>
      </c>
      <c r="K241" s="3317"/>
      <c r="L241" s="3210">
        <v>27.6</v>
      </c>
    </row>
    <row r="242" spans="1:12">
      <c r="A242" s="3318">
        <v>241</v>
      </c>
      <c r="B242" s="3319"/>
      <c r="C242" s="3207" t="s">
        <v>5914</v>
      </c>
      <c r="D242" s="3327"/>
      <c r="E242" s="3328"/>
      <c r="F242" s="3318">
        <v>105</v>
      </c>
      <c r="G242" s="3319"/>
      <c r="H242" s="3325" t="s">
        <v>5898</v>
      </c>
      <c r="I242" s="3326"/>
      <c r="J242" s="3320">
        <v>61.2</v>
      </c>
      <c r="K242" s="3321"/>
      <c r="L242" s="3210">
        <v>27.18</v>
      </c>
    </row>
    <row r="243" spans="1:12">
      <c r="A243" s="3318">
        <v>242</v>
      </c>
      <c r="B243" s="3319"/>
      <c r="C243" s="3207" t="s">
        <v>5914</v>
      </c>
      <c r="D243" s="3327"/>
      <c r="E243" s="3328"/>
      <c r="F243" s="3318">
        <v>106</v>
      </c>
      <c r="G243" s="3319"/>
      <c r="H243" s="3325" t="s">
        <v>5898</v>
      </c>
      <c r="I243" s="3326"/>
      <c r="J243" s="3320">
        <v>61.2</v>
      </c>
      <c r="K243" s="3321"/>
      <c r="L243" s="3210">
        <v>27.18</v>
      </c>
    </row>
    <row r="244" spans="1:12">
      <c r="A244" s="3318">
        <v>243</v>
      </c>
      <c r="B244" s="3319"/>
      <c r="C244" s="3207" t="s">
        <v>5914</v>
      </c>
      <c r="D244" s="3327"/>
      <c r="E244" s="3328"/>
      <c r="F244" s="3318">
        <v>107</v>
      </c>
      <c r="G244" s="3319"/>
      <c r="H244" s="3325" t="s">
        <v>5898</v>
      </c>
      <c r="I244" s="3326"/>
      <c r="J244" s="3316">
        <v>62.16</v>
      </c>
      <c r="K244" s="3317"/>
      <c r="L244" s="3210">
        <v>27.6</v>
      </c>
    </row>
    <row r="245" spans="1:12">
      <c r="A245" s="3318">
        <v>244</v>
      </c>
      <c r="B245" s="3319"/>
      <c r="C245" s="3207" t="s">
        <v>5914</v>
      </c>
      <c r="D245" s="3327"/>
      <c r="E245" s="3328"/>
      <c r="F245" s="3318">
        <v>108</v>
      </c>
      <c r="G245" s="3319"/>
      <c r="H245" s="3325" t="s">
        <v>5898</v>
      </c>
      <c r="I245" s="3326"/>
      <c r="J245" s="3316">
        <v>47.03</v>
      </c>
      <c r="K245" s="3317"/>
      <c r="L245" s="3210">
        <v>20.89</v>
      </c>
    </row>
    <row r="246" spans="1:12">
      <c r="A246" s="3318">
        <v>245</v>
      </c>
      <c r="B246" s="3319"/>
      <c r="C246" s="3207" t="s">
        <v>5914</v>
      </c>
      <c r="D246" s="3327"/>
      <c r="E246" s="3328"/>
      <c r="F246" s="3318">
        <v>109</v>
      </c>
      <c r="G246" s="3319"/>
      <c r="H246" s="3325" t="s">
        <v>5898</v>
      </c>
      <c r="I246" s="3326"/>
      <c r="J246" s="3316">
        <v>42.64</v>
      </c>
      <c r="K246" s="3317"/>
      <c r="L246" s="3210">
        <v>18.940000000000001</v>
      </c>
    </row>
    <row r="247" spans="1:12">
      <c r="A247" s="3318">
        <v>246</v>
      </c>
      <c r="B247" s="3319"/>
      <c r="C247" s="3207" t="s">
        <v>5914</v>
      </c>
      <c r="D247" s="3327"/>
      <c r="E247" s="3328"/>
      <c r="F247" s="3318">
        <v>110</v>
      </c>
      <c r="G247" s="3319"/>
      <c r="H247" s="3325" t="s">
        <v>5898</v>
      </c>
      <c r="I247" s="3326"/>
      <c r="J247" s="3316">
        <v>42.64</v>
      </c>
      <c r="K247" s="3317"/>
      <c r="L247" s="3210">
        <v>18.940000000000001</v>
      </c>
    </row>
    <row r="248" spans="1:12">
      <c r="A248" s="3318">
        <v>247</v>
      </c>
      <c r="B248" s="3319"/>
      <c r="C248" s="3207" t="s">
        <v>5914</v>
      </c>
      <c r="D248" s="3327"/>
      <c r="E248" s="3328"/>
      <c r="F248" s="3318">
        <v>111</v>
      </c>
      <c r="G248" s="3319"/>
      <c r="H248" s="3325" t="s">
        <v>5898</v>
      </c>
      <c r="I248" s="3326"/>
      <c r="J248" s="3316">
        <v>47.03</v>
      </c>
      <c r="K248" s="3317"/>
      <c r="L248" s="3210">
        <v>20.89</v>
      </c>
    </row>
    <row r="249" spans="1:12">
      <c r="A249" s="3318">
        <v>248</v>
      </c>
      <c r="B249" s="3319"/>
      <c r="C249" s="3207" t="s">
        <v>5914</v>
      </c>
      <c r="D249" s="3327"/>
      <c r="E249" s="3328"/>
      <c r="F249" s="3318">
        <v>112</v>
      </c>
      <c r="G249" s="3319"/>
      <c r="H249" s="3325" t="s">
        <v>5898</v>
      </c>
      <c r="I249" s="3326"/>
      <c r="J249" s="3316">
        <v>62.16</v>
      </c>
      <c r="K249" s="3317"/>
      <c r="L249" s="3210">
        <v>27.6</v>
      </c>
    </row>
    <row r="250" spans="1:12">
      <c r="A250" s="3318">
        <v>249</v>
      </c>
      <c r="B250" s="3319"/>
      <c r="C250" s="3207" t="s">
        <v>5914</v>
      </c>
      <c r="D250" s="3327"/>
      <c r="E250" s="3328"/>
      <c r="F250" s="3318">
        <v>113</v>
      </c>
      <c r="G250" s="3319"/>
      <c r="H250" s="3325" t="s">
        <v>5898</v>
      </c>
      <c r="I250" s="3326"/>
      <c r="J250" s="3320">
        <v>61.2</v>
      </c>
      <c r="K250" s="3321"/>
      <c r="L250" s="3210">
        <v>27.18</v>
      </c>
    </row>
    <row r="251" spans="1:12">
      <c r="A251" s="3318">
        <v>250</v>
      </c>
      <c r="B251" s="3319"/>
      <c r="C251" s="3207" t="s">
        <v>5914</v>
      </c>
      <c r="D251" s="3327"/>
      <c r="E251" s="3328"/>
      <c r="F251" s="3318">
        <v>114</v>
      </c>
      <c r="G251" s="3319"/>
      <c r="H251" s="3325" t="s">
        <v>5898</v>
      </c>
      <c r="I251" s="3326"/>
      <c r="J251" s="3320">
        <v>61.2</v>
      </c>
      <c r="K251" s="3321"/>
      <c r="L251" s="3210">
        <v>27.18</v>
      </c>
    </row>
    <row r="252" spans="1:12">
      <c r="A252" s="3318">
        <v>251</v>
      </c>
      <c r="B252" s="3319"/>
      <c r="C252" s="3207" t="s">
        <v>5914</v>
      </c>
      <c r="D252" s="3327"/>
      <c r="E252" s="3328"/>
      <c r="F252" s="3318">
        <v>115</v>
      </c>
      <c r="G252" s="3319"/>
      <c r="H252" s="3325" t="s">
        <v>5898</v>
      </c>
      <c r="I252" s="3326"/>
      <c r="J252" s="3316">
        <v>62.16</v>
      </c>
      <c r="K252" s="3317"/>
      <c r="L252" s="3210">
        <v>27.6</v>
      </c>
    </row>
    <row r="253" spans="1:12">
      <c r="A253" s="3318">
        <v>252</v>
      </c>
      <c r="B253" s="3319"/>
      <c r="C253" s="3207" t="s">
        <v>5914</v>
      </c>
      <c r="D253" s="3327"/>
      <c r="E253" s="3328"/>
      <c r="F253" s="3318">
        <v>116</v>
      </c>
      <c r="G253" s="3319"/>
      <c r="H253" s="3325" t="s">
        <v>5898</v>
      </c>
      <c r="I253" s="3326"/>
      <c r="J253" s="3316">
        <v>47.03</v>
      </c>
      <c r="K253" s="3317"/>
      <c r="L253" s="3210">
        <v>20.89</v>
      </c>
    </row>
    <row r="254" spans="1:12">
      <c r="A254" s="3318">
        <v>253</v>
      </c>
      <c r="B254" s="3319"/>
      <c r="C254" s="3207" t="s">
        <v>5914</v>
      </c>
      <c r="D254" s="3327"/>
      <c r="E254" s="3328"/>
      <c r="F254" s="3318">
        <v>117</v>
      </c>
      <c r="G254" s="3319"/>
      <c r="H254" s="3325" t="s">
        <v>5898</v>
      </c>
      <c r="I254" s="3326"/>
      <c r="J254" s="3316">
        <v>54.26</v>
      </c>
      <c r="K254" s="3317"/>
      <c r="L254" s="3210">
        <v>24.1</v>
      </c>
    </row>
    <row r="255" spans="1:12">
      <c r="A255" s="3318">
        <v>254</v>
      </c>
      <c r="B255" s="3319"/>
      <c r="C255" s="3207" t="s">
        <v>5914</v>
      </c>
      <c r="D255" s="3327"/>
      <c r="E255" s="3328"/>
      <c r="F255" s="3318">
        <v>118</v>
      </c>
      <c r="G255" s="3319"/>
      <c r="H255" s="3325" t="s">
        <v>5898</v>
      </c>
      <c r="I255" s="3326"/>
      <c r="J255" s="3320">
        <v>15.1</v>
      </c>
      <c r="K255" s="3321"/>
      <c r="L255" s="3210">
        <v>6.71</v>
      </c>
    </row>
    <row r="256" spans="1:12">
      <c r="A256" s="3318">
        <v>255</v>
      </c>
      <c r="B256" s="3319"/>
      <c r="C256" s="3207" t="s">
        <v>5914</v>
      </c>
      <c r="D256" s="3327"/>
      <c r="E256" s="3328"/>
      <c r="F256" s="3318">
        <v>201</v>
      </c>
      <c r="G256" s="3319"/>
      <c r="H256" s="3325" t="s">
        <v>5898</v>
      </c>
      <c r="I256" s="3326"/>
      <c r="J256" s="3316">
        <v>22.83</v>
      </c>
      <c r="K256" s="3317"/>
      <c r="L256" s="3210">
        <v>10.14</v>
      </c>
    </row>
    <row r="257" spans="1:12">
      <c r="A257" s="3318">
        <v>256</v>
      </c>
      <c r="B257" s="3319"/>
      <c r="C257" s="3207" t="s">
        <v>5914</v>
      </c>
      <c r="D257" s="3327"/>
      <c r="E257" s="3328"/>
      <c r="F257" s="3318">
        <v>202</v>
      </c>
      <c r="G257" s="3319"/>
      <c r="H257" s="3325" t="s">
        <v>5898</v>
      </c>
      <c r="I257" s="3326"/>
      <c r="J257" s="3316">
        <v>22.83</v>
      </c>
      <c r="K257" s="3317"/>
      <c r="L257" s="3210">
        <v>10.14</v>
      </c>
    </row>
    <row r="258" spans="1:12">
      <c r="A258" s="3318">
        <v>257</v>
      </c>
      <c r="B258" s="3319"/>
      <c r="C258" s="3207" t="s">
        <v>5914</v>
      </c>
      <c r="D258" s="3327"/>
      <c r="E258" s="3328"/>
      <c r="F258" s="3318">
        <v>203</v>
      </c>
      <c r="G258" s="3319"/>
      <c r="H258" s="3325" t="s">
        <v>5898</v>
      </c>
      <c r="I258" s="3326"/>
      <c r="J258" s="3316">
        <v>23.27</v>
      </c>
      <c r="K258" s="3317"/>
      <c r="L258" s="3210">
        <v>10.33</v>
      </c>
    </row>
    <row r="259" spans="1:12">
      <c r="A259" s="3318">
        <v>258</v>
      </c>
      <c r="B259" s="3319"/>
      <c r="C259" s="3207" t="s">
        <v>5914</v>
      </c>
      <c r="D259" s="3327"/>
      <c r="E259" s="3328"/>
      <c r="F259" s="3318">
        <v>204</v>
      </c>
      <c r="G259" s="3319"/>
      <c r="H259" s="3325" t="s">
        <v>5898</v>
      </c>
      <c r="I259" s="3326"/>
      <c r="J259" s="3316">
        <v>23.49</v>
      </c>
      <c r="K259" s="3317"/>
      <c r="L259" s="3210">
        <v>10.43</v>
      </c>
    </row>
    <row r="260" spans="1:12">
      <c r="A260" s="3318">
        <v>259</v>
      </c>
      <c r="B260" s="3319"/>
      <c r="C260" s="3207" t="s">
        <v>5915</v>
      </c>
      <c r="D260" s="3327"/>
      <c r="E260" s="3328"/>
      <c r="F260" s="3318">
        <v>109</v>
      </c>
      <c r="G260" s="3319"/>
      <c r="H260" s="3325" t="s">
        <v>5898</v>
      </c>
      <c r="I260" s="3326"/>
      <c r="J260" s="3316">
        <v>40.76</v>
      </c>
      <c r="K260" s="3317"/>
      <c r="L260" s="3210">
        <v>18.100000000000001</v>
      </c>
    </row>
    <row r="261" spans="1:12">
      <c r="A261" s="3318">
        <v>260</v>
      </c>
      <c r="B261" s="3319"/>
      <c r="C261" s="3207" t="s">
        <v>5915</v>
      </c>
      <c r="D261" s="3327"/>
      <c r="E261" s="3328"/>
      <c r="F261" s="3318">
        <v>110</v>
      </c>
      <c r="G261" s="3319"/>
      <c r="H261" s="3325" t="s">
        <v>5898</v>
      </c>
      <c r="I261" s="3326"/>
      <c r="J261" s="3316">
        <v>55.74</v>
      </c>
      <c r="K261" s="3317"/>
      <c r="L261" s="3210">
        <v>24.75</v>
      </c>
    </row>
    <row r="262" spans="1:12">
      <c r="A262" s="3318">
        <v>261</v>
      </c>
      <c r="B262" s="3319"/>
      <c r="C262" s="3207" t="s">
        <v>5915</v>
      </c>
      <c r="D262" s="3327"/>
      <c r="E262" s="3328"/>
      <c r="F262" s="3318">
        <v>111</v>
      </c>
      <c r="G262" s="3319"/>
      <c r="H262" s="3325" t="s">
        <v>5898</v>
      </c>
      <c r="I262" s="3326"/>
      <c r="J262" s="3316">
        <v>23.26</v>
      </c>
      <c r="K262" s="3317"/>
      <c r="L262" s="3210">
        <v>10.33</v>
      </c>
    </row>
    <row r="263" spans="1:12">
      <c r="A263" s="3318">
        <v>262</v>
      </c>
      <c r="B263" s="3319"/>
      <c r="C263" s="3207" t="s">
        <v>5915</v>
      </c>
      <c r="D263" s="3327"/>
      <c r="E263" s="3328"/>
      <c r="F263" s="3318">
        <v>115</v>
      </c>
      <c r="G263" s="3319"/>
      <c r="H263" s="3325" t="s">
        <v>5898</v>
      </c>
      <c r="I263" s="3326"/>
      <c r="J263" s="3316">
        <v>40.46</v>
      </c>
      <c r="K263" s="3317"/>
      <c r="L263" s="3210">
        <v>17.97</v>
      </c>
    </row>
    <row r="264" spans="1:12">
      <c r="A264" s="3318">
        <v>263</v>
      </c>
      <c r="B264" s="3319"/>
      <c r="C264" s="3207" t="s">
        <v>5915</v>
      </c>
      <c r="D264" s="3327"/>
      <c r="E264" s="3328"/>
      <c r="F264" s="3318">
        <v>116</v>
      </c>
      <c r="G264" s="3319"/>
      <c r="H264" s="3325" t="s">
        <v>5898</v>
      </c>
      <c r="I264" s="3326"/>
      <c r="J264" s="3316">
        <v>55.74</v>
      </c>
      <c r="K264" s="3317"/>
      <c r="L264" s="3210">
        <v>24.75</v>
      </c>
    </row>
    <row r="265" spans="1:12">
      <c r="A265" s="3318">
        <v>264</v>
      </c>
      <c r="B265" s="3319"/>
      <c r="C265" s="3207" t="s">
        <v>5915</v>
      </c>
      <c r="D265" s="3327"/>
      <c r="E265" s="3328"/>
      <c r="F265" s="3318">
        <v>117</v>
      </c>
      <c r="G265" s="3319"/>
      <c r="H265" s="3325" t="s">
        <v>5898</v>
      </c>
      <c r="I265" s="3326"/>
      <c r="J265" s="3316">
        <v>23.26</v>
      </c>
      <c r="K265" s="3317"/>
      <c r="L265" s="3210">
        <v>10.33</v>
      </c>
    </row>
    <row r="266" spans="1:12">
      <c r="A266" s="3318">
        <v>265</v>
      </c>
      <c r="B266" s="3319"/>
      <c r="C266" s="3207" t="s">
        <v>5915</v>
      </c>
      <c r="D266" s="3327"/>
      <c r="E266" s="3328"/>
      <c r="F266" s="3318">
        <v>118</v>
      </c>
      <c r="G266" s="3319"/>
      <c r="H266" s="3325" t="s">
        <v>5898</v>
      </c>
      <c r="I266" s="3326"/>
      <c r="J266" s="3316">
        <v>23.26</v>
      </c>
      <c r="K266" s="3317"/>
      <c r="L266" s="3210">
        <v>10.33</v>
      </c>
    </row>
    <row r="267" spans="1:12">
      <c r="A267" s="3318">
        <v>266</v>
      </c>
      <c r="B267" s="3319"/>
      <c r="C267" s="3207" t="s">
        <v>5915</v>
      </c>
      <c r="D267" s="3327"/>
      <c r="E267" s="3328"/>
      <c r="F267" s="3318">
        <v>119</v>
      </c>
      <c r="G267" s="3319"/>
      <c r="H267" s="3325" t="s">
        <v>5898</v>
      </c>
      <c r="I267" s="3326"/>
      <c r="J267" s="3316">
        <v>52.86</v>
      </c>
      <c r="K267" s="3317"/>
      <c r="L267" s="3210">
        <v>23.47</v>
      </c>
    </row>
    <row r="268" spans="1:12">
      <c r="A268" s="3318">
        <v>267</v>
      </c>
      <c r="B268" s="3319"/>
      <c r="C268" s="3207" t="s">
        <v>5915</v>
      </c>
      <c r="D268" s="3327"/>
      <c r="E268" s="3328"/>
      <c r="F268" s="3318">
        <v>120</v>
      </c>
      <c r="G268" s="3319"/>
      <c r="H268" s="3325" t="s">
        <v>5898</v>
      </c>
      <c r="I268" s="3326"/>
      <c r="J268" s="3316">
        <v>45.76</v>
      </c>
      <c r="K268" s="3317"/>
      <c r="L268" s="3210">
        <v>20.32</v>
      </c>
    </row>
    <row r="269" spans="1:12">
      <c r="A269" s="3318">
        <v>268</v>
      </c>
      <c r="B269" s="3319"/>
      <c r="C269" s="3207" t="s">
        <v>5915</v>
      </c>
      <c r="D269" s="3327"/>
      <c r="E269" s="3328"/>
      <c r="F269" s="3318">
        <v>121</v>
      </c>
      <c r="G269" s="3319"/>
      <c r="H269" s="3325" t="s">
        <v>5898</v>
      </c>
      <c r="I269" s="3326"/>
      <c r="J269" s="3316">
        <v>16.02</v>
      </c>
      <c r="K269" s="3317"/>
      <c r="L269" s="3210">
        <v>7.11</v>
      </c>
    </row>
    <row r="270" spans="1:12">
      <c r="A270" s="3318">
        <v>269</v>
      </c>
      <c r="B270" s="3319"/>
      <c r="C270" s="3207" t="s">
        <v>5915</v>
      </c>
      <c r="D270" s="3327"/>
      <c r="E270" s="3328"/>
      <c r="F270" s="3318">
        <v>122</v>
      </c>
      <c r="G270" s="3319"/>
      <c r="H270" s="3325" t="s">
        <v>5898</v>
      </c>
      <c r="I270" s="3326"/>
      <c r="J270" s="3320">
        <v>30.5</v>
      </c>
      <c r="K270" s="3321"/>
      <c r="L270" s="3210">
        <v>13.54</v>
      </c>
    </row>
    <row r="271" spans="1:12">
      <c r="A271" s="3318">
        <v>270</v>
      </c>
      <c r="B271" s="3319"/>
      <c r="C271" s="3207" t="s">
        <v>5915</v>
      </c>
      <c r="D271" s="3327"/>
      <c r="E271" s="3328"/>
      <c r="F271" s="3318">
        <v>123</v>
      </c>
      <c r="G271" s="3319"/>
      <c r="H271" s="3325" t="s">
        <v>5898</v>
      </c>
      <c r="I271" s="3326"/>
      <c r="J271" s="3316">
        <v>15.08</v>
      </c>
      <c r="K271" s="3317"/>
      <c r="L271" s="3210">
        <v>6.7</v>
      </c>
    </row>
    <row r="272" spans="1:12">
      <c r="A272" s="3318">
        <v>271</v>
      </c>
      <c r="B272" s="3319"/>
      <c r="C272" s="3207" t="s">
        <v>5915</v>
      </c>
      <c r="D272" s="3327"/>
      <c r="E272" s="3328"/>
      <c r="F272" s="3318">
        <v>125</v>
      </c>
      <c r="G272" s="3319"/>
      <c r="H272" s="3325" t="s">
        <v>5898</v>
      </c>
      <c r="I272" s="3326"/>
      <c r="J272" s="3316">
        <v>18.850000000000001</v>
      </c>
      <c r="K272" s="3317"/>
      <c r="L272" s="3210">
        <v>8.3699999999999992</v>
      </c>
    </row>
    <row r="273" spans="1:12">
      <c r="A273" s="3318">
        <v>272</v>
      </c>
      <c r="B273" s="3319"/>
      <c r="C273" s="3207" t="s">
        <v>5915</v>
      </c>
      <c r="D273" s="3327"/>
      <c r="E273" s="3328"/>
      <c r="F273" s="3318">
        <v>126</v>
      </c>
      <c r="G273" s="3319"/>
      <c r="H273" s="3325" t="s">
        <v>5898</v>
      </c>
      <c r="I273" s="3326"/>
      <c r="J273" s="3316">
        <v>15.08</v>
      </c>
      <c r="K273" s="3317"/>
      <c r="L273" s="3210">
        <v>6.7</v>
      </c>
    </row>
    <row r="274" spans="1:12">
      <c r="A274" s="3318">
        <v>273</v>
      </c>
      <c r="B274" s="3319"/>
      <c r="C274" s="3207" t="s">
        <v>5915</v>
      </c>
      <c r="D274" s="3327"/>
      <c r="E274" s="3328"/>
      <c r="F274" s="3318">
        <v>127</v>
      </c>
      <c r="G274" s="3319"/>
      <c r="H274" s="3325" t="s">
        <v>5898</v>
      </c>
      <c r="I274" s="3326"/>
      <c r="J274" s="3316">
        <v>27.19</v>
      </c>
      <c r="K274" s="3317"/>
      <c r="L274" s="3210">
        <v>12.07</v>
      </c>
    </row>
    <row r="275" spans="1:12">
      <c r="A275" s="3318">
        <v>274</v>
      </c>
      <c r="B275" s="3319"/>
      <c r="C275" s="3207" t="s">
        <v>5915</v>
      </c>
      <c r="D275" s="3327"/>
      <c r="E275" s="3328"/>
      <c r="F275" s="3318">
        <v>128</v>
      </c>
      <c r="G275" s="3319"/>
      <c r="H275" s="3325" t="s">
        <v>5898</v>
      </c>
      <c r="I275" s="3326"/>
      <c r="J275" s="3316">
        <v>19.48</v>
      </c>
      <c r="K275" s="3317"/>
      <c r="L275" s="3210">
        <v>8.65</v>
      </c>
    </row>
    <row r="276" spans="1:12">
      <c r="A276" s="3318">
        <v>275</v>
      </c>
      <c r="B276" s="3319"/>
      <c r="C276" s="3207" t="s">
        <v>5915</v>
      </c>
      <c r="D276" s="3327"/>
      <c r="E276" s="3328"/>
      <c r="F276" s="3318">
        <v>130</v>
      </c>
      <c r="G276" s="3319"/>
      <c r="H276" s="3325" t="s">
        <v>5898</v>
      </c>
      <c r="I276" s="3326"/>
      <c r="J276" s="3316">
        <v>15.08</v>
      </c>
      <c r="K276" s="3317"/>
      <c r="L276" s="3210">
        <v>6.7</v>
      </c>
    </row>
    <row r="277" spans="1:12">
      <c r="A277" s="3318">
        <v>276</v>
      </c>
      <c r="B277" s="3319"/>
      <c r="C277" s="3207" t="s">
        <v>5915</v>
      </c>
      <c r="D277" s="3327"/>
      <c r="E277" s="3328"/>
      <c r="F277" s="3318">
        <v>203</v>
      </c>
      <c r="G277" s="3319"/>
      <c r="H277" s="3325" t="s">
        <v>5898</v>
      </c>
      <c r="I277" s="3326"/>
      <c r="J277" s="3316">
        <v>16.489999999999998</v>
      </c>
      <c r="K277" s="3317"/>
      <c r="L277" s="3210">
        <v>7.32</v>
      </c>
    </row>
    <row r="278" spans="1:12">
      <c r="A278" s="3318">
        <v>277</v>
      </c>
      <c r="B278" s="3319"/>
      <c r="C278" s="3207" t="s">
        <v>5915</v>
      </c>
      <c r="D278" s="3327"/>
      <c r="E278" s="3328"/>
      <c r="F278" s="3318">
        <v>210</v>
      </c>
      <c r="G278" s="3319"/>
      <c r="H278" s="3325" t="s">
        <v>5898</v>
      </c>
      <c r="I278" s="3326"/>
      <c r="J278" s="3316">
        <v>19.71</v>
      </c>
      <c r="K278" s="3317"/>
      <c r="L278" s="3210">
        <v>8.75</v>
      </c>
    </row>
    <row r="279" spans="1:12">
      <c r="A279" s="3318">
        <v>278</v>
      </c>
      <c r="B279" s="3319"/>
      <c r="C279" s="3207" t="s">
        <v>5915</v>
      </c>
      <c r="D279" s="3327"/>
      <c r="E279" s="3328"/>
      <c r="F279" s="3318">
        <v>211</v>
      </c>
      <c r="G279" s="3319"/>
      <c r="H279" s="3325" t="s">
        <v>5898</v>
      </c>
      <c r="I279" s="3326"/>
      <c r="J279" s="3316">
        <v>17.079999999999998</v>
      </c>
      <c r="K279" s="3317"/>
      <c r="L279" s="3210">
        <v>7.58</v>
      </c>
    </row>
    <row r="280" spans="1:12">
      <c r="A280" s="3318">
        <v>279</v>
      </c>
      <c r="B280" s="3319"/>
      <c r="C280" s="3207" t="s">
        <v>5915</v>
      </c>
      <c r="D280" s="3327"/>
      <c r="E280" s="3328"/>
      <c r="F280" s="3318">
        <v>212</v>
      </c>
      <c r="G280" s="3319"/>
      <c r="H280" s="3325" t="s">
        <v>5898</v>
      </c>
      <c r="I280" s="3326"/>
      <c r="J280" s="3316">
        <v>19.04</v>
      </c>
      <c r="K280" s="3317"/>
      <c r="L280" s="3210">
        <v>8.4600000000000009</v>
      </c>
    </row>
    <row r="281" spans="1:12">
      <c r="A281" s="3318">
        <v>280</v>
      </c>
      <c r="B281" s="3319"/>
      <c r="C281" s="3207" t="s">
        <v>5915</v>
      </c>
      <c r="D281" s="3327"/>
      <c r="E281" s="3328"/>
      <c r="F281" s="3318">
        <v>213</v>
      </c>
      <c r="G281" s="3319"/>
      <c r="H281" s="3325" t="s">
        <v>5898</v>
      </c>
      <c r="I281" s="3326"/>
      <c r="J281" s="3316">
        <v>16.489999999999998</v>
      </c>
      <c r="K281" s="3317"/>
      <c r="L281" s="3210">
        <v>7.32</v>
      </c>
    </row>
    <row r="282" spans="1:12">
      <c r="A282" s="3318">
        <v>281</v>
      </c>
      <c r="B282" s="3319"/>
      <c r="C282" s="3207" t="s">
        <v>5916</v>
      </c>
      <c r="D282" s="3327"/>
      <c r="E282" s="3328"/>
      <c r="F282" s="3318">
        <v>102</v>
      </c>
      <c r="G282" s="3319"/>
      <c r="H282" s="3325" t="s">
        <v>5898</v>
      </c>
      <c r="I282" s="3326"/>
      <c r="J282" s="3316">
        <v>42.57</v>
      </c>
      <c r="K282" s="3317"/>
      <c r="L282" s="3210">
        <v>18.899999999999999</v>
      </c>
    </row>
    <row r="283" spans="1:12">
      <c r="A283" s="3318">
        <v>282</v>
      </c>
      <c r="B283" s="3319"/>
      <c r="C283" s="3207" t="s">
        <v>5916</v>
      </c>
      <c r="D283" s="3327"/>
      <c r="E283" s="3328"/>
      <c r="F283" s="3318">
        <v>103</v>
      </c>
      <c r="G283" s="3319"/>
      <c r="H283" s="3325" t="s">
        <v>5898</v>
      </c>
      <c r="I283" s="3326"/>
      <c r="J283" s="3316">
        <v>47.19</v>
      </c>
      <c r="K283" s="3317"/>
      <c r="L283" s="3210">
        <v>20.96</v>
      </c>
    </row>
    <row r="284" spans="1:12">
      <c r="A284" s="3318">
        <v>283</v>
      </c>
      <c r="B284" s="3319"/>
      <c r="C284" s="3207" t="s">
        <v>5916</v>
      </c>
      <c r="D284" s="3327"/>
      <c r="E284" s="3328"/>
      <c r="F284" s="3318">
        <v>104</v>
      </c>
      <c r="G284" s="3319"/>
      <c r="H284" s="3325" t="s">
        <v>5898</v>
      </c>
      <c r="I284" s="3326"/>
      <c r="J284" s="3316">
        <v>62.37</v>
      </c>
      <c r="K284" s="3317"/>
      <c r="L284" s="3210">
        <v>27.7</v>
      </c>
    </row>
    <row r="285" spans="1:12">
      <c r="A285" s="3318">
        <v>284</v>
      </c>
      <c r="B285" s="3319"/>
      <c r="C285" s="3207" t="s">
        <v>5916</v>
      </c>
      <c r="D285" s="3327"/>
      <c r="E285" s="3328"/>
      <c r="F285" s="3318">
        <v>105</v>
      </c>
      <c r="G285" s="3319"/>
      <c r="H285" s="3325" t="s">
        <v>5898</v>
      </c>
      <c r="I285" s="3326"/>
      <c r="J285" s="3316">
        <v>61.41</v>
      </c>
      <c r="K285" s="3317"/>
      <c r="L285" s="3210">
        <v>27.27</v>
      </c>
    </row>
    <row r="286" spans="1:12">
      <c r="A286" s="3318">
        <v>285</v>
      </c>
      <c r="B286" s="3319"/>
      <c r="C286" s="3207" t="s">
        <v>5916</v>
      </c>
      <c r="D286" s="3327"/>
      <c r="E286" s="3328"/>
      <c r="F286" s="3318">
        <v>106</v>
      </c>
      <c r="G286" s="3319"/>
      <c r="H286" s="3325" t="s">
        <v>5898</v>
      </c>
      <c r="I286" s="3326"/>
      <c r="J286" s="3316">
        <v>61.41</v>
      </c>
      <c r="K286" s="3317"/>
      <c r="L286" s="3210">
        <v>27.27</v>
      </c>
    </row>
    <row r="287" spans="1:12">
      <c r="A287" s="3318">
        <v>286</v>
      </c>
      <c r="B287" s="3319"/>
      <c r="C287" s="3207" t="s">
        <v>5916</v>
      </c>
      <c r="D287" s="3327"/>
      <c r="E287" s="3328"/>
      <c r="F287" s="3318">
        <v>107</v>
      </c>
      <c r="G287" s="3319"/>
      <c r="H287" s="3325" t="s">
        <v>5898</v>
      </c>
      <c r="I287" s="3326"/>
      <c r="J287" s="3316">
        <v>62.37</v>
      </c>
      <c r="K287" s="3317"/>
      <c r="L287" s="3210">
        <v>27.7</v>
      </c>
    </row>
    <row r="288" spans="1:12">
      <c r="A288" s="3318">
        <v>287</v>
      </c>
      <c r="B288" s="3319"/>
      <c r="C288" s="3207" t="s">
        <v>5916</v>
      </c>
      <c r="D288" s="3327"/>
      <c r="E288" s="3328"/>
      <c r="F288" s="3318">
        <v>108</v>
      </c>
      <c r="G288" s="3319"/>
      <c r="H288" s="3325" t="s">
        <v>5898</v>
      </c>
      <c r="I288" s="3326"/>
      <c r="J288" s="3316">
        <v>47.19</v>
      </c>
      <c r="K288" s="3317"/>
      <c r="L288" s="3210">
        <v>20.96</v>
      </c>
    </row>
    <row r="289" spans="1:12">
      <c r="A289" s="3318">
        <v>288</v>
      </c>
      <c r="B289" s="3319"/>
      <c r="C289" s="3207" t="s">
        <v>5916</v>
      </c>
      <c r="D289" s="3327"/>
      <c r="E289" s="3328"/>
      <c r="F289" s="3318">
        <v>109</v>
      </c>
      <c r="G289" s="3319"/>
      <c r="H289" s="3325" t="s">
        <v>5898</v>
      </c>
      <c r="I289" s="3326"/>
      <c r="J289" s="3316">
        <v>42.78</v>
      </c>
      <c r="K289" s="3317"/>
      <c r="L289" s="3210">
        <v>19</v>
      </c>
    </row>
    <row r="290" spans="1:12">
      <c r="A290" s="3318">
        <v>289</v>
      </c>
      <c r="B290" s="3319"/>
      <c r="C290" s="3207" t="s">
        <v>5916</v>
      </c>
      <c r="D290" s="3327"/>
      <c r="E290" s="3328"/>
      <c r="F290" s="3318">
        <v>110</v>
      </c>
      <c r="G290" s="3319"/>
      <c r="H290" s="3325" t="s">
        <v>5898</v>
      </c>
      <c r="I290" s="3326"/>
      <c r="J290" s="3316">
        <v>42.78</v>
      </c>
      <c r="K290" s="3317"/>
      <c r="L290" s="3210">
        <v>19</v>
      </c>
    </row>
    <row r="291" spans="1:12">
      <c r="A291" s="3318">
        <v>290</v>
      </c>
      <c r="B291" s="3319"/>
      <c r="C291" s="3207" t="s">
        <v>5916</v>
      </c>
      <c r="D291" s="3327"/>
      <c r="E291" s="3328"/>
      <c r="F291" s="3318">
        <v>111</v>
      </c>
      <c r="G291" s="3319"/>
      <c r="H291" s="3325" t="s">
        <v>5898</v>
      </c>
      <c r="I291" s="3326"/>
      <c r="J291" s="3316">
        <v>47.19</v>
      </c>
      <c r="K291" s="3317"/>
      <c r="L291" s="3210">
        <v>20.96</v>
      </c>
    </row>
    <row r="292" spans="1:12">
      <c r="A292" s="3318">
        <v>291</v>
      </c>
      <c r="B292" s="3319"/>
      <c r="C292" s="3207" t="s">
        <v>5916</v>
      </c>
      <c r="D292" s="3327"/>
      <c r="E292" s="3328"/>
      <c r="F292" s="3318">
        <v>112</v>
      </c>
      <c r="G292" s="3319"/>
      <c r="H292" s="3325" t="s">
        <v>5898</v>
      </c>
      <c r="I292" s="3326"/>
      <c r="J292" s="3316">
        <v>62.37</v>
      </c>
      <c r="K292" s="3317"/>
      <c r="L292" s="3210">
        <v>27.7</v>
      </c>
    </row>
    <row r="293" spans="1:12">
      <c r="A293" s="3318">
        <v>292</v>
      </c>
      <c r="B293" s="3319"/>
      <c r="C293" s="3207" t="s">
        <v>5916</v>
      </c>
      <c r="D293" s="3327"/>
      <c r="E293" s="3328"/>
      <c r="F293" s="3318">
        <v>113</v>
      </c>
      <c r="G293" s="3319"/>
      <c r="H293" s="3325" t="s">
        <v>5898</v>
      </c>
      <c r="I293" s="3326"/>
      <c r="J293" s="3316">
        <v>61.41</v>
      </c>
      <c r="K293" s="3317"/>
      <c r="L293" s="3210">
        <v>27.27</v>
      </c>
    </row>
    <row r="294" spans="1:12">
      <c r="A294" s="3318">
        <v>293</v>
      </c>
      <c r="B294" s="3319"/>
      <c r="C294" s="3207" t="s">
        <v>5916</v>
      </c>
      <c r="D294" s="3327"/>
      <c r="E294" s="3328"/>
      <c r="F294" s="3318">
        <v>120</v>
      </c>
      <c r="G294" s="3319"/>
      <c r="H294" s="3325" t="s">
        <v>5898</v>
      </c>
      <c r="I294" s="3326"/>
      <c r="J294" s="3316">
        <v>14.91</v>
      </c>
      <c r="K294" s="3317"/>
      <c r="L294" s="3210">
        <v>6.62</v>
      </c>
    </row>
    <row r="295" spans="1:12">
      <c r="A295" s="3318">
        <v>294</v>
      </c>
      <c r="B295" s="3319"/>
      <c r="C295" s="3207" t="s">
        <v>5916</v>
      </c>
      <c r="D295" s="3327"/>
      <c r="E295" s="3328"/>
      <c r="F295" s="3318">
        <v>201</v>
      </c>
      <c r="G295" s="3319"/>
      <c r="H295" s="3325" t="s">
        <v>5898</v>
      </c>
      <c r="I295" s="3326"/>
      <c r="J295" s="3320">
        <v>22.9</v>
      </c>
      <c r="K295" s="3321"/>
      <c r="L295" s="3210">
        <v>10.17</v>
      </c>
    </row>
    <row r="296" spans="1:12">
      <c r="A296" s="3318">
        <v>295</v>
      </c>
      <c r="B296" s="3319"/>
      <c r="C296" s="3207" t="s">
        <v>5916</v>
      </c>
      <c r="D296" s="3327"/>
      <c r="E296" s="3328"/>
      <c r="F296" s="3318">
        <v>202</v>
      </c>
      <c r="G296" s="3319"/>
      <c r="H296" s="3325" t="s">
        <v>5898</v>
      </c>
      <c r="I296" s="3326"/>
      <c r="J296" s="3320">
        <v>22.9</v>
      </c>
      <c r="K296" s="3321"/>
      <c r="L296" s="3210">
        <v>10.17</v>
      </c>
    </row>
    <row r="297" spans="1:12">
      <c r="A297" s="3318">
        <v>296</v>
      </c>
      <c r="B297" s="3319"/>
      <c r="C297" s="3207" t="s">
        <v>5916</v>
      </c>
      <c r="D297" s="3327"/>
      <c r="E297" s="3328"/>
      <c r="F297" s="3318">
        <v>203</v>
      </c>
      <c r="G297" s="3319"/>
      <c r="H297" s="3325" t="s">
        <v>5898</v>
      </c>
      <c r="I297" s="3326"/>
      <c r="J297" s="3320">
        <v>22.9</v>
      </c>
      <c r="K297" s="3321"/>
      <c r="L297" s="3210">
        <v>10.17</v>
      </c>
    </row>
    <row r="298" spans="1:12">
      <c r="A298" s="3318">
        <v>297</v>
      </c>
      <c r="B298" s="3319"/>
      <c r="C298" s="3207" t="s">
        <v>5917</v>
      </c>
      <c r="D298" s="3327"/>
      <c r="E298" s="3328"/>
      <c r="F298" s="3318">
        <v>106</v>
      </c>
      <c r="G298" s="3319"/>
      <c r="H298" s="3325" t="s">
        <v>5898</v>
      </c>
      <c r="I298" s="3326"/>
      <c r="J298" s="3316">
        <v>34.520000000000003</v>
      </c>
      <c r="K298" s="3317"/>
      <c r="L298" s="3210">
        <v>15.33</v>
      </c>
    </row>
    <row r="299" spans="1:12">
      <c r="A299" s="3318">
        <v>298</v>
      </c>
      <c r="B299" s="3319"/>
      <c r="C299" s="3207" t="s">
        <v>5917</v>
      </c>
      <c r="D299" s="3327"/>
      <c r="E299" s="3328"/>
      <c r="F299" s="3318">
        <v>107</v>
      </c>
      <c r="G299" s="3319"/>
      <c r="H299" s="3325" t="s">
        <v>5898</v>
      </c>
      <c r="I299" s="3326"/>
      <c r="J299" s="3316">
        <v>63.28</v>
      </c>
      <c r="K299" s="3317"/>
      <c r="L299" s="3210">
        <v>28.1</v>
      </c>
    </row>
    <row r="300" spans="1:12">
      <c r="A300" s="3318">
        <v>299</v>
      </c>
      <c r="B300" s="3319"/>
      <c r="C300" s="3207" t="s">
        <v>5917</v>
      </c>
      <c r="D300" s="3327"/>
      <c r="E300" s="3328"/>
      <c r="F300" s="3318">
        <v>108</v>
      </c>
      <c r="G300" s="3319"/>
      <c r="H300" s="3325" t="s">
        <v>5898</v>
      </c>
      <c r="I300" s="3326"/>
      <c r="J300" s="3316">
        <v>47.64</v>
      </c>
      <c r="K300" s="3317"/>
      <c r="L300" s="3210">
        <v>21.16</v>
      </c>
    </row>
    <row r="301" spans="1:12">
      <c r="A301" s="3318">
        <v>300</v>
      </c>
      <c r="B301" s="3319"/>
      <c r="C301" s="3207" t="s">
        <v>5917</v>
      </c>
      <c r="D301" s="3327"/>
      <c r="E301" s="3328"/>
      <c r="F301" s="3318">
        <v>109</v>
      </c>
      <c r="G301" s="3319"/>
      <c r="H301" s="3325" t="s">
        <v>5898</v>
      </c>
      <c r="I301" s="3326"/>
      <c r="J301" s="3316">
        <v>47.64</v>
      </c>
      <c r="K301" s="3317"/>
      <c r="L301" s="3210">
        <v>21.16</v>
      </c>
    </row>
    <row r="302" spans="1:12">
      <c r="A302" s="3318">
        <v>301</v>
      </c>
      <c r="B302" s="3319"/>
      <c r="C302" s="3207" t="s">
        <v>5917</v>
      </c>
      <c r="D302" s="3327"/>
      <c r="E302" s="3328"/>
      <c r="F302" s="3318">
        <v>110</v>
      </c>
      <c r="G302" s="3319"/>
      <c r="H302" s="3325" t="s">
        <v>5898</v>
      </c>
      <c r="I302" s="3326"/>
      <c r="J302" s="3316">
        <v>63.28</v>
      </c>
      <c r="K302" s="3317"/>
      <c r="L302" s="3210">
        <v>28.1</v>
      </c>
    </row>
    <row r="303" spans="1:12">
      <c r="A303" s="3318">
        <v>302</v>
      </c>
      <c r="B303" s="3319"/>
      <c r="C303" s="3207" t="s">
        <v>5917</v>
      </c>
      <c r="D303" s="3327"/>
      <c r="E303" s="3328"/>
      <c r="F303" s="3318">
        <v>111</v>
      </c>
      <c r="G303" s="3319"/>
      <c r="H303" s="3325" t="s">
        <v>5898</v>
      </c>
      <c r="I303" s="3326"/>
      <c r="J303" s="3316">
        <v>34.520000000000003</v>
      </c>
      <c r="K303" s="3317"/>
      <c r="L303" s="3210">
        <v>15.33</v>
      </c>
    </row>
    <row r="304" spans="1:12">
      <c r="A304" s="3318">
        <v>303</v>
      </c>
      <c r="B304" s="3319"/>
      <c r="C304" s="3207" t="s">
        <v>5917</v>
      </c>
      <c r="D304" s="3327"/>
      <c r="E304" s="3328"/>
      <c r="F304" s="3318">
        <v>112</v>
      </c>
      <c r="G304" s="3319"/>
      <c r="H304" s="3325" t="s">
        <v>5898</v>
      </c>
      <c r="I304" s="3326"/>
      <c r="J304" s="3316">
        <v>34.520000000000003</v>
      </c>
      <c r="K304" s="3317"/>
      <c r="L304" s="3210">
        <v>15.33</v>
      </c>
    </row>
    <row r="305" spans="1:12">
      <c r="A305" s="3318">
        <v>304</v>
      </c>
      <c r="B305" s="3319"/>
      <c r="C305" s="3207" t="s">
        <v>5917</v>
      </c>
      <c r="D305" s="3327"/>
      <c r="E305" s="3328"/>
      <c r="F305" s="3318">
        <v>113</v>
      </c>
      <c r="G305" s="3319"/>
      <c r="H305" s="3325" t="s">
        <v>5898</v>
      </c>
      <c r="I305" s="3326"/>
      <c r="J305" s="3316">
        <v>63.57</v>
      </c>
      <c r="K305" s="3317"/>
      <c r="L305" s="3210">
        <v>28.23</v>
      </c>
    </row>
    <row r="306" spans="1:12">
      <c r="A306" s="3318">
        <v>305</v>
      </c>
      <c r="B306" s="3319"/>
      <c r="C306" s="3207" t="s">
        <v>5917</v>
      </c>
      <c r="D306" s="3327"/>
      <c r="E306" s="3328"/>
      <c r="F306" s="3318">
        <v>114</v>
      </c>
      <c r="G306" s="3319"/>
      <c r="H306" s="3325" t="s">
        <v>5898</v>
      </c>
      <c r="I306" s="3326"/>
      <c r="J306" s="3316">
        <v>57.85</v>
      </c>
      <c r="K306" s="3317"/>
      <c r="L306" s="3210">
        <v>25.69</v>
      </c>
    </row>
    <row r="307" spans="1:12">
      <c r="A307" s="3318">
        <v>306</v>
      </c>
      <c r="B307" s="3319"/>
      <c r="C307" s="3207" t="s">
        <v>5917</v>
      </c>
      <c r="D307" s="3327"/>
      <c r="E307" s="3328"/>
      <c r="F307" s="3318">
        <v>115</v>
      </c>
      <c r="G307" s="3319"/>
      <c r="H307" s="3325" t="s">
        <v>5898</v>
      </c>
      <c r="I307" s="3326"/>
      <c r="J307" s="3316">
        <v>30.97</v>
      </c>
      <c r="K307" s="3317"/>
      <c r="L307" s="3210">
        <v>13.75</v>
      </c>
    </row>
    <row r="308" spans="1:12">
      <c r="A308" s="3318">
        <v>307</v>
      </c>
      <c r="B308" s="3319"/>
      <c r="C308" s="3207" t="s">
        <v>5917</v>
      </c>
      <c r="D308" s="3327"/>
      <c r="E308" s="3328"/>
      <c r="F308" s="3318">
        <v>116</v>
      </c>
      <c r="G308" s="3319"/>
      <c r="H308" s="3325" t="s">
        <v>5898</v>
      </c>
      <c r="I308" s="3326"/>
      <c r="J308" s="3316">
        <v>25.56</v>
      </c>
      <c r="K308" s="3317"/>
      <c r="L308" s="3210">
        <v>11.35</v>
      </c>
    </row>
    <row r="309" spans="1:12">
      <c r="A309" s="3318">
        <v>308</v>
      </c>
      <c r="B309" s="3319"/>
      <c r="C309" s="3207" t="s">
        <v>5917</v>
      </c>
      <c r="D309" s="3327"/>
      <c r="E309" s="3328"/>
      <c r="F309" s="3318">
        <v>202</v>
      </c>
      <c r="G309" s="3319"/>
      <c r="H309" s="3325" t="s">
        <v>5898</v>
      </c>
      <c r="I309" s="3326"/>
      <c r="J309" s="3320">
        <v>20.2</v>
      </c>
      <c r="K309" s="3321"/>
      <c r="L309" s="3210">
        <v>8.9700000000000006</v>
      </c>
    </row>
    <row r="310" spans="1:12">
      <c r="A310" s="3318">
        <v>309</v>
      </c>
      <c r="B310" s="3319"/>
      <c r="C310" s="3207" t="s">
        <v>5917</v>
      </c>
      <c r="D310" s="3327"/>
      <c r="E310" s="3328"/>
      <c r="F310" s="3318">
        <v>203</v>
      </c>
      <c r="G310" s="3319"/>
      <c r="H310" s="3325" t="s">
        <v>5898</v>
      </c>
      <c r="I310" s="3326"/>
      <c r="J310" s="3316">
        <v>17.68</v>
      </c>
      <c r="K310" s="3317"/>
      <c r="L310" s="3210">
        <v>7.85</v>
      </c>
    </row>
    <row r="311" spans="1:12">
      <c r="A311" s="3318">
        <v>310</v>
      </c>
      <c r="B311" s="3319"/>
      <c r="C311" s="3207" t="s">
        <v>5917</v>
      </c>
      <c r="D311" s="3327"/>
      <c r="E311" s="3328"/>
      <c r="F311" s="3318">
        <v>204</v>
      </c>
      <c r="G311" s="3319"/>
      <c r="H311" s="3325" t="s">
        <v>5898</v>
      </c>
      <c r="I311" s="3326"/>
      <c r="J311" s="3316">
        <v>20.22</v>
      </c>
      <c r="K311" s="3317"/>
      <c r="L311" s="3210">
        <v>8.98</v>
      </c>
    </row>
    <row r="312" spans="1:12">
      <c r="A312" s="3318">
        <v>311</v>
      </c>
      <c r="B312" s="3319"/>
      <c r="C312" s="3207" t="s">
        <v>5918</v>
      </c>
      <c r="D312" s="3327"/>
      <c r="E312" s="3328"/>
      <c r="F312" s="3318">
        <v>106</v>
      </c>
      <c r="G312" s="3319"/>
      <c r="H312" s="3325" t="s">
        <v>5898</v>
      </c>
      <c r="I312" s="3326"/>
      <c r="J312" s="3316">
        <v>34.020000000000003</v>
      </c>
      <c r="K312" s="3317"/>
      <c r="L312" s="3210">
        <v>15.11</v>
      </c>
    </row>
    <row r="313" spans="1:12">
      <c r="A313" s="3318">
        <v>312</v>
      </c>
      <c r="B313" s="3319"/>
      <c r="C313" s="3207" t="s">
        <v>5918</v>
      </c>
      <c r="D313" s="3327"/>
      <c r="E313" s="3328"/>
      <c r="F313" s="3318">
        <v>107</v>
      </c>
      <c r="G313" s="3319"/>
      <c r="H313" s="3325" t="s">
        <v>5898</v>
      </c>
      <c r="I313" s="3326"/>
      <c r="J313" s="3316">
        <v>62.35</v>
      </c>
      <c r="K313" s="3317"/>
      <c r="L313" s="3210">
        <v>27.69</v>
      </c>
    </row>
    <row r="314" spans="1:12">
      <c r="A314" s="3318">
        <v>313</v>
      </c>
      <c r="B314" s="3319"/>
      <c r="C314" s="3207" t="s">
        <v>5918</v>
      </c>
      <c r="D314" s="3327"/>
      <c r="E314" s="3328"/>
      <c r="F314" s="3318">
        <v>108</v>
      </c>
      <c r="G314" s="3319"/>
      <c r="H314" s="3325" t="s">
        <v>5898</v>
      </c>
      <c r="I314" s="3326"/>
      <c r="J314" s="3316">
        <v>47.28</v>
      </c>
      <c r="K314" s="3317"/>
      <c r="L314" s="3210">
        <v>21</v>
      </c>
    </row>
    <row r="315" spans="1:12">
      <c r="A315" s="3318">
        <v>314</v>
      </c>
      <c r="B315" s="3319"/>
      <c r="C315" s="3207" t="s">
        <v>5918</v>
      </c>
      <c r="D315" s="3327"/>
      <c r="E315" s="3328"/>
      <c r="F315" s="3318">
        <v>202</v>
      </c>
      <c r="G315" s="3319"/>
      <c r="H315" s="3325" t="s">
        <v>5898</v>
      </c>
      <c r="I315" s="3326"/>
      <c r="J315" s="3316">
        <v>19.920000000000002</v>
      </c>
      <c r="K315" s="3317"/>
      <c r="L315" s="3210">
        <v>8.85</v>
      </c>
    </row>
    <row r="316" spans="1:12">
      <c r="A316" s="3318">
        <v>315</v>
      </c>
      <c r="B316" s="3319"/>
      <c r="C316" s="3207" t="s">
        <v>5919</v>
      </c>
      <c r="D316" s="3327"/>
      <c r="E316" s="3328"/>
      <c r="F316" s="3318">
        <v>101</v>
      </c>
      <c r="G316" s="3319"/>
      <c r="H316" s="3325" t="s">
        <v>5898</v>
      </c>
      <c r="I316" s="3326"/>
      <c r="J316" s="3320">
        <v>15.2</v>
      </c>
      <c r="K316" s="3321"/>
      <c r="L316" s="3210">
        <v>6.75</v>
      </c>
    </row>
    <row r="317" spans="1:12">
      <c r="A317" s="3318">
        <v>316</v>
      </c>
      <c r="B317" s="3319"/>
      <c r="C317" s="3207" t="s">
        <v>5919</v>
      </c>
      <c r="D317" s="3327"/>
      <c r="E317" s="3328"/>
      <c r="F317" s="3318">
        <v>102</v>
      </c>
      <c r="G317" s="3319"/>
      <c r="H317" s="3325" t="s">
        <v>5898</v>
      </c>
      <c r="I317" s="3326"/>
      <c r="J317" s="3316">
        <v>54.63</v>
      </c>
      <c r="K317" s="3317"/>
      <c r="L317" s="3210">
        <v>24.26</v>
      </c>
    </row>
    <row r="318" spans="1:12">
      <c r="A318" s="3318">
        <v>317</v>
      </c>
      <c r="B318" s="3319"/>
      <c r="C318" s="3207" t="s">
        <v>5919</v>
      </c>
      <c r="D318" s="3327"/>
      <c r="E318" s="3328"/>
      <c r="F318" s="3318">
        <v>103</v>
      </c>
      <c r="G318" s="3319"/>
      <c r="H318" s="3325" t="s">
        <v>5898</v>
      </c>
      <c r="I318" s="3326"/>
      <c r="J318" s="3316">
        <v>47.35</v>
      </c>
      <c r="K318" s="3317"/>
      <c r="L318" s="3210">
        <v>21.03</v>
      </c>
    </row>
    <row r="319" spans="1:12">
      <c r="A319" s="3318">
        <v>318</v>
      </c>
      <c r="B319" s="3319"/>
      <c r="C319" s="3207" t="s">
        <v>5919</v>
      </c>
      <c r="D319" s="3327"/>
      <c r="E319" s="3328"/>
      <c r="F319" s="3318">
        <v>104</v>
      </c>
      <c r="G319" s="3319"/>
      <c r="H319" s="3325" t="s">
        <v>5898</v>
      </c>
      <c r="I319" s="3326"/>
      <c r="J319" s="3316">
        <v>62.57</v>
      </c>
      <c r="K319" s="3317"/>
      <c r="L319" s="3210">
        <v>27.79</v>
      </c>
    </row>
    <row r="320" spans="1:12">
      <c r="A320" s="3318">
        <v>319</v>
      </c>
      <c r="B320" s="3319"/>
      <c r="C320" s="3207" t="s">
        <v>5919</v>
      </c>
      <c r="D320" s="3327"/>
      <c r="E320" s="3328"/>
      <c r="F320" s="3318">
        <v>105</v>
      </c>
      <c r="G320" s="3319"/>
      <c r="H320" s="3325" t="s">
        <v>5898</v>
      </c>
      <c r="I320" s="3326"/>
      <c r="J320" s="3316">
        <v>61.61</v>
      </c>
      <c r="K320" s="3317"/>
      <c r="L320" s="3210">
        <v>27.36</v>
      </c>
    </row>
    <row r="321" spans="1:12">
      <c r="A321" s="3318">
        <v>320</v>
      </c>
      <c r="B321" s="3319"/>
      <c r="C321" s="3207" t="s">
        <v>5919</v>
      </c>
      <c r="D321" s="3327"/>
      <c r="E321" s="3328"/>
      <c r="F321" s="3318">
        <v>106</v>
      </c>
      <c r="G321" s="3319"/>
      <c r="H321" s="3325" t="s">
        <v>5898</v>
      </c>
      <c r="I321" s="3326"/>
      <c r="J321" s="3316">
        <v>61.61</v>
      </c>
      <c r="K321" s="3317"/>
      <c r="L321" s="3210">
        <v>27.36</v>
      </c>
    </row>
    <row r="322" spans="1:12">
      <c r="A322" s="3318">
        <v>321</v>
      </c>
      <c r="B322" s="3319"/>
      <c r="C322" s="3207" t="s">
        <v>5919</v>
      </c>
      <c r="D322" s="3327"/>
      <c r="E322" s="3328"/>
      <c r="F322" s="3318">
        <v>107</v>
      </c>
      <c r="G322" s="3319"/>
      <c r="H322" s="3325" t="s">
        <v>5898</v>
      </c>
      <c r="I322" s="3326"/>
      <c r="J322" s="3316">
        <v>62.57</v>
      </c>
      <c r="K322" s="3317"/>
      <c r="L322" s="3210">
        <v>27.79</v>
      </c>
    </row>
    <row r="323" spans="1:12">
      <c r="A323" s="3318">
        <v>322</v>
      </c>
      <c r="B323" s="3319"/>
      <c r="C323" s="3207" t="s">
        <v>5919</v>
      </c>
      <c r="D323" s="3327"/>
      <c r="E323" s="3328"/>
      <c r="F323" s="3318">
        <v>108</v>
      </c>
      <c r="G323" s="3319"/>
      <c r="H323" s="3325" t="s">
        <v>5898</v>
      </c>
      <c r="I323" s="3326"/>
      <c r="J323" s="3316">
        <v>47.35</v>
      </c>
      <c r="K323" s="3317"/>
      <c r="L323" s="3210">
        <v>21.03</v>
      </c>
    </row>
    <row r="324" spans="1:12">
      <c r="A324" s="3318">
        <v>323</v>
      </c>
      <c r="B324" s="3319"/>
      <c r="C324" s="3207" t="s">
        <v>5919</v>
      </c>
      <c r="D324" s="3327"/>
      <c r="E324" s="3328"/>
      <c r="F324" s="3318">
        <v>109</v>
      </c>
      <c r="G324" s="3319"/>
      <c r="H324" s="3325" t="s">
        <v>5898</v>
      </c>
      <c r="I324" s="3326"/>
      <c r="J324" s="3316">
        <v>42.93</v>
      </c>
      <c r="K324" s="3317"/>
      <c r="L324" s="3210">
        <v>19.059999999999999</v>
      </c>
    </row>
    <row r="325" spans="1:12">
      <c r="A325" s="3318">
        <v>324</v>
      </c>
      <c r="B325" s="3319"/>
      <c r="C325" s="3207" t="s">
        <v>5919</v>
      </c>
      <c r="D325" s="3327"/>
      <c r="E325" s="3328"/>
      <c r="F325" s="3318">
        <v>110</v>
      </c>
      <c r="G325" s="3319"/>
      <c r="H325" s="3325" t="s">
        <v>5898</v>
      </c>
      <c r="I325" s="3326"/>
      <c r="J325" s="3316">
        <v>42.93</v>
      </c>
      <c r="K325" s="3317"/>
      <c r="L325" s="3210">
        <v>19.059999999999999</v>
      </c>
    </row>
    <row r="326" spans="1:12">
      <c r="A326" s="3318">
        <v>325</v>
      </c>
      <c r="B326" s="3319"/>
      <c r="C326" s="3207" t="s">
        <v>5919</v>
      </c>
      <c r="D326" s="3327"/>
      <c r="E326" s="3328"/>
      <c r="F326" s="3318">
        <v>111</v>
      </c>
      <c r="G326" s="3319"/>
      <c r="H326" s="3325" t="s">
        <v>5898</v>
      </c>
      <c r="I326" s="3326"/>
      <c r="J326" s="3316">
        <v>47.35</v>
      </c>
      <c r="K326" s="3317"/>
      <c r="L326" s="3210">
        <v>21.03</v>
      </c>
    </row>
    <row r="327" spans="1:12">
      <c r="A327" s="3318">
        <v>326</v>
      </c>
      <c r="B327" s="3319"/>
      <c r="C327" s="3207" t="s">
        <v>5919</v>
      </c>
      <c r="D327" s="3327"/>
      <c r="E327" s="3328"/>
      <c r="F327" s="3318">
        <v>112</v>
      </c>
      <c r="G327" s="3319"/>
      <c r="H327" s="3325" t="s">
        <v>5898</v>
      </c>
      <c r="I327" s="3326"/>
      <c r="J327" s="3316">
        <v>62.57</v>
      </c>
      <c r="K327" s="3317"/>
      <c r="L327" s="3210">
        <v>27.79</v>
      </c>
    </row>
    <row r="328" spans="1:12">
      <c r="A328" s="3318">
        <v>327</v>
      </c>
      <c r="B328" s="3319"/>
      <c r="C328" s="3207" t="s">
        <v>5919</v>
      </c>
      <c r="D328" s="3327"/>
      <c r="E328" s="3328"/>
      <c r="F328" s="3318">
        <v>113</v>
      </c>
      <c r="G328" s="3319"/>
      <c r="H328" s="3325" t="s">
        <v>5898</v>
      </c>
      <c r="I328" s="3326"/>
      <c r="J328" s="3316">
        <v>61.61</v>
      </c>
      <c r="K328" s="3317"/>
      <c r="L328" s="3210">
        <v>27.36</v>
      </c>
    </row>
    <row r="329" spans="1:12">
      <c r="A329" s="3318">
        <v>328</v>
      </c>
      <c r="B329" s="3319"/>
      <c r="C329" s="3207" t="s">
        <v>5919</v>
      </c>
      <c r="D329" s="3327"/>
      <c r="E329" s="3328"/>
      <c r="F329" s="3318">
        <v>118</v>
      </c>
      <c r="G329" s="3319"/>
      <c r="H329" s="3325" t="s">
        <v>5898</v>
      </c>
      <c r="I329" s="3326"/>
      <c r="J329" s="3316">
        <v>15.15</v>
      </c>
      <c r="K329" s="3317"/>
      <c r="L329" s="3210">
        <v>6.73</v>
      </c>
    </row>
    <row r="330" spans="1:12">
      <c r="A330" s="3318">
        <v>329</v>
      </c>
      <c r="B330" s="3319"/>
      <c r="C330" s="3207" t="s">
        <v>5919</v>
      </c>
      <c r="D330" s="3327"/>
      <c r="E330" s="3328"/>
      <c r="F330" s="3318">
        <v>119</v>
      </c>
      <c r="G330" s="3319"/>
      <c r="H330" s="3325" t="s">
        <v>5898</v>
      </c>
      <c r="I330" s="3326"/>
      <c r="J330" s="3316">
        <v>14.96</v>
      </c>
      <c r="K330" s="3317"/>
      <c r="L330" s="3210">
        <v>6.64</v>
      </c>
    </row>
    <row r="331" spans="1:12">
      <c r="A331" s="3318">
        <v>330</v>
      </c>
      <c r="B331" s="3319"/>
      <c r="C331" s="3207" t="s">
        <v>5919</v>
      </c>
      <c r="D331" s="3327"/>
      <c r="E331" s="3328"/>
      <c r="F331" s="3318">
        <v>120</v>
      </c>
      <c r="G331" s="3319"/>
      <c r="H331" s="3325" t="s">
        <v>5898</v>
      </c>
      <c r="I331" s="3326"/>
      <c r="J331" s="3316">
        <v>14.96</v>
      </c>
      <c r="K331" s="3317"/>
      <c r="L331" s="3210">
        <v>6.64</v>
      </c>
    </row>
    <row r="332" spans="1:12">
      <c r="A332" s="3318">
        <v>331</v>
      </c>
      <c r="B332" s="3319"/>
      <c r="C332" s="3207" t="s">
        <v>5919</v>
      </c>
      <c r="D332" s="3327"/>
      <c r="E332" s="3328"/>
      <c r="F332" s="3318">
        <v>201</v>
      </c>
      <c r="G332" s="3319"/>
      <c r="H332" s="3325" t="s">
        <v>5898</v>
      </c>
      <c r="I332" s="3326"/>
      <c r="J332" s="3316">
        <v>22.98</v>
      </c>
      <c r="K332" s="3317"/>
      <c r="L332" s="3210">
        <v>10.199999999999999</v>
      </c>
    </row>
    <row r="333" spans="1:12">
      <c r="A333" s="3318">
        <v>332</v>
      </c>
      <c r="B333" s="3319"/>
      <c r="C333" s="3207" t="s">
        <v>5919</v>
      </c>
      <c r="D333" s="3327"/>
      <c r="E333" s="3328"/>
      <c r="F333" s="3318">
        <v>202</v>
      </c>
      <c r="G333" s="3319"/>
      <c r="H333" s="3325" t="s">
        <v>5898</v>
      </c>
      <c r="I333" s="3326"/>
      <c r="J333" s="3316">
        <v>22.98</v>
      </c>
      <c r="K333" s="3317"/>
      <c r="L333" s="3210">
        <v>10.199999999999999</v>
      </c>
    </row>
    <row r="334" spans="1:12">
      <c r="A334" s="3318">
        <v>333</v>
      </c>
      <c r="B334" s="3319"/>
      <c r="C334" s="3207" t="s">
        <v>5919</v>
      </c>
      <c r="D334" s="3327"/>
      <c r="E334" s="3328"/>
      <c r="F334" s="3318">
        <v>203</v>
      </c>
      <c r="G334" s="3319"/>
      <c r="H334" s="3325" t="s">
        <v>5898</v>
      </c>
      <c r="I334" s="3326"/>
      <c r="J334" s="3316">
        <v>22.98</v>
      </c>
      <c r="K334" s="3317"/>
      <c r="L334" s="3211">
        <v>10.199999999999999</v>
      </c>
    </row>
    <row r="335" spans="1:12">
      <c r="A335" s="3318">
        <v>334</v>
      </c>
      <c r="B335" s="3319"/>
      <c r="C335" s="3207" t="s">
        <v>5920</v>
      </c>
      <c r="D335" s="3327"/>
      <c r="E335" s="3328"/>
      <c r="F335" s="3318">
        <v>106</v>
      </c>
      <c r="G335" s="3319"/>
      <c r="H335" s="3325" t="s">
        <v>5898</v>
      </c>
      <c r="I335" s="3326"/>
      <c r="J335" s="3320">
        <v>33.5</v>
      </c>
      <c r="K335" s="3321"/>
      <c r="L335" s="3211">
        <v>14.88</v>
      </c>
    </row>
    <row r="336" spans="1:12">
      <c r="A336" s="3318">
        <v>335</v>
      </c>
      <c r="B336" s="3319"/>
      <c r="C336" s="3207" t="s">
        <v>5920</v>
      </c>
      <c r="D336" s="3327"/>
      <c r="E336" s="3328"/>
      <c r="F336" s="3318">
        <v>107</v>
      </c>
      <c r="G336" s="3319"/>
      <c r="H336" s="3325" t="s">
        <v>5898</v>
      </c>
      <c r="I336" s="3326"/>
      <c r="J336" s="3320">
        <v>61.4</v>
      </c>
      <c r="K336" s="3321"/>
      <c r="L336" s="3211">
        <v>27.27</v>
      </c>
    </row>
    <row r="337" spans="1:12">
      <c r="A337" s="3318">
        <v>336</v>
      </c>
      <c r="B337" s="3319"/>
      <c r="C337" s="3207" t="s">
        <v>5920</v>
      </c>
      <c r="D337" s="3327"/>
      <c r="E337" s="3328"/>
      <c r="F337" s="3318">
        <v>108</v>
      </c>
      <c r="G337" s="3319"/>
      <c r="H337" s="3325" t="s">
        <v>5898</v>
      </c>
      <c r="I337" s="3326"/>
      <c r="J337" s="3316">
        <v>46.55</v>
      </c>
      <c r="K337" s="3317"/>
      <c r="L337" s="3211">
        <v>20.67</v>
      </c>
    </row>
    <row r="338" spans="1:12">
      <c r="A338" s="3318">
        <v>337</v>
      </c>
      <c r="B338" s="3319"/>
      <c r="C338" s="3207" t="s">
        <v>5920</v>
      </c>
      <c r="D338" s="3327"/>
      <c r="E338" s="3328"/>
      <c r="F338" s="3318">
        <v>109</v>
      </c>
      <c r="G338" s="3319"/>
      <c r="H338" s="3325" t="s">
        <v>5898</v>
      </c>
      <c r="I338" s="3326"/>
      <c r="J338" s="3316">
        <v>46.55</v>
      </c>
      <c r="K338" s="3317"/>
      <c r="L338" s="3211">
        <v>20.67</v>
      </c>
    </row>
    <row r="339" spans="1:12">
      <c r="A339" s="3318">
        <v>338</v>
      </c>
      <c r="B339" s="3319"/>
      <c r="C339" s="3207" t="s">
        <v>5920</v>
      </c>
      <c r="D339" s="3327"/>
      <c r="E339" s="3328"/>
      <c r="F339" s="3318">
        <v>110</v>
      </c>
      <c r="G339" s="3319"/>
      <c r="H339" s="3325" t="s">
        <v>5898</v>
      </c>
      <c r="I339" s="3326"/>
      <c r="J339" s="3320">
        <v>61.4</v>
      </c>
      <c r="K339" s="3321"/>
      <c r="L339" s="3211">
        <v>27.27</v>
      </c>
    </row>
    <row r="340" spans="1:12">
      <c r="A340" s="3318">
        <v>339</v>
      </c>
      <c r="B340" s="3319"/>
      <c r="C340" s="3207" t="s">
        <v>5920</v>
      </c>
      <c r="D340" s="3327"/>
      <c r="E340" s="3328"/>
      <c r="F340" s="3318">
        <v>111</v>
      </c>
      <c r="G340" s="3319"/>
      <c r="H340" s="3325" t="s">
        <v>5898</v>
      </c>
      <c r="I340" s="3326"/>
      <c r="J340" s="3320">
        <v>33.5</v>
      </c>
      <c r="K340" s="3321"/>
      <c r="L340" s="3211">
        <v>14.88</v>
      </c>
    </row>
    <row r="341" spans="1:12">
      <c r="A341" s="3318">
        <v>340</v>
      </c>
      <c r="B341" s="3319"/>
      <c r="C341" s="3207" t="s">
        <v>5920</v>
      </c>
      <c r="D341" s="3327"/>
      <c r="E341" s="3328"/>
      <c r="F341" s="3318">
        <v>112</v>
      </c>
      <c r="G341" s="3319"/>
      <c r="H341" s="3325" t="s">
        <v>5898</v>
      </c>
      <c r="I341" s="3326"/>
      <c r="J341" s="3320">
        <v>33.5</v>
      </c>
      <c r="K341" s="3321"/>
      <c r="L341" s="3211">
        <v>14.88</v>
      </c>
    </row>
    <row r="342" spans="1:12">
      <c r="A342" s="3318">
        <v>341</v>
      </c>
      <c r="B342" s="3319"/>
      <c r="C342" s="3207" t="s">
        <v>5920</v>
      </c>
      <c r="D342" s="3327"/>
      <c r="E342" s="3328"/>
      <c r="F342" s="3318">
        <v>113</v>
      </c>
      <c r="G342" s="3319"/>
      <c r="H342" s="3325" t="s">
        <v>5898</v>
      </c>
      <c r="I342" s="3326"/>
      <c r="J342" s="3320">
        <v>61.4</v>
      </c>
      <c r="K342" s="3321"/>
      <c r="L342" s="3211">
        <v>27.27</v>
      </c>
    </row>
    <row r="343" spans="1:12">
      <c r="A343" s="3318">
        <v>342</v>
      </c>
      <c r="B343" s="3319"/>
      <c r="C343" s="3207" t="s">
        <v>5920</v>
      </c>
      <c r="D343" s="3327"/>
      <c r="E343" s="3328"/>
      <c r="F343" s="3318">
        <v>114</v>
      </c>
      <c r="G343" s="3319"/>
      <c r="H343" s="3325" t="s">
        <v>5898</v>
      </c>
      <c r="I343" s="3326"/>
      <c r="J343" s="3316">
        <v>46.23</v>
      </c>
      <c r="K343" s="3317"/>
      <c r="L343" s="3211">
        <v>20.53</v>
      </c>
    </row>
    <row r="344" spans="1:12">
      <c r="A344" s="3318">
        <v>343</v>
      </c>
      <c r="B344" s="3319"/>
      <c r="C344" s="3207" t="s">
        <v>5920</v>
      </c>
      <c r="D344" s="3327"/>
      <c r="E344" s="3328"/>
      <c r="F344" s="3318">
        <v>115</v>
      </c>
      <c r="G344" s="3319"/>
      <c r="H344" s="3325" t="s">
        <v>5898</v>
      </c>
      <c r="I344" s="3326"/>
      <c r="J344" s="3316">
        <v>46.23</v>
      </c>
      <c r="K344" s="3317"/>
      <c r="L344" s="3211">
        <v>20.53</v>
      </c>
    </row>
    <row r="345" spans="1:12">
      <c r="A345" s="3318">
        <v>344</v>
      </c>
      <c r="B345" s="3319"/>
      <c r="C345" s="3207" t="s">
        <v>5920</v>
      </c>
      <c r="D345" s="3327"/>
      <c r="E345" s="3328"/>
      <c r="F345" s="3318">
        <v>116</v>
      </c>
      <c r="G345" s="3319"/>
      <c r="H345" s="3325" t="s">
        <v>5898</v>
      </c>
      <c r="I345" s="3326"/>
      <c r="J345" s="3320">
        <v>61.4</v>
      </c>
      <c r="K345" s="3321"/>
      <c r="L345" s="3211">
        <v>27.27</v>
      </c>
    </row>
    <row r="346" spans="1:12">
      <c r="A346" s="3318">
        <v>345</v>
      </c>
      <c r="B346" s="3319"/>
      <c r="C346" s="3207" t="s">
        <v>5920</v>
      </c>
      <c r="D346" s="3327"/>
      <c r="E346" s="3328"/>
      <c r="F346" s="3318">
        <v>117</v>
      </c>
      <c r="G346" s="3319"/>
      <c r="H346" s="3325" t="s">
        <v>5898</v>
      </c>
      <c r="I346" s="3326"/>
      <c r="J346" s="3320">
        <v>33.5</v>
      </c>
      <c r="K346" s="3321"/>
      <c r="L346" s="3211">
        <v>14.88</v>
      </c>
    </row>
    <row r="347" spans="1:12">
      <c r="A347" s="3318">
        <v>346</v>
      </c>
      <c r="B347" s="3319"/>
      <c r="C347" s="3207" t="s">
        <v>5920</v>
      </c>
      <c r="D347" s="3327"/>
      <c r="E347" s="3328"/>
      <c r="F347" s="3318">
        <v>123</v>
      </c>
      <c r="G347" s="3319"/>
      <c r="H347" s="3325" t="s">
        <v>5898</v>
      </c>
      <c r="I347" s="3326"/>
      <c r="J347" s="3316">
        <v>28.07</v>
      </c>
      <c r="K347" s="3317"/>
      <c r="L347" s="3211">
        <v>12.47</v>
      </c>
    </row>
    <row r="348" spans="1:12">
      <c r="A348" s="3318">
        <v>347</v>
      </c>
      <c r="B348" s="3319"/>
      <c r="C348" s="3207" t="s">
        <v>5920</v>
      </c>
      <c r="D348" s="3327"/>
      <c r="E348" s="3328"/>
      <c r="F348" s="3318">
        <v>124</v>
      </c>
      <c r="G348" s="3319"/>
      <c r="H348" s="3325" t="s">
        <v>5898</v>
      </c>
      <c r="I348" s="3326"/>
      <c r="J348" s="3316">
        <v>32.71</v>
      </c>
      <c r="K348" s="3317"/>
      <c r="L348" s="3211">
        <v>14.53</v>
      </c>
    </row>
    <row r="349" spans="1:12">
      <c r="A349" s="3318">
        <v>348</v>
      </c>
      <c r="B349" s="3319"/>
      <c r="C349" s="3207" t="s">
        <v>5920</v>
      </c>
      <c r="D349" s="3327"/>
      <c r="E349" s="3328"/>
      <c r="F349" s="3318">
        <v>126</v>
      </c>
      <c r="G349" s="3319"/>
      <c r="H349" s="3325" t="s">
        <v>5898</v>
      </c>
      <c r="I349" s="3326"/>
      <c r="J349" s="3320">
        <v>42.5</v>
      </c>
      <c r="K349" s="3321"/>
      <c r="L349" s="3211">
        <v>18.87</v>
      </c>
    </row>
    <row r="350" spans="1:12">
      <c r="A350" s="3318">
        <v>349</v>
      </c>
      <c r="B350" s="3319"/>
      <c r="C350" s="3207" t="s">
        <v>5920</v>
      </c>
      <c r="D350" s="3327"/>
      <c r="E350" s="3328"/>
      <c r="F350" s="3318">
        <v>127</v>
      </c>
      <c r="G350" s="3319"/>
      <c r="H350" s="3325" t="s">
        <v>5898</v>
      </c>
      <c r="I350" s="3326"/>
      <c r="J350" s="3316">
        <v>31.82</v>
      </c>
      <c r="K350" s="3317"/>
      <c r="L350" s="3211">
        <v>14.13</v>
      </c>
    </row>
    <row r="351" spans="1:12">
      <c r="A351" s="3318">
        <v>350</v>
      </c>
      <c r="B351" s="3319"/>
      <c r="C351" s="3207" t="s">
        <v>5920</v>
      </c>
      <c r="D351" s="3327"/>
      <c r="E351" s="3328"/>
      <c r="F351" s="3318">
        <v>202</v>
      </c>
      <c r="G351" s="3319"/>
      <c r="H351" s="3325" t="s">
        <v>5898</v>
      </c>
      <c r="I351" s="3326"/>
      <c r="J351" s="3316">
        <v>30.24</v>
      </c>
      <c r="K351" s="3317"/>
      <c r="L351" s="3211">
        <v>13.43</v>
      </c>
    </row>
    <row r="352" spans="1:12">
      <c r="A352" s="3318">
        <v>351</v>
      </c>
      <c r="B352" s="3319"/>
      <c r="C352" s="3207" t="s">
        <v>5920</v>
      </c>
      <c r="D352" s="3327"/>
      <c r="E352" s="3328"/>
      <c r="F352" s="3318">
        <v>203</v>
      </c>
      <c r="G352" s="3319"/>
      <c r="H352" s="3325" t="s">
        <v>5898</v>
      </c>
      <c r="I352" s="3326"/>
      <c r="J352" s="3316">
        <v>24.05</v>
      </c>
      <c r="K352" s="3317"/>
      <c r="L352" s="3211">
        <v>10.68</v>
      </c>
    </row>
    <row r="353" spans="1:12">
      <c r="A353" s="3318">
        <v>352</v>
      </c>
      <c r="B353" s="3319"/>
      <c r="C353" s="3207" t="s">
        <v>5920</v>
      </c>
      <c r="D353" s="3327"/>
      <c r="E353" s="3328"/>
      <c r="F353" s="3318">
        <v>204</v>
      </c>
      <c r="G353" s="3319"/>
      <c r="H353" s="3325" t="s">
        <v>5898</v>
      </c>
      <c r="I353" s="3326"/>
      <c r="J353" s="3316">
        <v>24.05</v>
      </c>
      <c r="K353" s="3317"/>
      <c r="L353" s="3211">
        <v>10.68</v>
      </c>
    </row>
    <row r="354" spans="1:12">
      <c r="A354" s="3318">
        <v>353</v>
      </c>
      <c r="B354" s="3319"/>
      <c r="C354" s="3207" t="s">
        <v>5920</v>
      </c>
      <c r="D354" s="3327"/>
      <c r="E354" s="3328"/>
      <c r="F354" s="3318">
        <v>205</v>
      </c>
      <c r="G354" s="3319"/>
      <c r="H354" s="3325" t="s">
        <v>5898</v>
      </c>
      <c r="I354" s="3326"/>
      <c r="J354" s="3316">
        <v>25.51</v>
      </c>
      <c r="K354" s="3317"/>
      <c r="L354" s="3211">
        <v>11.33</v>
      </c>
    </row>
    <row r="355" spans="1:12">
      <c r="A355" s="3318">
        <v>354</v>
      </c>
      <c r="B355" s="3319"/>
      <c r="C355" s="3207" t="s">
        <v>5920</v>
      </c>
      <c r="D355" s="3327"/>
      <c r="E355" s="3328"/>
      <c r="F355" s="3318">
        <v>206</v>
      </c>
      <c r="G355" s="3319"/>
      <c r="H355" s="3325" t="s">
        <v>5898</v>
      </c>
      <c r="I355" s="3326"/>
      <c r="J355" s="3316">
        <v>25.51</v>
      </c>
      <c r="K355" s="3317"/>
      <c r="L355" s="3211">
        <v>11.33</v>
      </c>
    </row>
    <row r="356" spans="1:12">
      <c r="A356" s="3318">
        <v>355</v>
      </c>
      <c r="B356" s="3319"/>
      <c r="C356" s="3207" t="s">
        <v>5920</v>
      </c>
      <c r="D356" s="3327"/>
      <c r="E356" s="3328"/>
      <c r="F356" s="3318">
        <v>207</v>
      </c>
      <c r="G356" s="3319"/>
      <c r="H356" s="3325" t="s">
        <v>5898</v>
      </c>
      <c r="I356" s="3326"/>
      <c r="J356" s="3316">
        <v>24.05</v>
      </c>
      <c r="K356" s="3317"/>
      <c r="L356" s="3211">
        <v>10.68</v>
      </c>
    </row>
    <row r="357" spans="1:12">
      <c r="A357" s="3318">
        <v>356</v>
      </c>
      <c r="B357" s="3319"/>
      <c r="C357" s="3207" t="s">
        <v>5920</v>
      </c>
      <c r="D357" s="3327"/>
      <c r="E357" s="3328"/>
      <c r="F357" s="3318">
        <v>209</v>
      </c>
      <c r="G357" s="3319"/>
      <c r="H357" s="3325" t="s">
        <v>5898</v>
      </c>
      <c r="I357" s="3326"/>
      <c r="J357" s="3320">
        <v>31.7</v>
      </c>
      <c r="K357" s="3321"/>
      <c r="L357" s="3211">
        <v>14.08</v>
      </c>
    </row>
    <row r="358" spans="1:12">
      <c r="A358" s="3318">
        <v>357</v>
      </c>
      <c r="B358" s="3319"/>
      <c r="C358" s="3207" t="s">
        <v>5920</v>
      </c>
      <c r="D358" s="3327"/>
      <c r="E358" s="3328"/>
      <c r="F358" s="3318">
        <v>211</v>
      </c>
      <c r="G358" s="3319"/>
      <c r="H358" s="3325" t="s">
        <v>5898</v>
      </c>
      <c r="I358" s="3326"/>
      <c r="J358" s="3316">
        <v>22.65</v>
      </c>
      <c r="K358" s="3317"/>
      <c r="L358" s="3211">
        <v>10.06</v>
      </c>
    </row>
    <row r="359" spans="1:12">
      <c r="A359" s="3318">
        <v>358</v>
      </c>
      <c r="B359" s="3319"/>
      <c r="C359" s="3207" t="s">
        <v>5920</v>
      </c>
      <c r="D359" s="3327"/>
      <c r="E359" s="3328"/>
      <c r="F359" s="3318">
        <v>212</v>
      </c>
      <c r="G359" s="3319"/>
      <c r="H359" s="3325" t="s">
        <v>5898</v>
      </c>
      <c r="I359" s="3326"/>
      <c r="J359" s="3316">
        <v>22.65</v>
      </c>
      <c r="K359" s="3317"/>
      <c r="L359" s="3211">
        <v>10.06</v>
      </c>
    </row>
    <row r="360" spans="1:12">
      <c r="A360" s="3318">
        <v>359</v>
      </c>
      <c r="B360" s="3319"/>
      <c r="C360" s="3207" t="s">
        <v>5920</v>
      </c>
      <c r="D360" s="3327"/>
      <c r="E360" s="3328"/>
      <c r="F360" s="3318">
        <v>213</v>
      </c>
      <c r="G360" s="3319"/>
      <c r="H360" s="3325" t="s">
        <v>5898</v>
      </c>
      <c r="I360" s="3326"/>
      <c r="J360" s="3316">
        <v>22.65</v>
      </c>
      <c r="K360" s="3317"/>
      <c r="L360" s="3211">
        <v>10.06</v>
      </c>
    </row>
    <row r="361" spans="1:12">
      <c r="A361" s="3318">
        <v>360</v>
      </c>
      <c r="B361" s="3319"/>
      <c r="C361" s="3207" t="s">
        <v>5920</v>
      </c>
      <c r="D361" s="3327"/>
      <c r="E361" s="3328"/>
      <c r="F361" s="3318">
        <v>214</v>
      </c>
      <c r="G361" s="3319"/>
      <c r="H361" s="3325" t="s">
        <v>5898</v>
      </c>
      <c r="I361" s="3326"/>
      <c r="J361" s="3316">
        <v>22.65</v>
      </c>
      <c r="K361" s="3317"/>
      <c r="L361" s="3211">
        <v>10.06</v>
      </c>
    </row>
    <row r="362" spans="1:12">
      <c r="A362" s="3318">
        <v>361</v>
      </c>
      <c r="B362" s="3319"/>
      <c r="C362" s="3207" t="s">
        <v>5921</v>
      </c>
      <c r="D362" s="3327"/>
      <c r="E362" s="3328"/>
      <c r="F362" s="3318">
        <v>106</v>
      </c>
      <c r="G362" s="3319"/>
      <c r="H362" s="3325" t="s">
        <v>5898</v>
      </c>
      <c r="I362" s="3326"/>
      <c r="J362" s="3316">
        <v>33.86</v>
      </c>
      <c r="K362" s="3317"/>
      <c r="L362" s="3210">
        <v>15.04</v>
      </c>
    </row>
    <row r="363" spans="1:12">
      <c r="A363" s="3318">
        <v>362</v>
      </c>
      <c r="B363" s="3319"/>
      <c r="C363" s="3207" t="s">
        <v>5921</v>
      </c>
      <c r="D363" s="3327"/>
      <c r="E363" s="3328"/>
      <c r="F363" s="3318">
        <v>107</v>
      </c>
      <c r="G363" s="3319"/>
      <c r="H363" s="3325" t="s">
        <v>5898</v>
      </c>
      <c r="I363" s="3326"/>
      <c r="J363" s="3316">
        <v>62.06</v>
      </c>
      <c r="K363" s="3317"/>
      <c r="L363" s="3210">
        <v>27.56</v>
      </c>
    </row>
    <row r="364" spans="1:12">
      <c r="A364" s="3318">
        <v>363</v>
      </c>
      <c r="B364" s="3319"/>
      <c r="C364" s="3207" t="s">
        <v>5921</v>
      </c>
      <c r="D364" s="3327"/>
      <c r="E364" s="3328"/>
      <c r="F364" s="3318">
        <v>108</v>
      </c>
      <c r="G364" s="3319"/>
      <c r="H364" s="3325" t="s">
        <v>5898</v>
      </c>
      <c r="I364" s="3326"/>
      <c r="J364" s="3316">
        <v>47.05</v>
      </c>
      <c r="K364" s="3317"/>
      <c r="L364" s="3210">
        <v>20.89</v>
      </c>
    </row>
    <row r="365" spans="1:12">
      <c r="A365" s="3318">
        <v>364</v>
      </c>
      <c r="B365" s="3319"/>
      <c r="C365" s="3207" t="s">
        <v>5921</v>
      </c>
      <c r="D365" s="3327"/>
      <c r="E365" s="3328"/>
      <c r="F365" s="3318">
        <v>109</v>
      </c>
      <c r="G365" s="3319"/>
      <c r="H365" s="3325" t="s">
        <v>5898</v>
      </c>
      <c r="I365" s="3326"/>
      <c r="J365" s="3316">
        <v>47.05</v>
      </c>
      <c r="K365" s="3317"/>
      <c r="L365" s="3210">
        <v>20.89</v>
      </c>
    </row>
    <row r="366" spans="1:12">
      <c r="A366" s="3318">
        <v>365</v>
      </c>
      <c r="B366" s="3319"/>
      <c r="C366" s="3207" t="s">
        <v>5921</v>
      </c>
      <c r="D366" s="3327"/>
      <c r="E366" s="3328"/>
      <c r="F366" s="3318">
        <v>110</v>
      </c>
      <c r="G366" s="3319"/>
      <c r="H366" s="3325" t="s">
        <v>5898</v>
      </c>
      <c r="I366" s="3326"/>
      <c r="J366" s="3316">
        <v>62.06</v>
      </c>
      <c r="K366" s="3317"/>
      <c r="L366" s="3210">
        <v>27.56</v>
      </c>
    </row>
    <row r="367" spans="1:12">
      <c r="A367" s="3318">
        <v>366</v>
      </c>
      <c r="B367" s="3319"/>
      <c r="C367" s="3207" t="s">
        <v>5921</v>
      </c>
      <c r="D367" s="3327"/>
      <c r="E367" s="3328"/>
      <c r="F367" s="3318">
        <v>111</v>
      </c>
      <c r="G367" s="3319"/>
      <c r="H367" s="3325" t="s">
        <v>5898</v>
      </c>
      <c r="I367" s="3326"/>
      <c r="J367" s="3316">
        <v>33.86</v>
      </c>
      <c r="K367" s="3317"/>
      <c r="L367" s="3210">
        <v>15.04</v>
      </c>
    </row>
    <row r="368" spans="1:12">
      <c r="A368" s="3318">
        <v>367</v>
      </c>
      <c r="B368" s="3319"/>
      <c r="C368" s="3207" t="s">
        <v>5921</v>
      </c>
      <c r="D368" s="3327"/>
      <c r="E368" s="3328"/>
      <c r="F368" s="3318">
        <v>112</v>
      </c>
      <c r="G368" s="3319"/>
      <c r="H368" s="3325" t="s">
        <v>5898</v>
      </c>
      <c r="I368" s="3326"/>
      <c r="J368" s="3316">
        <v>33.86</v>
      </c>
      <c r="K368" s="3317"/>
      <c r="L368" s="3210">
        <v>15.04</v>
      </c>
    </row>
    <row r="369" spans="1:12">
      <c r="A369" s="3318">
        <v>368</v>
      </c>
      <c r="B369" s="3319"/>
      <c r="C369" s="3207" t="s">
        <v>5921</v>
      </c>
      <c r="D369" s="3327"/>
      <c r="E369" s="3328"/>
      <c r="F369" s="3318">
        <v>113</v>
      </c>
      <c r="G369" s="3319"/>
      <c r="H369" s="3325" t="s">
        <v>5898</v>
      </c>
      <c r="I369" s="3326"/>
      <c r="J369" s="3316">
        <v>62.06</v>
      </c>
      <c r="K369" s="3317"/>
      <c r="L369" s="3210">
        <v>27.56</v>
      </c>
    </row>
    <row r="370" spans="1:12">
      <c r="A370" s="3318">
        <v>369</v>
      </c>
      <c r="B370" s="3319"/>
      <c r="C370" s="3207" t="s">
        <v>5921</v>
      </c>
      <c r="D370" s="3327"/>
      <c r="E370" s="3328"/>
      <c r="F370" s="3318">
        <v>114</v>
      </c>
      <c r="G370" s="3319"/>
      <c r="H370" s="3325" t="s">
        <v>5898</v>
      </c>
      <c r="I370" s="3326"/>
      <c r="J370" s="3316">
        <v>46.72</v>
      </c>
      <c r="K370" s="3317"/>
      <c r="L370" s="3210">
        <v>20.75</v>
      </c>
    </row>
    <row r="371" spans="1:12">
      <c r="A371" s="3318">
        <v>370</v>
      </c>
      <c r="B371" s="3319"/>
      <c r="C371" s="3207" t="s">
        <v>5921</v>
      </c>
      <c r="D371" s="3327"/>
      <c r="E371" s="3328"/>
      <c r="F371" s="3318">
        <v>115</v>
      </c>
      <c r="G371" s="3319"/>
      <c r="H371" s="3325" t="s">
        <v>5898</v>
      </c>
      <c r="I371" s="3326"/>
      <c r="J371" s="3316">
        <v>46.72</v>
      </c>
      <c r="K371" s="3317"/>
      <c r="L371" s="3210">
        <v>20.75</v>
      </c>
    </row>
    <row r="372" spans="1:12">
      <c r="A372" s="3318">
        <v>371</v>
      </c>
      <c r="B372" s="3319"/>
      <c r="C372" s="3207" t="s">
        <v>5921</v>
      </c>
      <c r="D372" s="3327"/>
      <c r="E372" s="3328"/>
      <c r="F372" s="3318">
        <v>116</v>
      </c>
      <c r="G372" s="3319"/>
      <c r="H372" s="3325" t="s">
        <v>5898</v>
      </c>
      <c r="I372" s="3326"/>
      <c r="J372" s="3316">
        <v>62.06</v>
      </c>
      <c r="K372" s="3317"/>
      <c r="L372" s="3210">
        <v>27.56</v>
      </c>
    </row>
    <row r="373" spans="1:12">
      <c r="A373" s="3318">
        <v>372</v>
      </c>
      <c r="B373" s="3319"/>
      <c r="C373" s="3207" t="s">
        <v>5921</v>
      </c>
      <c r="D373" s="3327"/>
      <c r="E373" s="3328"/>
      <c r="F373" s="3318">
        <v>117</v>
      </c>
      <c r="G373" s="3319"/>
      <c r="H373" s="3325" t="s">
        <v>5898</v>
      </c>
      <c r="I373" s="3326"/>
      <c r="J373" s="3316">
        <v>33.86</v>
      </c>
      <c r="K373" s="3317"/>
      <c r="L373" s="3210">
        <v>15.04</v>
      </c>
    </row>
    <row r="374" spans="1:12">
      <c r="A374" s="3318">
        <v>373</v>
      </c>
      <c r="B374" s="3319"/>
      <c r="C374" s="3207" t="s">
        <v>5921</v>
      </c>
      <c r="D374" s="3327"/>
      <c r="E374" s="3328"/>
      <c r="F374" s="3318">
        <v>118</v>
      </c>
      <c r="G374" s="3319"/>
      <c r="H374" s="3325" t="s">
        <v>5898</v>
      </c>
      <c r="I374" s="3326"/>
      <c r="J374" s="3316">
        <v>33.86</v>
      </c>
      <c r="K374" s="3317"/>
      <c r="L374" s="3210">
        <v>15.04</v>
      </c>
    </row>
    <row r="375" spans="1:12">
      <c r="A375" s="3318">
        <v>374</v>
      </c>
      <c r="B375" s="3319"/>
      <c r="C375" s="3207" t="s">
        <v>5921</v>
      </c>
      <c r="D375" s="3327"/>
      <c r="E375" s="3328"/>
      <c r="F375" s="3318">
        <v>119</v>
      </c>
      <c r="G375" s="3319"/>
      <c r="H375" s="3325" t="s">
        <v>5898</v>
      </c>
      <c r="I375" s="3326"/>
      <c r="J375" s="3316">
        <v>62.34</v>
      </c>
      <c r="K375" s="3317"/>
      <c r="L375" s="3210">
        <v>27.68</v>
      </c>
    </row>
    <row r="376" spans="1:12">
      <c r="A376" s="3318">
        <v>375</v>
      </c>
      <c r="B376" s="3319"/>
      <c r="C376" s="3207" t="s">
        <v>5921</v>
      </c>
      <c r="D376" s="3327"/>
      <c r="E376" s="3328"/>
      <c r="F376" s="3318">
        <v>120</v>
      </c>
      <c r="G376" s="3319"/>
      <c r="H376" s="3325" t="s">
        <v>5898</v>
      </c>
      <c r="I376" s="3326"/>
      <c r="J376" s="3316">
        <v>56.73</v>
      </c>
      <c r="K376" s="3317"/>
      <c r="L376" s="3210">
        <v>25.19</v>
      </c>
    </row>
    <row r="377" spans="1:12">
      <c r="A377" s="3318">
        <v>376</v>
      </c>
      <c r="B377" s="3319"/>
      <c r="C377" s="3207" t="s">
        <v>5921</v>
      </c>
      <c r="D377" s="3327"/>
      <c r="E377" s="3328"/>
      <c r="F377" s="3318">
        <v>121</v>
      </c>
      <c r="G377" s="3319"/>
      <c r="H377" s="3325" t="s">
        <v>5898</v>
      </c>
      <c r="I377" s="3326"/>
      <c r="J377" s="3316">
        <v>30.59</v>
      </c>
      <c r="K377" s="3317"/>
      <c r="L377" s="3210">
        <v>13.58</v>
      </c>
    </row>
    <row r="378" spans="1:12">
      <c r="A378" s="3318">
        <v>377</v>
      </c>
      <c r="B378" s="3319"/>
      <c r="C378" s="3207" t="s">
        <v>5921</v>
      </c>
      <c r="D378" s="3327"/>
      <c r="E378" s="3328"/>
      <c r="F378" s="3318">
        <v>122</v>
      </c>
      <c r="G378" s="3319"/>
      <c r="H378" s="3325" t="s">
        <v>5898</v>
      </c>
      <c r="I378" s="3326"/>
      <c r="J378" s="3316">
        <v>25.07</v>
      </c>
      <c r="K378" s="3317"/>
      <c r="L378" s="3210">
        <v>11.13</v>
      </c>
    </row>
    <row r="379" spans="1:12">
      <c r="A379" s="3318">
        <v>378</v>
      </c>
      <c r="B379" s="3319"/>
      <c r="C379" s="3207" t="s">
        <v>5921</v>
      </c>
      <c r="D379" s="3327"/>
      <c r="E379" s="3328"/>
      <c r="F379" s="3318">
        <v>123</v>
      </c>
      <c r="G379" s="3319"/>
      <c r="H379" s="3325" t="s">
        <v>5898</v>
      </c>
      <c r="I379" s="3326"/>
      <c r="J379" s="3316">
        <v>28.37</v>
      </c>
      <c r="K379" s="3317"/>
      <c r="L379" s="3210">
        <v>12.6</v>
      </c>
    </row>
    <row r="380" spans="1:12">
      <c r="A380" s="3318">
        <v>379</v>
      </c>
      <c r="B380" s="3319"/>
      <c r="C380" s="3207" t="s">
        <v>5921</v>
      </c>
      <c r="D380" s="3327"/>
      <c r="E380" s="3328"/>
      <c r="F380" s="3318">
        <v>124</v>
      </c>
      <c r="G380" s="3319"/>
      <c r="H380" s="3325" t="s">
        <v>5898</v>
      </c>
      <c r="I380" s="3326"/>
      <c r="J380" s="3316">
        <v>28.37</v>
      </c>
      <c r="K380" s="3317"/>
      <c r="L380" s="3210">
        <v>12.6</v>
      </c>
    </row>
    <row r="381" spans="1:12">
      <c r="A381" s="3318">
        <v>380</v>
      </c>
      <c r="B381" s="3319"/>
      <c r="C381" s="3207" t="s">
        <v>5921</v>
      </c>
      <c r="D381" s="3327"/>
      <c r="E381" s="3328"/>
      <c r="F381" s="3318">
        <v>125</v>
      </c>
      <c r="G381" s="3319"/>
      <c r="H381" s="3325" t="s">
        <v>5898</v>
      </c>
      <c r="I381" s="3326"/>
      <c r="J381" s="3316">
        <v>22.18</v>
      </c>
      <c r="K381" s="3317"/>
      <c r="L381" s="3210">
        <v>9.85</v>
      </c>
    </row>
    <row r="382" spans="1:12">
      <c r="A382" s="3318">
        <v>381</v>
      </c>
      <c r="B382" s="3319"/>
      <c r="C382" s="3207" t="s">
        <v>5921</v>
      </c>
      <c r="D382" s="3327"/>
      <c r="E382" s="3328"/>
      <c r="F382" s="3318">
        <v>126</v>
      </c>
      <c r="G382" s="3319"/>
      <c r="H382" s="3325" t="s">
        <v>5898</v>
      </c>
      <c r="I382" s="3326"/>
      <c r="J382" s="3316">
        <v>42.89</v>
      </c>
      <c r="K382" s="3317"/>
      <c r="L382" s="3210">
        <v>19.05</v>
      </c>
    </row>
    <row r="383" spans="1:12">
      <c r="A383" s="3318">
        <v>382</v>
      </c>
      <c r="B383" s="3319"/>
      <c r="C383" s="3207" t="s">
        <v>5921</v>
      </c>
      <c r="D383" s="3327"/>
      <c r="E383" s="3328"/>
      <c r="F383" s="3318">
        <v>127</v>
      </c>
      <c r="G383" s="3319"/>
      <c r="H383" s="3325" t="s">
        <v>5898</v>
      </c>
      <c r="I383" s="3326"/>
      <c r="J383" s="3316">
        <v>42.81</v>
      </c>
      <c r="K383" s="3317"/>
      <c r="L383" s="3210">
        <v>19.010000000000002</v>
      </c>
    </row>
    <row r="384" spans="1:12">
      <c r="A384" s="3318">
        <v>383</v>
      </c>
      <c r="B384" s="3319"/>
      <c r="C384" s="3207" t="s">
        <v>5921</v>
      </c>
      <c r="D384" s="3327"/>
      <c r="E384" s="3328"/>
      <c r="F384" s="3318">
        <v>202</v>
      </c>
      <c r="G384" s="3319"/>
      <c r="H384" s="3325" t="s">
        <v>5898</v>
      </c>
      <c r="I384" s="3326"/>
      <c r="J384" s="3316">
        <v>19.829999999999998</v>
      </c>
      <c r="K384" s="3317"/>
      <c r="L384" s="3210">
        <v>8.81</v>
      </c>
    </row>
    <row r="385" spans="1:12">
      <c r="A385" s="3318">
        <v>384</v>
      </c>
      <c r="B385" s="3319"/>
      <c r="C385" s="3207" t="s">
        <v>5921</v>
      </c>
      <c r="D385" s="3327"/>
      <c r="E385" s="3328"/>
      <c r="F385" s="3318">
        <v>203</v>
      </c>
      <c r="G385" s="3319"/>
      <c r="H385" s="3325" t="s">
        <v>5898</v>
      </c>
      <c r="I385" s="3326"/>
      <c r="J385" s="3316">
        <v>19.829999999999998</v>
      </c>
      <c r="K385" s="3317"/>
      <c r="L385" s="3210">
        <v>8.81</v>
      </c>
    </row>
    <row r="386" spans="1:12">
      <c r="A386" s="3318">
        <v>385</v>
      </c>
      <c r="B386" s="3319"/>
      <c r="C386" s="3207" t="s">
        <v>5921</v>
      </c>
      <c r="D386" s="3327"/>
      <c r="E386" s="3328"/>
      <c r="F386" s="3318">
        <v>204</v>
      </c>
      <c r="G386" s="3319"/>
      <c r="H386" s="3325" t="s">
        <v>5898</v>
      </c>
      <c r="I386" s="3326"/>
      <c r="J386" s="3316">
        <v>19.829999999999998</v>
      </c>
      <c r="K386" s="3317"/>
      <c r="L386" s="3210">
        <v>8.81</v>
      </c>
    </row>
    <row r="387" spans="1:12">
      <c r="A387" s="3318">
        <v>386</v>
      </c>
      <c r="B387" s="3319"/>
      <c r="C387" s="3207" t="s">
        <v>5921</v>
      </c>
      <c r="D387" s="3327"/>
      <c r="E387" s="3328"/>
      <c r="F387" s="3318">
        <v>205</v>
      </c>
      <c r="G387" s="3319"/>
      <c r="H387" s="3325" t="s">
        <v>5898</v>
      </c>
      <c r="I387" s="3326"/>
      <c r="J387" s="3316">
        <v>19.829999999999998</v>
      </c>
      <c r="K387" s="3317"/>
      <c r="L387" s="3210">
        <v>8.81</v>
      </c>
    </row>
    <row r="388" spans="1:12">
      <c r="A388" s="3318">
        <v>387</v>
      </c>
      <c r="B388" s="3319"/>
      <c r="C388" s="3207" t="s">
        <v>5921</v>
      </c>
      <c r="D388" s="3327"/>
      <c r="E388" s="3328"/>
      <c r="F388" s="3318">
        <v>206</v>
      </c>
      <c r="G388" s="3319"/>
      <c r="H388" s="3325" t="s">
        <v>5898</v>
      </c>
      <c r="I388" s="3326"/>
      <c r="J388" s="3316">
        <v>19.829999999999998</v>
      </c>
      <c r="K388" s="3317"/>
      <c r="L388" s="3210">
        <v>8.81</v>
      </c>
    </row>
    <row r="389" spans="1:12">
      <c r="A389" s="3318">
        <v>388</v>
      </c>
      <c r="B389" s="3319"/>
      <c r="C389" s="3207" t="s">
        <v>5921</v>
      </c>
      <c r="D389" s="3327"/>
      <c r="E389" s="3328"/>
      <c r="F389" s="3318">
        <v>207</v>
      </c>
      <c r="G389" s="3319"/>
      <c r="H389" s="3325" t="s">
        <v>5898</v>
      </c>
      <c r="I389" s="3326"/>
      <c r="J389" s="3316">
        <v>23.63</v>
      </c>
      <c r="K389" s="3317"/>
      <c r="L389" s="3210">
        <v>10.49</v>
      </c>
    </row>
    <row r="390" spans="1:12">
      <c r="A390" s="3318">
        <v>389</v>
      </c>
      <c r="B390" s="3319"/>
      <c r="C390" s="3207" t="s">
        <v>5922</v>
      </c>
      <c r="D390" s="3327"/>
      <c r="E390" s="3328"/>
      <c r="F390" s="3318">
        <v>101</v>
      </c>
      <c r="G390" s="3319"/>
      <c r="H390" s="3325" t="s">
        <v>5898</v>
      </c>
      <c r="I390" s="3326"/>
      <c r="J390" s="3320">
        <v>24.3</v>
      </c>
      <c r="K390" s="3321"/>
      <c r="L390" s="3210">
        <v>10.79</v>
      </c>
    </row>
    <row r="391" spans="1:12">
      <c r="A391" s="3318">
        <v>390</v>
      </c>
      <c r="B391" s="3319"/>
      <c r="C391" s="3207" t="s">
        <v>5922</v>
      </c>
      <c r="D391" s="3327"/>
      <c r="E391" s="3328"/>
      <c r="F391" s="3318">
        <v>102</v>
      </c>
      <c r="G391" s="3319"/>
      <c r="H391" s="3325" t="s">
        <v>5898</v>
      </c>
      <c r="I391" s="3326"/>
      <c r="J391" s="3316">
        <v>30.33</v>
      </c>
      <c r="K391" s="3317"/>
      <c r="L391" s="3210">
        <v>13.47</v>
      </c>
    </row>
    <row r="392" spans="1:12">
      <c r="A392" s="3318">
        <v>391</v>
      </c>
      <c r="B392" s="3319"/>
      <c r="C392" s="3207" t="s">
        <v>5922</v>
      </c>
      <c r="D392" s="3327"/>
      <c r="E392" s="3328"/>
      <c r="F392" s="3318">
        <v>103</v>
      </c>
      <c r="G392" s="3319"/>
      <c r="H392" s="3325" t="s">
        <v>5898</v>
      </c>
      <c r="I392" s="3326"/>
      <c r="J392" s="3316">
        <v>56.23</v>
      </c>
      <c r="K392" s="3317"/>
      <c r="L392" s="3210">
        <v>24.97</v>
      </c>
    </row>
    <row r="393" spans="1:12">
      <c r="A393" s="3318">
        <v>392</v>
      </c>
      <c r="B393" s="3319"/>
      <c r="C393" s="3207" t="s">
        <v>5922</v>
      </c>
      <c r="D393" s="3327"/>
      <c r="E393" s="3328"/>
      <c r="F393" s="3318">
        <v>104</v>
      </c>
      <c r="G393" s="3319"/>
      <c r="H393" s="3325" t="s">
        <v>5898</v>
      </c>
      <c r="I393" s="3326"/>
      <c r="J393" s="3320">
        <v>61.8</v>
      </c>
      <c r="K393" s="3321"/>
      <c r="L393" s="3210">
        <v>27.44</v>
      </c>
    </row>
    <row r="394" spans="1:12">
      <c r="A394" s="3318">
        <v>393</v>
      </c>
      <c r="B394" s="3319"/>
      <c r="C394" s="3207" t="s">
        <v>5922</v>
      </c>
      <c r="D394" s="3327"/>
      <c r="E394" s="3328"/>
      <c r="F394" s="3318">
        <v>105</v>
      </c>
      <c r="G394" s="3319"/>
      <c r="H394" s="3325" t="s">
        <v>5898</v>
      </c>
      <c r="I394" s="3326"/>
      <c r="J394" s="3316">
        <v>33.21</v>
      </c>
      <c r="K394" s="3317"/>
      <c r="L394" s="3210">
        <v>14.75</v>
      </c>
    </row>
    <row r="395" spans="1:12">
      <c r="A395" s="3318">
        <v>394</v>
      </c>
      <c r="B395" s="3319"/>
      <c r="C395" s="3207" t="s">
        <v>5922</v>
      </c>
      <c r="D395" s="3327"/>
      <c r="E395" s="3328"/>
      <c r="F395" s="3318">
        <v>106</v>
      </c>
      <c r="G395" s="3319"/>
      <c r="H395" s="3325" t="s">
        <v>5898</v>
      </c>
      <c r="I395" s="3326"/>
      <c r="J395" s="3316">
        <v>33.21</v>
      </c>
      <c r="K395" s="3317"/>
      <c r="L395" s="3210">
        <v>14.75</v>
      </c>
    </row>
    <row r="396" spans="1:12">
      <c r="A396" s="3318">
        <v>395</v>
      </c>
      <c r="B396" s="3319"/>
      <c r="C396" s="3207" t="s">
        <v>5922</v>
      </c>
      <c r="D396" s="3327"/>
      <c r="E396" s="3328"/>
      <c r="F396" s="3318">
        <v>107</v>
      </c>
      <c r="G396" s="3319"/>
      <c r="H396" s="3325" t="s">
        <v>5898</v>
      </c>
      <c r="I396" s="3326"/>
      <c r="J396" s="3316">
        <v>61.52</v>
      </c>
      <c r="K396" s="3317"/>
      <c r="L396" s="3210">
        <v>27.32</v>
      </c>
    </row>
    <row r="397" spans="1:12">
      <c r="A397" s="3318">
        <v>396</v>
      </c>
      <c r="B397" s="3319"/>
      <c r="C397" s="3207" t="s">
        <v>5922</v>
      </c>
      <c r="D397" s="3327"/>
      <c r="E397" s="3328"/>
      <c r="F397" s="3318">
        <v>108</v>
      </c>
      <c r="G397" s="3319"/>
      <c r="H397" s="3325" t="s">
        <v>5898</v>
      </c>
      <c r="I397" s="3326"/>
      <c r="J397" s="3316">
        <v>46.65</v>
      </c>
      <c r="K397" s="3317"/>
      <c r="L397" s="3210">
        <v>20.72</v>
      </c>
    </row>
    <row r="398" spans="1:12">
      <c r="A398" s="3318">
        <v>397</v>
      </c>
      <c r="B398" s="3319"/>
      <c r="C398" s="3207" t="s">
        <v>5922</v>
      </c>
      <c r="D398" s="3327"/>
      <c r="E398" s="3328"/>
      <c r="F398" s="3318">
        <v>109</v>
      </c>
      <c r="G398" s="3319"/>
      <c r="H398" s="3325" t="s">
        <v>5898</v>
      </c>
      <c r="I398" s="3326"/>
      <c r="J398" s="3316">
        <v>46.65</v>
      </c>
      <c r="K398" s="3317"/>
      <c r="L398" s="3210">
        <v>20.72</v>
      </c>
    </row>
    <row r="399" spans="1:12">
      <c r="A399" s="3318">
        <v>398</v>
      </c>
      <c r="B399" s="3319"/>
      <c r="C399" s="3207" t="s">
        <v>5922</v>
      </c>
      <c r="D399" s="3327"/>
      <c r="E399" s="3328"/>
      <c r="F399" s="3318">
        <v>110</v>
      </c>
      <c r="G399" s="3319"/>
      <c r="H399" s="3325" t="s">
        <v>5898</v>
      </c>
      <c r="I399" s="3326"/>
      <c r="J399" s="3316">
        <v>61.52</v>
      </c>
      <c r="K399" s="3317"/>
      <c r="L399" s="3210">
        <v>27.32</v>
      </c>
    </row>
    <row r="400" spans="1:12">
      <c r="A400" s="3318">
        <v>399</v>
      </c>
      <c r="B400" s="3319"/>
      <c r="C400" s="3207" t="s">
        <v>5922</v>
      </c>
      <c r="D400" s="3327"/>
      <c r="E400" s="3328"/>
      <c r="F400" s="3318">
        <v>111</v>
      </c>
      <c r="G400" s="3319"/>
      <c r="H400" s="3325" t="s">
        <v>5898</v>
      </c>
      <c r="I400" s="3326"/>
      <c r="J400" s="3316">
        <v>33.21</v>
      </c>
      <c r="K400" s="3317"/>
      <c r="L400" s="3210">
        <v>14.75</v>
      </c>
    </row>
    <row r="401" spans="1:12">
      <c r="A401" s="3318">
        <v>400</v>
      </c>
      <c r="B401" s="3319"/>
      <c r="C401" s="3207" t="s">
        <v>5922</v>
      </c>
      <c r="D401" s="3327"/>
      <c r="E401" s="3328"/>
      <c r="F401" s="3318">
        <v>112</v>
      </c>
      <c r="G401" s="3319"/>
      <c r="H401" s="3325" t="s">
        <v>5898</v>
      </c>
      <c r="I401" s="3326"/>
      <c r="J401" s="3316">
        <v>33.21</v>
      </c>
      <c r="K401" s="3317"/>
      <c r="L401" s="3210">
        <v>14.75</v>
      </c>
    </row>
    <row r="402" spans="1:12">
      <c r="A402" s="3318">
        <v>401</v>
      </c>
      <c r="B402" s="3319"/>
      <c r="C402" s="3207" t="s">
        <v>5922</v>
      </c>
      <c r="D402" s="3327"/>
      <c r="E402" s="3328"/>
      <c r="F402" s="3318">
        <v>113</v>
      </c>
      <c r="G402" s="3319"/>
      <c r="H402" s="3325" t="s">
        <v>5898</v>
      </c>
      <c r="I402" s="3326"/>
      <c r="J402" s="3316">
        <v>61.52</v>
      </c>
      <c r="K402" s="3317"/>
      <c r="L402" s="3210">
        <v>27.32</v>
      </c>
    </row>
    <row r="403" spans="1:12">
      <c r="A403" s="3318">
        <v>402</v>
      </c>
      <c r="B403" s="3319"/>
      <c r="C403" s="3207" t="s">
        <v>5922</v>
      </c>
      <c r="D403" s="3327"/>
      <c r="E403" s="3328"/>
      <c r="F403" s="3318">
        <v>114</v>
      </c>
      <c r="G403" s="3319"/>
      <c r="H403" s="3325" t="s">
        <v>5898</v>
      </c>
      <c r="I403" s="3326"/>
      <c r="J403" s="3316">
        <v>46.32</v>
      </c>
      <c r="K403" s="3317"/>
      <c r="L403" s="3210">
        <v>20.57</v>
      </c>
    </row>
    <row r="404" spans="1:12">
      <c r="A404" s="3318">
        <v>403</v>
      </c>
      <c r="B404" s="3319"/>
      <c r="C404" s="3207" t="s">
        <v>5922</v>
      </c>
      <c r="D404" s="3327"/>
      <c r="E404" s="3328"/>
      <c r="F404" s="3318">
        <v>124</v>
      </c>
      <c r="G404" s="3319"/>
      <c r="H404" s="3325" t="s">
        <v>5898</v>
      </c>
      <c r="I404" s="3326"/>
      <c r="J404" s="3316">
        <v>32.770000000000003</v>
      </c>
      <c r="K404" s="3317"/>
      <c r="L404" s="3210">
        <v>14.55</v>
      </c>
    </row>
    <row r="405" spans="1:12">
      <c r="A405" s="3318">
        <v>404</v>
      </c>
      <c r="B405" s="3319"/>
      <c r="C405" s="3207" t="s">
        <v>5922</v>
      </c>
      <c r="D405" s="3327"/>
      <c r="E405" s="3328"/>
      <c r="F405" s="3318">
        <v>125</v>
      </c>
      <c r="G405" s="3319"/>
      <c r="H405" s="3325" t="s">
        <v>5898</v>
      </c>
      <c r="I405" s="3326"/>
      <c r="J405" s="3316">
        <v>21.44</v>
      </c>
      <c r="K405" s="3317"/>
      <c r="L405" s="3210">
        <v>9.52</v>
      </c>
    </row>
    <row r="406" spans="1:12">
      <c r="A406" s="3318">
        <v>405</v>
      </c>
      <c r="B406" s="3319"/>
      <c r="C406" s="3207" t="s">
        <v>5922</v>
      </c>
      <c r="D406" s="3327"/>
      <c r="E406" s="3328"/>
      <c r="F406" s="3318">
        <v>126</v>
      </c>
      <c r="G406" s="3319"/>
      <c r="H406" s="3325" t="s">
        <v>5898</v>
      </c>
      <c r="I406" s="3326"/>
      <c r="J406" s="3316">
        <v>42.48</v>
      </c>
      <c r="K406" s="3317"/>
      <c r="L406" s="3210">
        <v>18.86</v>
      </c>
    </row>
    <row r="407" spans="1:12">
      <c r="A407" s="3318">
        <v>406</v>
      </c>
      <c r="B407" s="3319"/>
      <c r="C407" s="3207" t="s">
        <v>5922</v>
      </c>
      <c r="D407" s="3327"/>
      <c r="E407" s="3328"/>
      <c r="F407" s="3318">
        <v>201</v>
      </c>
      <c r="G407" s="3319"/>
      <c r="H407" s="3325" t="s">
        <v>5898</v>
      </c>
      <c r="I407" s="3326"/>
      <c r="J407" s="3316">
        <v>22.34</v>
      </c>
      <c r="K407" s="3317"/>
      <c r="L407" s="3210">
        <v>9.92</v>
      </c>
    </row>
    <row r="408" spans="1:12">
      <c r="A408" s="3318">
        <v>407</v>
      </c>
      <c r="B408" s="3319"/>
      <c r="C408" s="3207" t="s">
        <v>5922</v>
      </c>
      <c r="D408" s="3327"/>
      <c r="E408" s="3328"/>
      <c r="F408" s="3318">
        <v>202</v>
      </c>
      <c r="G408" s="3319"/>
      <c r="H408" s="3325" t="s">
        <v>5898</v>
      </c>
      <c r="I408" s="3326"/>
      <c r="J408" s="3316">
        <v>22.59</v>
      </c>
      <c r="K408" s="3317"/>
      <c r="L408" s="3210">
        <v>10.029999999999999</v>
      </c>
    </row>
    <row r="409" spans="1:12">
      <c r="A409" s="3318">
        <v>408</v>
      </c>
      <c r="B409" s="3319"/>
      <c r="C409" s="3207" t="s">
        <v>5922</v>
      </c>
      <c r="D409" s="3327"/>
      <c r="E409" s="3328"/>
      <c r="F409" s="3318">
        <v>203</v>
      </c>
      <c r="G409" s="3319"/>
      <c r="H409" s="3325" t="s">
        <v>5898</v>
      </c>
      <c r="I409" s="3326"/>
      <c r="J409" s="3316">
        <v>22.59</v>
      </c>
      <c r="K409" s="3317"/>
      <c r="L409" s="3210">
        <v>10.029999999999999</v>
      </c>
    </row>
    <row r="410" spans="1:12">
      <c r="A410" s="3318">
        <v>409</v>
      </c>
      <c r="B410" s="3319"/>
      <c r="C410" s="3207" t="s">
        <v>5922</v>
      </c>
      <c r="D410" s="3327"/>
      <c r="E410" s="3328"/>
      <c r="F410" s="3318">
        <v>207</v>
      </c>
      <c r="G410" s="3319"/>
      <c r="H410" s="3325" t="s">
        <v>5898</v>
      </c>
      <c r="I410" s="3326"/>
      <c r="J410" s="3320">
        <v>24.1</v>
      </c>
      <c r="K410" s="3321"/>
      <c r="L410" s="3210">
        <v>10.7</v>
      </c>
    </row>
    <row r="411" spans="1:12">
      <c r="A411" s="3318">
        <v>410</v>
      </c>
      <c r="B411" s="3319"/>
      <c r="C411" s="3207" t="s">
        <v>5922</v>
      </c>
      <c r="D411" s="3327"/>
      <c r="E411" s="3328"/>
      <c r="F411" s="3318">
        <v>208</v>
      </c>
      <c r="G411" s="3319"/>
      <c r="H411" s="3325" t="s">
        <v>5898</v>
      </c>
      <c r="I411" s="3326"/>
      <c r="J411" s="3316">
        <v>30.67</v>
      </c>
      <c r="K411" s="3317"/>
      <c r="L411" s="3210">
        <v>13.62</v>
      </c>
    </row>
    <row r="412" spans="1:12">
      <c r="A412" s="3318">
        <v>411</v>
      </c>
      <c r="B412" s="3319"/>
      <c r="C412" s="3207" t="s">
        <v>5922</v>
      </c>
      <c r="D412" s="3327"/>
      <c r="E412" s="3328"/>
      <c r="F412" s="3318">
        <v>209</v>
      </c>
      <c r="G412" s="3319"/>
      <c r="H412" s="3325" t="s">
        <v>5898</v>
      </c>
      <c r="I412" s="3326"/>
      <c r="J412" s="3316">
        <v>27.09</v>
      </c>
      <c r="K412" s="3317"/>
      <c r="L412" s="3210">
        <v>12.03</v>
      </c>
    </row>
    <row r="413" spans="1:12">
      <c r="A413" s="3318">
        <v>412</v>
      </c>
      <c r="B413" s="3319"/>
      <c r="C413" s="3207" t="s">
        <v>5922</v>
      </c>
      <c r="D413" s="3327"/>
      <c r="E413" s="3328"/>
      <c r="F413" s="3318">
        <v>213</v>
      </c>
      <c r="G413" s="3319"/>
      <c r="H413" s="3325" t="s">
        <v>5898</v>
      </c>
      <c r="I413" s="3326"/>
      <c r="J413" s="3316">
        <v>16.12</v>
      </c>
      <c r="K413" s="3317"/>
      <c r="L413" s="3210">
        <v>7.16</v>
      </c>
    </row>
    <row r="414" spans="1:12">
      <c r="A414" s="3318">
        <v>413</v>
      </c>
      <c r="B414" s="3319"/>
      <c r="C414" s="3207" t="s">
        <v>5922</v>
      </c>
      <c r="D414" s="3327"/>
      <c r="E414" s="3328"/>
      <c r="F414" s="3318">
        <v>216</v>
      </c>
      <c r="G414" s="3319"/>
      <c r="H414" s="3325" t="s">
        <v>5898</v>
      </c>
      <c r="I414" s="3326"/>
      <c r="J414" s="3316">
        <v>22.59</v>
      </c>
      <c r="K414" s="3317"/>
      <c r="L414" s="3210">
        <v>10.029999999999999</v>
      </c>
    </row>
    <row r="415" spans="1:12">
      <c r="A415" s="3318">
        <v>414</v>
      </c>
      <c r="B415" s="3319"/>
      <c r="C415" s="3207" t="s">
        <v>5923</v>
      </c>
      <c r="D415" s="3327"/>
      <c r="E415" s="3328"/>
      <c r="F415" s="3318">
        <v>101</v>
      </c>
      <c r="G415" s="3319"/>
      <c r="H415" s="3325" t="s">
        <v>5898</v>
      </c>
      <c r="I415" s="3326"/>
      <c r="J415" s="3316">
        <v>24.49</v>
      </c>
      <c r="K415" s="3317"/>
      <c r="L415" s="3210">
        <v>10.88</v>
      </c>
    </row>
    <row r="416" spans="1:12">
      <c r="A416" s="3318">
        <v>415</v>
      </c>
      <c r="B416" s="3319"/>
      <c r="C416" s="3207" t="s">
        <v>5923</v>
      </c>
      <c r="D416" s="3327"/>
      <c r="E416" s="3328"/>
      <c r="F416" s="3318">
        <v>102</v>
      </c>
      <c r="G416" s="3319"/>
      <c r="H416" s="3325" t="s">
        <v>5898</v>
      </c>
      <c r="I416" s="3326"/>
      <c r="J416" s="3316">
        <v>30.56</v>
      </c>
      <c r="K416" s="3317"/>
      <c r="L416" s="3210">
        <v>13.57</v>
      </c>
    </row>
    <row r="417" spans="1:12">
      <c r="A417" s="3318">
        <v>416</v>
      </c>
      <c r="B417" s="3319"/>
      <c r="C417" s="3207" t="s">
        <v>5923</v>
      </c>
      <c r="D417" s="3327"/>
      <c r="E417" s="3328"/>
      <c r="F417" s="3318">
        <v>103</v>
      </c>
      <c r="G417" s="3319"/>
      <c r="H417" s="3325" t="s">
        <v>5898</v>
      </c>
      <c r="I417" s="3326"/>
      <c r="J417" s="3316">
        <v>56.66</v>
      </c>
      <c r="K417" s="3317"/>
      <c r="L417" s="3210">
        <v>25.16</v>
      </c>
    </row>
    <row r="418" spans="1:12">
      <c r="A418" s="3318">
        <v>417</v>
      </c>
      <c r="B418" s="3319"/>
      <c r="C418" s="3207" t="s">
        <v>5923</v>
      </c>
      <c r="D418" s="3327"/>
      <c r="E418" s="3328"/>
      <c r="F418" s="3318">
        <v>104</v>
      </c>
      <c r="G418" s="3319"/>
      <c r="H418" s="3325" t="s">
        <v>5898</v>
      </c>
      <c r="I418" s="3326"/>
      <c r="J418" s="3316">
        <v>62.27</v>
      </c>
      <c r="K418" s="3317"/>
      <c r="L418" s="3210">
        <v>27.65</v>
      </c>
    </row>
    <row r="419" spans="1:12">
      <c r="A419" s="3318">
        <v>418</v>
      </c>
      <c r="B419" s="3319"/>
      <c r="C419" s="3207" t="s">
        <v>5923</v>
      </c>
      <c r="D419" s="3327"/>
      <c r="E419" s="3328"/>
      <c r="F419" s="3318">
        <v>105</v>
      </c>
      <c r="G419" s="3319"/>
      <c r="H419" s="3325" t="s">
        <v>5898</v>
      </c>
      <c r="I419" s="3326"/>
      <c r="J419" s="3316">
        <v>33.46</v>
      </c>
      <c r="K419" s="3317"/>
      <c r="L419" s="3210">
        <v>14.86</v>
      </c>
    </row>
    <row r="420" spans="1:12">
      <c r="A420" s="3318">
        <v>419</v>
      </c>
      <c r="B420" s="3319"/>
      <c r="C420" s="3207" t="s">
        <v>5923</v>
      </c>
      <c r="D420" s="3327"/>
      <c r="E420" s="3328"/>
      <c r="F420" s="3318">
        <v>115</v>
      </c>
      <c r="G420" s="3319"/>
      <c r="H420" s="3325" t="s">
        <v>5898</v>
      </c>
      <c r="I420" s="3326"/>
      <c r="J420" s="3316">
        <v>46.67</v>
      </c>
      <c r="K420" s="3317"/>
      <c r="L420" s="3210">
        <v>20.73</v>
      </c>
    </row>
    <row r="421" spans="1:12">
      <c r="A421" s="3318">
        <v>420</v>
      </c>
      <c r="B421" s="3319"/>
      <c r="C421" s="3207" t="s">
        <v>5923</v>
      </c>
      <c r="D421" s="3327"/>
      <c r="E421" s="3328"/>
      <c r="F421" s="3318">
        <v>116</v>
      </c>
      <c r="G421" s="3319"/>
      <c r="H421" s="3325" t="s">
        <v>5898</v>
      </c>
      <c r="I421" s="3326"/>
      <c r="J421" s="3316">
        <v>61.99</v>
      </c>
      <c r="K421" s="3317"/>
      <c r="L421" s="3210">
        <v>27.53</v>
      </c>
    </row>
    <row r="422" spans="1:12">
      <c r="A422" s="3318">
        <v>421</v>
      </c>
      <c r="B422" s="3319"/>
      <c r="C422" s="3207" t="s">
        <v>5923</v>
      </c>
      <c r="D422" s="3327"/>
      <c r="E422" s="3328"/>
      <c r="F422" s="3318">
        <v>117</v>
      </c>
      <c r="G422" s="3319"/>
      <c r="H422" s="3325" t="s">
        <v>5898</v>
      </c>
      <c r="I422" s="3326"/>
      <c r="J422" s="3316">
        <v>33.46</v>
      </c>
      <c r="K422" s="3317"/>
      <c r="L422" s="3210">
        <v>14.86</v>
      </c>
    </row>
    <row r="423" spans="1:12">
      <c r="A423" s="3318">
        <v>422</v>
      </c>
      <c r="B423" s="3319"/>
      <c r="C423" s="3207" t="s">
        <v>5923</v>
      </c>
      <c r="D423" s="3327"/>
      <c r="E423" s="3328"/>
      <c r="F423" s="3318">
        <v>118</v>
      </c>
      <c r="G423" s="3319"/>
      <c r="H423" s="3325" t="s">
        <v>5898</v>
      </c>
      <c r="I423" s="3326"/>
      <c r="J423" s="3316">
        <v>33.46</v>
      </c>
      <c r="K423" s="3317"/>
      <c r="L423" s="3210">
        <v>14.86</v>
      </c>
    </row>
    <row r="424" spans="1:12">
      <c r="A424" s="3318">
        <v>423</v>
      </c>
      <c r="B424" s="3319"/>
      <c r="C424" s="3207" t="s">
        <v>5923</v>
      </c>
      <c r="D424" s="3327"/>
      <c r="E424" s="3328"/>
      <c r="F424" s="3318">
        <v>119</v>
      </c>
      <c r="G424" s="3319"/>
      <c r="H424" s="3325" t="s">
        <v>5898</v>
      </c>
      <c r="I424" s="3326"/>
      <c r="J424" s="3316">
        <v>62.27</v>
      </c>
      <c r="K424" s="3317"/>
      <c r="L424" s="3210">
        <v>27.65</v>
      </c>
    </row>
    <row r="425" spans="1:12">
      <c r="A425" s="3318">
        <v>424</v>
      </c>
      <c r="B425" s="3319"/>
      <c r="C425" s="3207" t="s">
        <v>5923</v>
      </c>
      <c r="D425" s="3327"/>
      <c r="E425" s="3328"/>
      <c r="F425" s="3318">
        <v>120</v>
      </c>
      <c r="G425" s="3319"/>
      <c r="H425" s="3325" t="s">
        <v>5898</v>
      </c>
      <c r="I425" s="3326"/>
      <c r="J425" s="3316">
        <v>56.66</v>
      </c>
      <c r="K425" s="3317"/>
      <c r="L425" s="3210">
        <v>25.16</v>
      </c>
    </row>
    <row r="426" spans="1:12">
      <c r="A426" s="3318">
        <v>425</v>
      </c>
      <c r="B426" s="3319"/>
      <c r="C426" s="3207" t="s">
        <v>5923</v>
      </c>
      <c r="D426" s="3327"/>
      <c r="E426" s="3328"/>
      <c r="F426" s="3318">
        <v>121</v>
      </c>
      <c r="G426" s="3319"/>
      <c r="H426" s="3325" t="s">
        <v>5898</v>
      </c>
      <c r="I426" s="3326"/>
      <c r="J426" s="3316">
        <v>30.56</v>
      </c>
      <c r="K426" s="3317"/>
      <c r="L426" s="3210">
        <v>13.57</v>
      </c>
    </row>
    <row r="427" spans="1:12">
      <c r="A427" s="3318">
        <v>426</v>
      </c>
      <c r="B427" s="3319"/>
      <c r="C427" s="3207" t="s">
        <v>5923</v>
      </c>
      <c r="D427" s="3327"/>
      <c r="E427" s="3328"/>
      <c r="F427" s="3318">
        <v>122</v>
      </c>
      <c r="G427" s="3319"/>
      <c r="H427" s="3325" t="s">
        <v>5898</v>
      </c>
      <c r="I427" s="3326"/>
      <c r="J427" s="3316">
        <v>24.49</v>
      </c>
      <c r="K427" s="3317"/>
      <c r="L427" s="3210">
        <v>10.88</v>
      </c>
    </row>
    <row r="428" spans="1:12">
      <c r="A428" s="3318">
        <v>427</v>
      </c>
      <c r="B428" s="3319"/>
      <c r="C428" s="3207" t="s">
        <v>5923</v>
      </c>
      <c r="D428" s="3327"/>
      <c r="E428" s="3328"/>
      <c r="F428" s="3318">
        <v>126</v>
      </c>
      <c r="G428" s="3319"/>
      <c r="H428" s="3325" t="s">
        <v>5898</v>
      </c>
      <c r="I428" s="3326"/>
      <c r="J428" s="3316">
        <v>42.81</v>
      </c>
      <c r="K428" s="3317"/>
      <c r="L428" s="3210">
        <v>19.010000000000002</v>
      </c>
    </row>
    <row r="429" spans="1:12">
      <c r="A429" s="3318">
        <v>428</v>
      </c>
      <c r="B429" s="3319"/>
      <c r="C429" s="3207" t="s">
        <v>5923</v>
      </c>
      <c r="D429" s="3327"/>
      <c r="E429" s="3328"/>
      <c r="F429" s="3318">
        <v>201</v>
      </c>
      <c r="G429" s="3319"/>
      <c r="H429" s="3325" t="s">
        <v>5898</v>
      </c>
      <c r="I429" s="3326"/>
      <c r="J429" s="3305">
        <v>22.51</v>
      </c>
      <c r="K429" s="3306"/>
      <c r="L429" s="3208">
        <v>10</v>
      </c>
    </row>
    <row r="430" spans="1:12">
      <c r="A430" s="3318">
        <v>429</v>
      </c>
      <c r="B430" s="3319"/>
      <c r="C430" s="3207" t="s">
        <v>5923</v>
      </c>
      <c r="D430" s="3327"/>
      <c r="E430" s="3328"/>
      <c r="F430" s="3318">
        <v>202</v>
      </c>
      <c r="G430" s="3319"/>
      <c r="H430" s="3325" t="s">
        <v>5898</v>
      </c>
      <c r="I430" s="3326"/>
      <c r="J430" s="3305">
        <v>25.39</v>
      </c>
      <c r="K430" s="3306"/>
      <c r="L430" s="3208">
        <v>11.28</v>
      </c>
    </row>
    <row r="431" spans="1:12">
      <c r="A431" s="3318">
        <v>430</v>
      </c>
      <c r="B431" s="3319"/>
      <c r="C431" s="3207" t="s">
        <v>5923</v>
      </c>
      <c r="D431" s="3327"/>
      <c r="E431" s="3328"/>
      <c r="F431" s="3318">
        <v>203</v>
      </c>
      <c r="G431" s="3319"/>
      <c r="H431" s="3325" t="s">
        <v>5898</v>
      </c>
      <c r="I431" s="3326"/>
      <c r="J431" s="3305">
        <v>26.12</v>
      </c>
      <c r="K431" s="3306"/>
      <c r="L431" s="3208">
        <v>11.6</v>
      </c>
    </row>
    <row r="432" spans="1:12">
      <c r="A432" s="3318">
        <v>431</v>
      </c>
      <c r="B432" s="3319"/>
      <c r="C432" s="3207" t="s">
        <v>5923</v>
      </c>
      <c r="D432" s="3327"/>
      <c r="E432" s="3328"/>
      <c r="F432" s="3318">
        <v>204</v>
      </c>
      <c r="G432" s="3319"/>
      <c r="H432" s="3325" t="s">
        <v>5898</v>
      </c>
      <c r="I432" s="3326"/>
      <c r="J432" s="3305">
        <v>24.28</v>
      </c>
      <c r="K432" s="3306"/>
      <c r="L432" s="3208">
        <v>10.78</v>
      </c>
    </row>
    <row r="433" spans="1:12">
      <c r="A433" s="3318">
        <v>432</v>
      </c>
      <c r="B433" s="3319"/>
      <c r="C433" s="3207" t="s">
        <v>5923</v>
      </c>
      <c r="D433" s="3327"/>
      <c r="E433" s="3328"/>
      <c r="F433" s="3318">
        <v>208</v>
      </c>
      <c r="G433" s="3319"/>
      <c r="H433" s="3325" t="s">
        <v>5898</v>
      </c>
      <c r="I433" s="3326"/>
      <c r="J433" s="3314">
        <v>21.5</v>
      </c>
      <c r="K433" s="3315"/>
      <c r="L433" s="3208">
        <v>9.5500000000000007</v>
      </c>
    </row>
    <row r="434" spans="1:12">
      <c r="A434" s="3318">
        <v>433</v>
      </c>
      <c r="B434" s="3319"/>
      <c r="C434" s="3207" t="s">
        <v>5923</v>
      </c>
      <c r="D434" s="3327"/>
      <c r="E434" s="3328"/>
      <c r="F434" s="3318">
        <v>209</v>
      </c>
      <c r="G434" s="3319"/>
      <c r="H434" s="3325" t="s">
        <v>5898</v>
      </c>
      <c r="I434" s="3326"/>
      <c r="J434" s="3305">
        <v>22.76</v>
      </c>
      <c r="K434" s="3306"/>
      <c r="L434" s="3208">
        <v>10.11</v>
      </c>
    </row>
    <row r="435" spans="1:12">
      <c r="J435" s="3305">
        <f>SUM(J2:K434)</f>
        <v>15395.17</v>
      </c>
      <c r="K435" s="3306"/>
      <c r="L435" s="3208">
        <f>SUM(L2:L434)</f>
        <v>6836.8000000000011</v>
      </c>
    </row>
    <row r="436" spans="1:12">
      <c r="J436" s="3212">
        <f>ROUND(J435,2)</f>
        <v>15395.17</v>
      </c>
    </row>
  </sheetData>
  <mergeCells count="2171">
    <mergeCell ref="A4:B4"/>
    <mergeCell ref="D4:E4"/>
    <mergeCell ref="F4:G4"/>
    <mergeCell ref="H4:I4"/>
    <mergeCell ref="J4:K4"/>
    <mergeCell ref="A5:B5"/>
    <mergeCell ref="D5:E5"/>
    <mergeCell ref="F5:G5"/>
    <mergeCell ref="H5:I5"/>
    <mergeCell ref="J5:K5"/>
    <mergeCell ref="A2:B2"/>
    <mergeCell ref="D2:E2"/>
    <mergeCell ref="F2:G2"/>
    <mergeCell ref="H2:I2"/>
    <mergeCell ref="J2:K2"/>
    <mergeCell ref="A3:B3"/>
    <mergeCell ref="D3:E3"/>
    <mergeCell ref="F3:G3"/>
    <mergeCell ref="H3:I3"/>
    <mergeCell ref="J3:K3"/>
    <mergeCell ref="A8:B8"/>
    <mergeCell ref="D8:E8"/>
    <mergeCell ref="F8:G8"/>
    <mergeCell ref="H8:I8"/>
    <mergeCell ref="J8:K8"/>
    <mergeCell ref="A9:B9"/>
    <mergeCell ref="D9:E9"/>
    <mergeCell ref="F9:G9"/>
    <mergeCell ref="H9:I9"/>
    <mergeCell ref="J9:K9"/>
    <mergeCell ref="A6:B6"/>
    <mergeCell ref="D6:E6"/>
    <mergeCell ref="F6:G6"/>
    <mergeCell ref="H6:I6"/>
    <mergeCell ref="J6:K6"/>
    <mergeCell ref="A7:B7"/>
    <mergeCell ref="D7:E7"/>
    <mergeCell ref="F7:G7"/>
    <mergeCell ref="H7:I7"/>
    <mergeCell ref="J7:K7"/>
    <mergeCell ref="A12:B12"/>
    <mergeCell ref="D12:E12"/>
    <mergeCell ref="F12:G12"/>
    <mergeCell ref="H12:I12"/>
    <mergeCell ref="J12:K12"/>
    <mergeCell ref="A13:B13"/>
    <mergeCell ref="D13:E13"/>
    <mergeCell ref="F13:G13"/>
    <mergeCell ref="H13:I13"/>
    <mergeCell ref="J13:K13"/>
    <mergeCell ref="A10:B10"/>
    <mergeCell ref="D10:E10"/>
    <mergeCell ref="F10:G10"/>
    <mergeCell ref="H10:I10"/>
    <mergeCell ref="J10:K10"/>
    <mergeCell ref="A11:B11"/>
    <mergeCell ref="D11:E11"/>
    <mergeCell ref="F11:G11"/>
    <mergeCell ref="H11:I11"/>
    <mergeCell ref="J11:K11"/>
    <mergeCell ref="A16:B16"/>
    <mergeCell ref="D16:E16"/>
    <mergeCell ref="F16:G16"/>
    <mergeCell ref="H16:I16"/>
    <mergeCell ref="J16:K16"/>
    <mergeCell ref="A17:B17"/>
    <mergeCell ref="D17:E17"/>
    <mergeCell ref="F17:G17"/>
    <mergeCell ref="H17:I17"/>
    <mergeCell ref="J17:K17"/>
    <mergeCell ref="A14:B14"/>
    <mergeCell ref="D14:E14"/>
    <mergeCell ref="F14:G14"/>
    <mergeCell ref="H14:I14"/>
    <mergeCell ref="J14:K14"/>
    <mergeCell ref="A15:B15"/>
    <mergeCell ref="D15:E15"/>
    <mergeCell ref="F15:G15"/>
    <mergeCell ref="H15:I15"/>
    <mergeCell ref="J15:K15"/>
    <mergeCell ref="A20:B20"/>
    <mergeCell ref="D20:E20"/>
    <mergeCell ref="F20:G20"/>
    <mergeCell ref="H20:I20"/>
    <mergeCell ref="J20:K20"/>
    <mergeCell ref="A21:B21"/>
    <mergeCell ref="D21:E21"/>
    <mergeCell ref="F21:G21"/>
    <mergeCell ref="H21:I21"/>
    <mergeCell ref="J21:K21"/>
    <mergeCell ref="A18:B18"/>
    <mergeCell ref="D18:E18"/>
    <mergeCell ref="F18:G18"/>
    <mergeCell ref="H18:I18"/>
    <mergeCell ref="J18:K18"/>
    <mergeCell ref="A19:B19"/>
    <mergeCell ref="D19:E19"/>
    <mergeCell ref="F19:G19"/>
    <mergeCell ref="H19:I19"/>
    <mergeCell ref="J19:K19"/>
    <mergeCell ref="A24:B24"/>
    <mergeCell ref="D24:E24"/>
    <mergeCell ref="F24:G24"/>
    <mergeCell ref="H24:I24"/>
    <mergeCell ref="J24:K24"/>
    <mergeCell ref="A25:B25"/>
    <mergeCell ref="D25:E25"/>
    <mergeCell ref="F25:G25"/>
    <mergeCell ref="H25:I25"/>
    <mergeCell ref="J25:K25"/>
    <mergeCell ref="A22:B22"/>
    <mergeCell ref="D22:E22"/>
    <mergeCell ref="F22:G22"/>
    <mergeCell ref="H22:I22"/>
    <mergeCell ref="J22:K22"/>
    <mergeCell ref="A23:B23"/>
    <mergeCell ref="D23:E23"/>
    <mergeCell ref="F23:G23"/>
    <mergeCell ref="H23:I23"/>
    <mergeCell ref="J23:K23"/>
    <mergeCell ref="A28:B28"/>
    <mergeCell ref="D28:E28"/>
    <mergeCell ref="F28:G28"/>
    <mergeCell ref="H28:I28"/>
    <mergeCell ref="J28:K28"/>
    <mergeCell ref="A29:B29"/>
    <mergeCell ref="D29:E29"/>
    <mergeCell ref="F29:G29"/>
    <mergeCell ref="H29:I29"/>
    <mergeCell ref="J29:K29"/>
    <mergeCell ref="A26:B26"/>
    <mergeCell ref="D26:E26"/>
    <mergeCell ref="F26:G26"/>
    <mergeCell ref="H26:I26"/>
    <mergeCell ref="J26:K26"/>
    <mergeCell ref="A27:B27"/>
    <mergeCell ref="D27:E27"/>
    <mergeCell ref="F27:G27"/>
    <mergeCell ref="H27:I27"/>
    <mergeCell ref="J27:K27"/>
    <mergeCell ref="A32:B32"/>
    <mergeCell ref="D32:E32"/>
    <mergeCell ref="F32:G32"/>
    <mergeCell ref="H32:I32"/>
    <mergeCell ref="J32:K32"/>
    <mergeCell ref="A33:B33"/>
    <mergeCell ref="D33:E33"/>
    <mergeCell ref="F33:G33"/>
    <mergeCell ref="H33:I33"/>
    <mergeCell ref="J33:K33"/>
    <mergeCell ref="A30:B30"/>
    <mergeCell ref="D30:E30"/>
    <mergeCell ref="F30:G30"/>
    <mergeCell ref="H30:I30"/>
    <mergeCell ref="J30:K30"/>
    <mergeCell ref="A31:B31"/>
    <mergeCell ref="D31:E31"/>
    <mergeCell ref="F31:G31"/>
    <mergeCell ref="H31:I31"/>
    <mergeCell ref="J31:K31"/>
    <mergeCell ref="A36:B36"/>
    <mergeCell ref="D36:E36"/>
    <mergeCell ref="F36:G36"/>
    <mergeCell ref="H36:I36"/>
    <mergeCell ref="J36:K36"/>
    <mergeCell ref="A37:B37"/>
    <mergeCell ref="D37:E37"/>
    <mergeCell ref="F37:G37"/>
    <mergeCell ref="H37:I37"/>
    <mergeCell ref="J37:K37"/>
    <mergeCell ref="A34:B34"/>
    <mergeCell ref="D34:E34"/>
    <mergeCell ref="F34:G34"/>
    <mergeCell ref="H34:I34"/>
    <mergeCell ref="J34:K34"/>
    <mergeCell ref="A35:B35"/>
    <mergeCell ref="D35:E35"/>
    <mergeCell ref="F35:G35"/>
    <mergeCell ref="H35:I35"/>
    <mergeCell ref="J35:K35"/>
    <mergeCell ref="A40:B40"/>
    <mergeCell ref="D40:E40"/>
    <mergeCell ref="F40:G40"/>
    <mergeCell ref="H40:I40"/>
    <mergeCell ref="J40:K40"/>
    <mergeCell ref="A41:B41"/>
    <mergeCell ref="D41:E41"/>
    <mergeCell ref="F41:G41"/>
    <mergeCell ref="H41:I41"/>
    <mergeCell ref="J41:K41"/>
    <mergeCell ref="A38:B38"/>
    <mergeCell ref="D38:E38"/>
    <mergeCell ref="F38:G38"/>
    <mergeCell ref="H38:I38"/>
    <mergeCell ref="J38:K38"/>
    <mergeCell ref="A39:B39"/>
    <mergeCell ref="D39:E39"/>
    <mergeCell ref="F39:G39"/>
    <mergeCell ref="H39:I39"/>
    <mergeCell ref="J39:K39"/>
    <mergeCell ref="A44:B44"/>
    <mergeCell ref="D44:E44"/>
    <mergeCell ref="F44:G44"/>
    <mergeCell ref="H44:I44"/>
    <mergeCell ref="J44:K44"/>
    <mergeCell ref="A45:B45"/>
    <mergeCell ref="D45:E45"/>
    <mergeCell ref="F45:G45"/>
    <mergeCell ref="H45:I45"/>
    <mergeCell ref="J45:K45"/>
    <mergeCell ref="A42:B42"/>
    <mergeCell ref="D42:E42"/>
    <mergeCell ref="F42:G42"/>
    <mergeCell ref="H42:I42"/>
    <mergeCell ref="J42:K42"/>
    <mergeCell ref="A43:B43"/>
    <mergeCell ref="D43:E43"/>
    <mergeCell ref="F43:G43"/>
    <mergeCell ref="H43:I43"/>
    <mergeCell ref="J43:K43"/>
    <mergeCell ref="A48:B48"/>
    <mergeCell ref="D48:E48"/>
    <mergeCell ref="F48:G48"/>
    <mergeCell ref="H48:I48"/>
    <mergeCell ref="J48:K48"/>
    <mergeCell ref="A49:B49"/>
    <mergeCell ref="D49:E49"/>
    <mergeCell ref="F49:G49"/>
    <mergeCell ref="H49:I49"/>
    <mergeCell ref="J49:K49"/>
    <mergeCell ref="A46:B46"/>
    <mergeCell ref="D46:E46"/>
    <mergeCell ref="F46:G46"/>
    <mergeCell ref="H46:I46"/>
    <mergeCell ref="J46:K46"/>
    <mergeCell ref="A47:B47"/>
    <mergeCell ref="D47:E47"/>
    <mergeCell ref="F47:G47"/>
    <mergeCell ref="H47:I47"/>
    <mergeCell ref="J47:K47"/>
    <mergeCell ref="A53:B53"/>
    <mergeCell ref="D53:E53"/>
    <mergeCell ref="F53:G53"/>
    <mergeCell ref="H53:I53"/>
    <mergeCell ref="J53:K53"/>
    <mergeCell ref="A52:B52"/>
    <mergeCell ref="D52:E52"/>
    <mergeCell ref="F52:G52"/>
    <mergeCell ref="H52:I52"/>
    <mergeCell ref="J52:K52"/>
    <mergeCell ref="A50:B50"/>
    <mergeCell ref="D50:E50"/>
    <mergeCell ref="F50:G50"/>
    <mergeCell ref="H50:I50"/>
    <mergeCell ref="J50:K50"/>
    <mergeCell ref="A51:B51"/>
    <mergeCell ref="D51:E51"/>
    <mergeCell ref="F51:G51"/>
    <mergeCell ref="H51:I51"/>
    <mergeCell ref="J51:K51"/>
    <mergeCell ref="A56:B56"/>
    <mergeCell ref="D56:E56"/>
    <mergeCell ref="F56:G56"/>
    <mergeCell ref="H56:I56"/>
    <mergeCell ref="J56:K56"/>
    <mergeCell ref="A57:B57"/>
    <mergeCell ref="D57:E57"/>
    <mergeCell ref="F57:G57"/>
    <mergeCell ref="H57:I57"/>
    <mergeCell ref="J57:K57"/>
    <mergeCell ref="A54:B54"/>
    <mergeCell ref="D54:E54"/>
    <mergeCell ref="F54:G54"/>
    <mergeCell ref="H54:I54"/>
    <mergeCell ref="J54:K54"/>
    <mergeCell ref="A55:B55"/>
    <mergeCell ref="D55:E55"/>
    <mergeCell ref="F55:G55"/>
    <mergeCell ref="H55:I55"/>
    <mergeCell ref="J55:K55"/>
    <mergeCell ref="A60:B60"/>
    <mergeCell ref="D60:E60"/>
    <mergeCell ref="F60:G60"/>
    <mergeCell ref="H60:I60"/>
    <mergeCell ref="J60:K60"/>
    <mergeCell ref="A61:B61"/>
    <mergeCell ref="D61:E61"/>
    <mergeCell ref="F61:G61"/>
    <mergeCell ref="H61:I61"/>
    <mergeCell ref="J61:K61"/>
    <mergeCell ref="A58:B58"/>
    <mergeCell ref="D58:E58"/>
    <mergeCell ref="F58:G58"/>
    <mergeCell ref="H58:I58"/>
    <mergeCell ref="J58:K58"/>
    <mergeCell ref="A59:B59"/>
    <mergeCell ref="D59:E59"/>
    <mergeCell ref="F59:G59"/>
    <mergeCell ref="H59:I59"/>
    <mergeCell ref="J59:K59"/>
    <mergeCell ref="A64:B64"/>
    <mergeCell ref="D64:E64"/>
    <mergeCell ref="F64:G64"/>
    <mergeCell ref="H64:I64"/>
    <mergeCell ref="J64:K64"/>
    <mergeCell ref="A65:B65"/>
    <mergeCell ref="D65:E65"/>
    <mergeCell ref="F65:G65"/>
    <mergeCell ref="H65:I65"/>
    <mergeCell ref="J65:K65"/>
    <mergeCell ref="A62:B62"/>
    <mergeCell ref="D62:E62"/>
    <mergeCell ref="F62:G62"/>
    <mergeCell ref="H62:I62"/>
    <mergeCell ref="J62:K62"/>
    <mergeCell ref="A63:B63"/>
    <mergeCell ref="D63:E63"/>
    <mergeCell ref="F63:G63"/>
    <mergeCell ref="H63:I63"/>
    <mergeCell ref="J63:K63"/>
    <mergeCell ref="A68:B68"/>
    <mergeCell ref="D68:E68"/>
    <mergeCell ref="F68:G68"/>
    <mergeCell ref="H68:I68"/>
    <mergeCell ref="J68:K68"/>
    <mergeCell ref="A69:B69"/>
    <mergeCell ref="D69:E69"/>
    <mergeCell ref="F69:G69"/>
    <mergeCell ref="H69:I69"/>
    <mergeCell ref="J69:K69"/>
    <mergeCell ref="A66:B66"/>
    <mergeCell ref="D66:E66"/>
    <mergeCell ref="F66:G66"/>
    <mergeCell ref="H66:I66"/>
    <mergeCell ref="J66:K66"/>
    <mergeCell ref="A67:B67"/>
    <mergeCell ref="D67:E67"/>
    <mergeCell ref="F67:G67"/>
    <mergeCell ref="H67:I67"/>
    <mergeCell ref="J67:K67"/>
    <mergeCell ref="A73:B73"/>
    <mergeCell ref="D73:E73"/>
    <mergeCell ref="F73:G73"/>
    <mergeCell ref="H73:I73"/>
    <mergeCell ref="J73:K73"/>
    <mergeCell ref="A74:B74"/>
    <mergeCell ref="D74:E74"/>
    <mergeCell ref="F74:G74"/>
    <mergeCell ref="H74:I74"/>
    <mergeCell ref="J74:K74"/>
    <mergeCell ref="A72:B72"/>
    <mergeCell ref="D72:E72"/>
    <mergeCell ref="F72:G72"/>
    <mergeCell ref="H72:I72"/>
    <mergeCell ref="J72:K72"/>
    <mergeCell ref="A70:B70"/>
    <mergeCell ref="D70:E70"/>
    <mergeCell ref="F70:G70"/>
    <mergeCell ref="H70:I70"/>
    <mergeCell ref="J70:K70"/>
    <mergeCell ref="A71:B71"/>
    <mergeCell ref="D71:E71"/>
    <mergeCell ref="F71:G71"/>
    <mergeCell ref="H71:I71"/>
    <mergeCell ref="J71:K71"/>
    <mergeCell ref="A77:B77"/>
    <mergeCell ref="D77:E77"/>
    <mergeCell ref="F77:G77"/>
    <mergeCell ref="H77:I77"/>
    <mergeCell ref="J77:K77"/>
    <mergeCell ref="A78:B78"/>
    <mergeCell ref="D78:E78"/>
    <mergeCell ref="F78:G78"/>
    <mergeCell ref="H78:I78"/>
    <mergeCell ref="J78:K78"/>
    <mergeCell ref="A75:B75"/>
    <mergeCell ref="D75:E75"/>
    <mergeCell ref="F75:G75"/>
    <mergeCell ref="H75:I75"/>
    <mergeCell ref="J75:K75"/>
    <mergeCell ref="A76:B76"/>
    <mergeCell ref="D76:E76"/>
    <mergeCell ref="F76:G76"/>
    <mergeCell ref="H76:I76"/>
    <mergeCell ref="J76:K76"/>
    <mergeCell ref="A81:B81"/>
    <mergeCell ref="D81:E81"/>
    <mergeCell ref="F81:G81"/>
    <mergeCell ref="H81:I81"/>
    <mergeCell ref="J81:K81"/>
    <mergeCell ref="A82:B82"/>
    <mergeCell ref="D82:E82"/>
    <mergeCell ref="F82:G82"/>
    <mergeCell ref="H82:I82"/>
    <mergeCell ref="J82:K82"/>
    <mergeCell ref="A79:B79"/>
    <mergeCell ref="D79:E79"/>
    <mergeCell ref="F79:G79"/>
    <mergeCell ref="H79:I79"/>
    <mergeCell ref="J79:K79"/>
    <mergeCell ref="A80:B80"/>
    <mergeCell ref="D80:E80"/>
    <mergeCell ref="F80:G80"/>
    <mergeCell ref="H80:I80"/>
    <mergeCell ref="J80:K80"/>
    <mergeCell ref="A85:B85"/>
    <mergeCell ref="D85:E85"/>
    <mergeCell ref="F85:G85"/>
    <mergeCell ref="H85:I85"/>
    <mergeCell ref="J85:K85"/>
    <mergeCell ref="A86:B86"/>
    <mergeCell ref="D86:E86"/>
    <mergeCell ref="F86:G86"/>
    <mergeCell ref="H86:I86"/>
    <mergeCell ref="J86:K86"/>
    <mergeCell ref="A83:B83"/>
    <mergeCell ref="D83:E83"/>
    <mergeCell ref="F83:G83"/>
    <mergeCell ref="H83:I83"/>
    <mergeCell ref="J83:K83"/>
    <mergeCell ref="A84:B84"/>
    <mergeCell ref="D84:E84"/>
    <mergeCell ref="F84:G84"/>
    <mergeCell ref="H84:I84"/>
    <mergeCell ref="J84:K84"/>
    <mergeCell ref="A90:B90"/>
    <mergeCell ref="D90:E90"/>
    <mergeCell ref="F90:G90"/>
    <mergeCell ref="H90:I90"/>
    <mergeCell ref="J90:K90"/>
    <mergeCell ref="A91:B91"/>
    <mergeCell ref="D91:E91"/>
    <mergeCell ref="F91:G91"/>
    <mergeCell ref="H91:I91"/>
    <mergeCell ref="J91:K91"/>
    <mergeCell ref="A89:B89"/>
    <mergeCell ref="D89:E89"/>
    <mergeCell ref="F89:G89"/>
    <mergeCell ref="H89:I89"/>
    <mergeCell ref="J89:K89"/>
    <mergeCell ref="A87:B87"/>
    <mergeCell ref="D87:E87"/>
    <mergeCell ref="F87:G87"/>
    <mergeCell ref="H87:I87"/>
    <mergeCell ref="J87:K87"/>
    <mergeCell ref="A88:B88"/>
    <mergeCell ref="D88:E88"/>
    <mergeCell ref="F88:G88"/>
    <mergeCell ref="H88:I88"/>
    <mergeCell ref="J88:K88"/>
    <mergeCell ref="A94:B94"/>
    <mergeCell ref="D94:E94"/>
    <mergeCell ref="F94:G94"/>
    <mergeCell ref="H94:I94"/>
    <mergeCell ref="J94:K94"/>
    <mergeCell ref="A95:B95"/>
    <mergeCell ref="D95:E95"/>
    <mergeCell ref="F95:G95"/>
    <mergeCell ref="H95:I95"/>
    <mergeCell ref="J95:K95"/>
    <mergeCell ref="A92:B92"/>
    <mergeCell ref="D92:E92"/>
    <mergeCell ref="F92:G92"/>
    <mergeCell ref="H92:I92"/>
    <mergeCell ref="J92:K92"/>
    <mergeCell ref="A93:B93"/>
    <mergeCell ref="D93:E93"/>
    <mergeCell ref="F93:G93"/>
    <mergeCell ref="H93:I93"/>
    <mergeCell ref="J93:K93"/>
    <mergeCell ref="A98:B98"/>
    <mergeCell ref="D98:E98"/>
    <mergeCell ref="F98:G98"/>
    <mergeCell ref="H98:I98"/>
    <mergeCell ref="J98:K98"/>
    <mergeCell ref="A99:B99"/>
    <mergeCell ref="D99:E99"/>
    <mergeCell ref="F99:G99"/>
    <mergeCell ref="H99:I99"/>
    <mergeCell ref="J99:K99"/>
    <mergeCell ref="A96:B96"/>
    <mergeCell ref="D96:E96"/>
    <mergeCell ref="F96:G96"/>
    <mergeCell ref="H96:I96"/>
    <mergeCell ref="J96:K96"/>
    <mergeCell ref="A97:B97"/>
    <mergeCell ref="D97:E97"/>
    <mergeCell ref="F97:G97"/>
    <mergeCell ref="H97:I97"/>
    <mergeCell ref="J97:K97"/>
    <mergeCell ref="A104:B104"/>
    <mergeCell ref="D104:E104"/>
    <mergeCell ref="F104:G104"/>
    <mergeCell ref="H104:I104"/>
    <mergeCell ref="J104:K104"/>
    <mergeCell ref="A102:B102"/>
    <mergeCell ref="D102:E102"/>
    <mergeCell ref="F102:G102"/>
    <mergeCell ref="H102:I102"/>
    <mergeCell ref="J102:K102"/>
    <mergeCell ref="A103:B103"/>
    <mergeCell ref="D103:E103"/>
    <mergeCell ref="F103:G103"/>
    <mergeCell ref="H103:I103"/>
    <mergeCell ref="J103:K103"/>
    <mergeCell ref="A100:B100"/>
    <mergeCell ref="D100:E100"/>
    <mergeCell ref="F100:G100"/>
    <mergeCell ref="H100:I100"/>
    <mergeCell ref="J100:K100"/>
    <mergeCell ref="A101:B101"/>
    <mergeCell ref="D101:E101"/>
    <mergeCell ref="F101:G101"/>
    <mergeCell ref="H101:I101"/>
    <mergeCell ref="J101:K101"/>
    <mergeCell ref="A107:B107"/>
    <mergeCell ref="D107:E107"/>
    <mergeCell ref="F107:G107"/>
    <mergeCell ref="H107:I107"/>
    <mergeCell ref="J107:K107"/>
    <mergeCell ref="A108:B108"/>
    <mergeCell ref="D108:E108"/>
    <mergeCell ref="F108:G108"/>
    <mergeCell ref="H108:I108"/>
    <mergeCell ref="J108:K108"/>
    <mergeCell ref="A105:B105"/>
    <mergeCell ref="D105:E105"/>
    <mergeCell ref="F105:G105"/>
    <mergeCell ref="H105:I105"/>
    <mergeCell ref="J105:K105"/>
    <mergeCell ref="A106:B106"/>
    <mergeCell ref="D106:E106"/>
    <mergeCell ref="F106:G106"/>
    <mergeCell ref="H106:I106"/>
    <mergeCell ref="J106:K106"/>
    <mergeCell ref="A111:B111"/>
    <mergeCell ref="D111:E111"/>
    <mergeCell ref="F111:G111"/>
    <mergeCell ref="H111:I111"/>
    <mergeCell ref="J111:K111"/>
    <mergeCell ref="A112:B112"/>
    <mergeCell ref="D112:E112"/>
    <mergeCell ref="F112:G112"/>
    <mergeCell ref="H112:I112"/>
    <mergeCell ref="J112:K112"/>
    <mergeCell ref="A109:B109"/>
    <mergeCell ref="D109:E109"/>
    <mergeCell ref="F109:G109"/>
    <mergeCell ref="H109:I109"/>
    <mergeCell ref="J109:K109"/>
    <mergeCell ref="A110:B110"/>
    <mergeCell ref="D110:E110"/>
    <mergeCell ref="F110:G110"/>
    <mergeCell ref="H110:I110"/>
    <mergeCell ref="J110:K110"/>
    <mergeCell ref="A115:B115"/>
    <mergeCell ref="D115:E115"/>
    <mergeCell ref="F115:G115"/>
    <mergeCell ref="H115:I115"/>
    <mergeCell ref="J115:K115"/>
    <mergeCell ref="A116:B116"/>
    <mergeCell ref="D116:E116"/>
    <mergeCell ref="F116:G116"/>
    <mergeCell ref="H116:I116"/>
    <mergeCell ref="J116:K116"/>
    <mergeCell ref="A113:B113"/>
    <mergeCell ref="D113:E113"/>
    <mergeCell ref="F113:G113"/>
    <mergeCell ref="H113:I113"/>
    <mergeCell ref="J113:K113"/>
    <mergeCell ref="A114:B114"/>
    <mergeCell ref="D114:E114"/>
    <mergeCell ref="F114:G114"/>
    <mergeCell ref="H114:I114"/>
    <mergeCell ref="J114:K114"/>
    <mergeCell ref="A119:B119"/>
    <mergeCell ref="D119:E119"/>
    <mergeCell ref="F119:G119"/>
    <mergeCell ref="H119:I119"/>
    <mergeCell ref="J119:K119"/>
    <mergeCell ref="A120:B120"/>
    <mergeCell ref="D120:E120"/>
    <mergeCell ref="F120:G120"/>
    <mergeCell ref="H120:I120"/>
    <mergeCell ref="J120:K120"/>
    <mergeCell ref="A117:B117"/>
    <mergeCell ref="D117:E117"/>
    <mergeCell ref="F117:G117"/>
    <mergeCell ref="H117:I117"/>
    <mergeCell ref="J117:K117"/>
    <mergeCell ref="A118:B118"/>
    <mergeCell ref="D118:E118"/>
    <mergeCell ref="F118:G118"/>
    <mergeCell ref="H118:I118"/>
    <mergeCell ref="J118:K118"/>
    <mergeCell ref="A123:B123"/>
    <mergeCell ref="D123:E123"/>
    <mergeCell ref="F123:G123"/>
    <mergeCell ref="H123:I123"/>
    <mergeCell ref="J123:K123"/>
    <mergeCell ref="A124:B124"/>
    <mergeCell ref="D124:E124"/>
    <mergeCell ref="F124:G124"/>
    <mergeCell ref="H124:I124"/>
    <mergeCell ref="J124:K124"/>
    <mergeCell ref="A121:B121"/>
    <mergeCell ref="D121:E121"/>
    <mergeCell ref="F121:G121"/>
    <mergeCell ref="H121:I121"/>
    <mergeCell ref="J121:K121"/>
    <mergeCell ref="A122:B122"/>
    <mergeCell ref="D122:E122"/>
    <mergeCell ref="F122:G122"/>
    <mergeCell ref="H122:I122"/>
    <mergeCell ref="J122:K122"/>
    <mergeCell ref="A128:B128"/>
    <mergeCell ref="D128:E128"/>
    <mergeCell ref="F128:G128"/>
    <mergeCell ref="H128:I128"/>
    <mergeCell ref="J128:K128"/>
    <mergeCell ref="A129:B129"/>
    <mergeCell ref="D129:E129"/>
    <mergeCell ref="F129:G129"/>
    <mergeCell ref="H129:I129"/>
    <mergeCell ref="J129:K129"/>
    <mergeCell ref="A127:B127"/>
    <mergeCell ref="D127:E127"/>
    <mergeCell ref="F127:G127"/>
    <mergeCell ref="H127:I127"/>
    <mergeCell ref="J127:K127"/>
    <mergeCell ref="A125:B125"/>
    <mergeCell ref="D125:E125"/>
    <mergeCell ref="F125:G125"/>
    <mergeCell ref="H125:I125"/>
    <mergeCell ref="J125:K125"/>
    <mergeCell ref="A126:B126"/>
    <mergeCell ref="D126:E126"/>
    <mergeCell ref="F126:G126"/>
    <mergeCell ref="H126:I126"/>
    <mergeCell ref="J126:K126"/>
    <mergeCell ref="A132:B132"/>
    <mergeCell ref="D132:E132"/>
    <mergeCell ref="F132:G132"/>
    <mergeCell ref="H132:I132"/>
    <mergeCell ref="J132:K132"/>
    <mergeCell ref="A133:B133"/>
    <mergeCell ref="D133:E133"/>
    <mergeCell ref="F133:G133"/>
    <mergeCell ref="H133:I133"/>
    <mergeCell ref="J133:K133"/>
    <mergeCell ref="A130:B130"/>
    <mergeCell ref="D130:E130"/>
    <mergeCell ref="F130:G130"/>
    <mergeCell ref="H130:I130"/>
    <mergeCell ref="J130:K130"/>
    <mergeCell ref="A131:B131"/>
    <mergeCell ref="D131:E131"/>
    <mergeCell ref="F131:G131"/>
    <mergeCell ref="H131:I131"/>
    <mergeCell ref="J131:K131"/>
    <mergeCell ref="A136:B136"/>
    <mergeCell ref="D136:E136"/>
    <mergeCell ref="F136:G136"/>
    <mergeCell ref="H136:I136"/>
    <mergeCell ref="J136:K136"/>
    <mergeCell ref="A137:B137"/>
    <mergeCell ref="D137:E137"/>
    <mergeCell ref="F137:G137"/>
    <mergeCell ref="H137:I137"/>
    <mergeCell ref="J137:K137"/>
    <mergeCell ref="A134:B134"/>
    <mergeCell ref="D134:E134"/>
    <mergeCell ref="F134:G134"/>
    <mergeCell ref="H134:I134"/>
    <mergeCell ref="J134:K134"/>
    <mergeCell ref="A135:B135"/>
    <mergeCell ref="D135:E135"/>
    <mergeCell ref="F135:G135"/>
    <mergeCell ref="H135:I135"/>
    <mergeCell ref="J135:K135"/>
    <mergeCell ref="A140:B140"/>
    <mergeCell ref="D140:E140"/>
    <mergeCell ref="F140:G140"/>
    <mergeCell ref="H140:I140"/>
    <mergeCell ref="J140:K140"/>
    <mergeCell ref="A141:B141"/>
    <mergeCell ref="D141:E141"/>
    <mergeCell ref="F141:G141"/>
    <mergeCell ref="H141:I141"/>
    <mergeCell ref="J141:K141"/>
    <mergeCell ref="A138:B138"/>
    <mergeCell ref="D138:E138"/>
    <mergeCell ref="F138:G138"/>
    <mergeCell ref="H138:I138"/>
    <mergeCell ref="J138:K138"/>
    <mergeCell ref="A139:B139"/>
    <mergeCell ref="D139:E139"/>
    <mergeCell ref="F139:G139"/>
    <mergeCell ref="H139:I139"/>
    <mergeCell ref="J139:K139"/>
    <mergeCell ref="A144:B144"/>
    <mergeCell ref="D144:E144"/>
    <mergeCell ref="F144:G144"/>
    <mergeCell ref="H144:I144"/>
    <mergeCell ref="J144:K144"/>
    <mergeCell ref="A145:B145"/>
    <mergeCell ref="D145:E145"/>
    <mergeCell ref="F145:G145"/>
    <mergeCell ref="H145:I145"/>
    <mergeCell ref="J145:K145"/>
    <mergeCell ref="A142:B142"/>
    <mergeCell ref="D142:E142"/>
    <mergeCell ref="F142:G142"/>
    <mergeCell ref="H142:I142"/>
    <mergeCell ref="J142:K142"/>
    <mergeCell ref="A143:B143"/>
    <mergeCell ref="D143:E143"/>
    <mergeCell ref="F143:G143"/>
    <mergeCell ref="H143:I143"/>
    <mergeCell ref="J143:K143"/>
    <mergeCell ref="A148:B148"/>
    <mergeCell ref="D148:E148"/>
    <mergeCell ref="F148:G148"/>
    <mergeCell ref="H148:I148"/>
    <mergeCell ref="J148:K148"/>
    <mergeCell ref="A149:B149"/>
    <mergeCell ref="D149:E149"/>
    <mergeCell ref="F149:G149"/>
    <mergeCell ref="H149:I149"/>
    <mergeCell ref="J149:K149"/>
    <mergeCell ref="A146:B146"/>
    <mergeCell ref="D146:E146"/>
    <mergeCell ref="F146:G146"/>
    <mergeCell ref="H146:I146"/>
    <mergeCell ref="J146:K146"/>
    <mergeCell ref="A147:B147"/>
    <mergeCell ref="D147:E147"/>
    <mergeCell ref="F147:G147"/>
    <mergeCell ref="H147:I147"/>
    <mergeCell ref="J147:K147"/>
    <mergeCell ref="A152:B152"/>
    <mergeCell ref="D152:E152"/>
    <mergeCell ref="F152:G152"/>
    <mergeCell ref="H152:I152"/>
    <mergeCell ref="J152:K152"/>
    <mergeCell ref="A153:B153"/>
    <mergeCell ref="D153:E153"/>
    <mergeCell ref="F153:G153"/>
    <mergeCell ref="H153:I153"/>
    <mergeCell ref="J153:K153"/>
    <mergeCell ref="A150:B150"/>
    <mergeCell ref="D150:E150"/>
    <mergeCell ref="F150:G150"/>
    <mergeCell ref="H150:I150"/>
    <mergeCell ref="J150:K150"/>
    <mergeCell ref="A151:B151"/>
    <mergeCell ref="D151:E151"/>
    <mergeCell ref="F151:G151"/>
    <mergeCell ref="H151:I151"/>
    <mergeCell ref="J151:K151"/>
    <mergeCell ref="A156:B156"/>
    <mergeCell ref="D156:E156"/>
    <mergeCell ref="F156:G156"/>
    <mergeCell ref="H156:I156"/>
    <mergeCell ref="J156:K156"/>
    <mergeCell ref="A157:B157"/>
    <mergeCell ref="D157:E157"/>
    <mergeCell ref="F157:G157"/>
    <mergeCell ref="H157:I157"/>
    <mergeCell ref="J157:K157"/>
    <mergeCell ref="A154:B154"/>
    <mergeCell ref="D154:E154"/>
    <mergeCell ref="F154:G154"/>
    <mergeCell ref="H154:I154"/>
    <mergeCell ref="J154:K154"/>
    <mergeCell ref="A155:B155"/>
    <mergeCell ref="D155:E155"/>
    <mergeCell ref="F155:G155"/>
    <mergeCell ref="H155:I155"/>
    <mergeCell ref="J155:K155"/>
    <mergeCell ref="A160:B160"/>
    <mergeCell ref="D160:E160"/>
    <mergeCell ref="F160:G160"/>
    <mergeCell ref="H160:I160"/>
    <mergeCell ref="J160:K160"/>
    <mergeCell ref="A161:B161"/>
    <mergeCell ref="D161:E161"/>
    <mergeCell ref="F161:G161"/>
    <mergeCell ref="H161:I161"/>
    <mergeCell ref="J161:K161"/>
    <mergeCell ref="A158:B158"/>
    <mergeCell ref="D158:E158"/>
    <mergeCell ref="F158:G158"/>
    <mergeCell ref="H158:I158"/>
    <mergeCell ref="J158:K158"/>
    <mergeCell ref="A159:B159"/>
    <mergeCell ref="D159:E159"/>
    <mergeCell ref="F159:G159"/>
    <mergeCell ref="H159:I159"/>
    <mergeCell ref="J159:K159"/>
    <mergeCell ref="A164:B164"/>
    <mergeCell ref="D164:E164"/>
    <mergeCell ref="F164:G164"/>
    <mergeCell ref="H164:I164"/>
    <mergeCell ref="J164:K164"/>
    <mergeCell ref="A165:B165"/>
    <mergeCell ref="D165:E165"/>
    <mergeCell ref="F165:G165"/>
    <mergeCell ref="H165:I165"/>
    <mergeCell ref="J165:K165"/>
    <mergeCell ref="A162:B162"/>
    <mergeCell ref="D162:E162"/>
    <mergeCell ref="F162:G162"/>
    <mergeCell ref="H162:I162"/>
    <mergeCell ref="J162:K162"/>
    <mergeCell ref="A163:B163"/>
    <mergeCell ref="D163:E163"/>
    <mergeCell ref="F163:G163"/>
    <mergeCell ref="H163:I163"/>
    <mergeCell ref="J163:K163"/>
    <mergeCell ref="A169:B169"/>
    <mergeCell ref="D169:E169"/>
    <mergeCell ref="F169:G169"/>
    <mergeCell ref="H169:I169"/>
    <mergeCell ref="J169:K169"/>
    <mergeCell ref="A168:B168"/>
    <mergeCell ref="D168:E168"/>
    <mergeCell ref="F168:G168"/>
    <mergeCell ref="H168:I168"/>
    <mergeCell ref="J168:K168"/>
    <mergeCell ref="A166:B166"/>
    <mergeCell ref="D166:E166"/>
    <mergeCell ref="F166:G166"/>
    <mergeCell ref="H166:I166"/>
    <mergeCell ref="J166:K166"/>
    <mergeCell ref="A167:B167"/>
    <mergeCell ref="D167:E167"/>
    <mergeCell ref="F167:G167"/>
    <mergeCell ref="H167:I167"/>
    <mergeCell ref="J167:K167"/>
    <mergeCell ref="A172:B172"/>
    <mergeCell ref="D172:E172"/>
    <mergeCell ref="F172:G172"/>
    <mergeCell ref="H172:I172"/>
    <mergeCell ref="J172:K172"/>
    <mergeCell ref="A173:B173"/>
    <mergeCell ref="D173:E173"/>
    <mergeCell ref="F173:G173"/>
    <mergeCell ref="H173:I173"/>
    <mergeCell ref="J173:K173"/>
    <mergeCell ref="A170:B170"/>
    <mergeCell ref="D170:E170"/>
    <mergeCell ref="F170:G170"/>
    <mergeCell ref="H170:I170"/>
    <mergeCell ref="J170:K170"/>
    <mergeCell ref="A171:B171"/>
    <mergeCell ref="D171:E171"/>
    <mergeCell ref="F171:G171"/>
    <mergeCell ref="H171:I171"/>
    <mergeCell ref="J171:K171"/>
    <mergeCell ref="A176:B176"/>
    <mergeCell ref="D176:E176"/>
    <mergeCell ref="F176:G176"/>
    <mergeCell ref="H176:I176"/>
    <mergeCell ref="J176:K176"/>
    <mergeCell ref="A177:B177"/>
    <mergeCell ref="D177:E177"/>
    <mergeCell ref="F177:G177"/>
    <mergeCell ref="H177:I177"/>
    <mergeCell ref="J177:K177"/>
    <mergeCell ref="A174:B174"/>
    <mergeCell ref="D174:E174"/>
    <mergeCell ref="F174:G174"/>
    <mergeCell ref="H174:I174"/>
    <mergeCell ref="J174:K174"/>
    <mergeCell ref="A175:B175"/>
    <mergeCell ref="D175:E175"/>
    <mergeCell ref="F175:G175"/>
    <mergeCell ref="H175:I175"/>
    <mergeCell ref="J175:K175"/>
    <mergeCell ref="A180:B180"/>
    <mergeCell ref="D180:E180"/>
    <mergeCell ref="F180:G180"/>
    <mergeCell ref="H180:I180"/>
    <mergeCell ref="J180:K180"/>
    <mergeCell ref="A181:B181"/>
    <mergeCell ref="D181:E181"/>
    <mergeCell ref="F181:G181"/>
    <mergeCell ref="H181:I181"/>
    <mergeCell ref="J181:K181"/>
    <mergeCell ref="A178:B178"/>
    <mergeCell ref="D178:E178"/>
    <mergeCell ref="F178:G178"/>
    <mergeCell ref="H178:I178"/>
    <mergeCell ref="J178:K178"/>
    <mergeCell ref="A179:B179"/>
    <mergeCell ref="D179:E179"/>
    <mergeCell ref="F179:G179"/>
    <mergeCell ref="H179:I179"/>
    <mergeCell ref="J179:K179"/>
    <mergeCell ref="A184:B184"/>
    <mergeCell ref="D184:E184"/>
    <mergeCell ref="F184:G184"/>
    <mergeCell ref="H184:I184"/>
    <mergeCell ref="J184:K184"/>
    <mergeCell ref="A185:B185"/>
    <mergeCell ref="D185:E185"/>
    <mergeCell ref="F185:G185"/>
    <mergeCell ref="H185:I185"/>
    <mergeCell ref="J185:K185"/>
    <mergeCell ref="A182:B182"/>
    <mergeCell ref="D182:E182"/>
    <mergeCell ref="F182:G182"/>
    <mergeCell ref="H182:I182"/>
    <mergeCell ref="J182:K182"/>
    <mergeCell ref="A183:B183"/>
    <mergeCell ref="D183:E183"/>
    <mergeCell ref="F183:G183"/>
    <mergeCell ref="H183:I183"/>
    <mergeCell ref="J183:K183"/>
    <mergeCell ref="A188:B188"/>
    <mergeCell ref="D188:E188"/>
    <mergeCell ref="F188:G188"/>
    <mergeCell ref="H188:I188"/>
    <mergeCell ref="J188:K188"/>
    <mergeCell ref="A189:B189"/>
    <mergeCell ref="D189:E189"/>
    <mergeCell ref="F189:G189"/>
    <mergeCell ref="H189:I189"/>
    <mergeCell ref="J189:K189"/>
    <mergeCell ref="A186:B186"/>
    <mergeCell ref="D186:E186"/>
    <mergeCell ref="F186:G186"/>
    <mergeCell ref="H186:I186"/>
    <mergeCell ref="J186:K186"/>
    <mergeCell ref="A187:B187"/>
    <mergeCell ref="D187:E187"/>
    <mergeCell ref="F187:G187"/>
    <mergeCell ref="H187:I187"/>
    <mergeCell ref="J187:K187"/>
    <mergeCell ref="A192:B192"/>
    <mergeCell ref="D192:E192"/>
    <mergeCell ref="F192:G192"/>
    <mergeCell ref="H192:I192"/>
    <mergeCell ref="J192:K192"/>
    <mergeCell ref="A193:B193"/>
    <mergeCell ref="D193:E193"/>
    <mergeCell ref="F193:G193"/>
    <mergeCell ref="H193:I193"/>
    <mergeCell ref="J193:K193"/>
    <mergeCell ref="A190:B190"/>
    <mergeCell ref="D190:E190"/>
    <mergeCell ref="F190:G190"/>
    <mergeCell ref="H190:I190"/>
    <mergeCell ref="J190:K190"/>
    <mergeCell ref="A191:B191"/>
    <mergeCell ref="D191:E191"/>
    <mergeCell ref="F191:G191"/>
    <mergeCell ref="H191:I191"/>
    <mergeCell ref="J191:K191"/>
    <mergeCell ref="A196:B196"/>
    <mergeCell ref="D196:E196"/>
    <mergeCell ref="F196:G196"/>
    <mergeCell ref="H196:I196"/>
    <mergeCell ref="J196:K196"/>
    <mergeCell ref="A197:B197"/>
    <mergeCell ref="D197:E197"/>
    <mergeCell ref="F197:G197"/>
    <mergeCell ref="H197:I197"/>
    <mergeCell ref="J197:K197"/>
    <mergeCell ref="A194:B194"/>
    <mergeCell ref="D194:E194"/>
    <mergeCell ref="F194:G194"/>
    <mergeCell ref="H194:I194"/>
    <mergeCell ref="J194:K194"/>
    <mergeCell ref="A195:B195"/>
    <mergeCell ref="D195:E195"/>
    <mergeCell ref="F195:G195"/>
    <mergeCell ref="H195:I195"/>
    <mergeCell ref="J195:K195"/>
    <mergeCell ref="A200:B200"/>
    <mergeCell ref="D200:E200"/>
    <mergeCell ref="F200:G200"/>
    <mergeCell ref="H200:I200"/>
    <mergeCell ref="J200:K200"/>
    <mergeCell ref="A201:B201"/>
    <mergeCell ref="D201:E201"/>
    <mergeCell ref="F201:G201"/>
    <mergeCell ref="H201:I201"/>
    <mergeCell ref="J201:K201"/>
    <mergeCell ref="A198:B198"/>
    <mergeCell ref="D198:E198"/>
    <mergeCell ref="F198:G198"/>
    <mergeCell ref="H198:I198"/>
    <mergeCell ref="J198:K198"/>
    <mergeCell ref="A199:B199"/>
    <mergeCell ref="D199:E199"/>
    <mergeCell ref="F199:G199"/>
    <mergeCell ref="H199:I199"/>
    <mergeCell ref="J199:K199"/>
    <mergeCell ref="A204:B204"/>
    <mergeCell ref="D204:E204"/>
    <mergeCell ref="F204:G204"/>
    <mergeCell ref="H204:I204"/>
    <mergeCell ref="J204:K204"/>
    <mergeCell ref="A205:B205"/>
    <mergeCell ref="D205:E205"/>
    <mergeCell ref="F205:G205"/>
    <mergeCell ref="H205:I205"/>
    <mergeCell ref="J205:K205"/>
    <mergeCell ref="A202:B202"/>
    <mergeCell ref="D202:E202"/>
    <mergeCell ref="F202:G202"/>
    <mergeCell ref="H202:I202"/>
    <mergeCell ref="J202:K202"/>
    <mergeCell ref="A203:B203"/>
    <mergeCell ref="D203:E203"/>
    <mergeCell ref="F203:G203"/>
    <mergeCell ref="H203:I203"/>
    <mergeCell ref="J203:K203"/>
    <mergeCell ref="A208:B208"/>
    <mergeCell ref="D208:E208"/>
    <mergeCell ref="F208:G208"/>
    <mergeCell ref="H208:I208"/>
    <mergeCell ref="J208:K208"/>
    <mergeCell ref="A209:B209"/>
    <mergeCell ref="D209:E209"/>
    <mergeCell ref="F209:G209"/>
    <mergeCell ref="H209:I209"/>
    <mergeCell ref="J209:K209"/>
    <mergeCell ref="A206:B206"/>
    <mergeCell ref="D206:E206"/>
    <mergeCell ref="F206:G206"/>
    <mergeCell ref="H206:I206"/>
    <mergeCell ref="J206:K206"/>
    <mergeCell ref="A207:B207"/>
    <mergeCell ref="D207:E207"/>
    <mergeCell ref="F207:G207"/>
    <mergeCell ref="H207:I207"/>
    <mergeCell ref="J207:K207"/>
    <mergeCell ref="A212:B212"/>
    <mergeCell ref="D212:E212"/>
    <mergeCell ref="F212:G212"/>
    <mergeCell ref="H212:I212"/>
    <mergeCell ref="J212:K212"/>
    <mergeCell ref="A213:B213"/>
    <mergeCell ref="D213:E213"/>
    <mergeCell ref="F213:G213"/>
    <mergeCell ref="H213:I213"/>
    <mergeCell ref="J213:K213"/>
    <mergeCell ref="A210:B210"/>
    <mergeCell ref="D210:E210"/>
    <mergeCell ref="F210:G210"/>
    <mergeCell ref="H210:I210"/>
    <mergeCell ref="J210:K210"/>
    <mergeCell ref="A211:B211"/>
    <mergeCell ref="D211:E211"/>
    <mergeCell ref="F211:G211"/>
    <mergeCell ref="H211:I211"/>
    <mergeCell ref="J211:K211"/>
    <mergeCell ref="A216:B216"/>
    <mergeCell ref="D216:E216"/>
    <mergeCell ref="F216:G216"/>
    <mergeCell ref="H216:I216"/>
    <mergeCell ref="J216:K216"/>
    <mergeCell ref="A217:B217"/>
    <mergeCell ref="D217:E217"/>
    <mergeCell ref="F217:G217"/>
    <mergeCell ref="H217:I217"/>
    <mergeCell ref="J217:K217"/>
    <mergeCell ref="A214:B214"/>
    <mergeCell ref="D214:E214"/>
    <mergeCell ref="F214:G214"/>
    <mergeCell ref="H214:I214"/>
    <mergeCell ref="J214:K214"/>
    <mergeCell ref="A215:B215"/>
    <mergeCell ref="D215:E215"/>
    <mergeCell ref="F215:G215"/>
    <mergeCell ref="H215:I215"/>
    <mergeCell ref="J215:K215"/>
    <mergeCell ref="A220:B220"/>
    <mergeCell ref="D220:E220"/>
    <mergeCell ref="F220:G220"/>
    <mergeCell ref="H220:I220"/>
    <mergeCell ref="J220:K220"/>
    <mergeCell ref="A221:B221"/>
    <mergeCell ref="D221:E221"/>
    <mergeCell ref="F221:G221"/>
    <mergeCell ref="H221:I221"/>
    <mergeCell ref="J221:K221"/>
    <mergeCell ref="A218:B218"/>
    <mergeCell ref="D218:E218"/>
    <mergeCell ref="F218:G218"/>
    <mergeCell ref="H218:I218"/>
    <mergeCell ref="J218:K218"/>
    <mergeCell ref="A219:B219"/>
    <mergeCell ref="D219:E219"/>
    <mergeCell ref="F219:G219"/>
    <mergeCell ref="H219:I219"/>
    <mergeCell ref="J219:K219"/>
    <mergeCell ref="A224:B224"/>
    <mergeCell ref="D224:E224"/>
    <mergeCell ref="F224:G224"/>
    <mergeCell ref="H224:I224"/>
    <mergeCell ref="J224:K224"/>
    <mergeCell ref="A225:B225"/>
    <mergeCell ref="D225:E225"/>
    <mergeCell ref="F225:G225"/>
    <mergeCell ref="H225:I225"/>
    <mergeCell ref="J225:K225"/>
    <mergeCell ref="A222:B222"/>
    <mergeCell ref="D222:E222"/>
    <mergeCell ref="F222:G222"/>
    <mergeCell ref="H222:I222"/>
    <mergeCell ref="J222:K222"/>
    <mergeCell ref="A223:B223"/>
    <mergeCell ref="D223:E223"/>
    <mergeCell ref="F223:G223"/>
    <mergeCell ref="H223:I223"/>
    <mergeCell ref="J223:K223"/>
    <mergeCell ref="A228:B228"/>
    <mergeCell ref="D228:E228"/>
    <mergeCell ref="F228:G228"/>
    <mergeCell ref="H228:I228"/>
    <mergeCell ref="J228:K228"/>
    <mergeCell ref="A229:B229"/>
    <mergeCell ref="D229:E229"/>
    <mergeCell ref="F229:G229"/>
    <mergeCell ref="H229:I229"/>
    <mergeCell ref="J229:K229"/>
    <mergeCell ref="A226:B226"/>
    <mergeCell ref="D226:E226"/>
    <mergeCell ref="F226:G226"/>
    <mergeCell ref="H226:I226"/>
    <mergeCell ref="J226:K226"/>
    <mergeCell ref="A227:B227"/>
    <mergeCell ref="D227:E227"/>
    <mergeCell ref="F227:G227"/>
    <mergeCell ref="H227:I227"/>
    <mergeCell ref="J227:K227"/>
    <mergeCell ref="A233:B233"/>
    <mergeCell ref="D233:E233"/>
    <mergeCell ref="F233:G233"/>
    <mergeCell ref="H233:I233"/>
    <mergeCell ref="J233:K233"/>
    <mergeCell ref="A232:B232"/>
    <mergeCell ref="D232:E232"/>
    <mergeCell ref="F232:G232"/>
    <mergeCell ref="H232:I232"/>
    <mergeCell ref="J232:K232"/>
    <mergeCell ref="A230:B230"/>
    <mergeCell ref="D230:E230"/>
    <mergeCell ref="F230:G230"/>
    <mergeCell ref="H230:I230"/>
    <mergeCell ref="J230:K230"/>
    <mergeCell ref="A231:B231"/>
    <mergeCell ref="D231:E231"/>
    <mergeCell ref="F231:G231"/>
    <mergeCell ref="H231:I231"/>
    <mergeCell ref="J231:K231"/>
    <mergeCell ref="A238:B238"/>
    <mergeCell ref="D238:E238"/>
    <mergeCell ref="F238:G238"/>
    <mergeCell ref="H238:I238"/>
    <mergeCell ref="J238:K238"/>
    <mergeCell ref="A236:B236"/>
    <mergeCell ref="D236:E236"/>
    <mergeCell ref="F236:G236"/>
    <mergeCell ref="H236:I236"/>
    <mergeCell ref="J236:K236"/>
    <mergeCell ref="A237:B237"/>
    <mergeCell ref="D237:E237"/>
    <mergeCell ref="F237:G237"/>
    <mergeCell ref="H237:I237"/>
    <mergeCell ref="J237:K237"/>
    <mergeCell ref="A234:B234"/>
    <mergeCell ref="D234:E234"/>
    <mergeCell ref="F234:G234"/>
    <mergeCell ref="H234:I234"/>
    <mergeCell ref="J234:K234"/>
    <mergeCell ref="A235:B235"/>
    <mergeCell ref="D235:E235"/>
    <mergeCell ref="F235:G235"/>
    <mergeCell ref="H235:I235"/>
    <mergeCell ref="J235:K235"/>
    <mergeCell ref="A241:B241"/>
    <mergeCell ref="D241:E241"/>
    <mergeCell ref="F241:G241"/>
    <mergeCell ref="H241:I241"/>
    <mergeCell ref="J241:K241"/>
    <mergeCell ref="A242:B242"/>
    <mergeCell ref="D242:E242"/>
    <mergeCell ref="F242:G242"/>
    <mergeCell ref="H242:I242"/>
    <mergeCell ref="J242:K242"/>
    <mergeCell ref="A239:B239"/>
    <mergeCell ref="D239:E239"/>
    <mergeCell ref="F239:G239"/>
    <mergeCell ref="H239:I239"/>
    <mergeCell ref="J239:K239"/>
    <mergeCell ref="A240:B240"/>
    <mergeCell ref="D240:E240"/>
    <mergeCell ref="F240:G240"/>
    <mergeCell ref="H240:I240"/>
    <mergeCell ref="J240:K240"/>
    <mergeCell ref="A245:B245"/>
    <mergeCell ref="D245:E245"/>
    <mergeCell ref="F245:G245"/>
    <mergeCell ref="H245:I245"/>
    <mergeCell ref="J245:K245"/>
    <mergeCell ref="A246:B246"/>
    <mergeCell ref="D246:E246"/>
    <mergeCell ref="F246:G246"/>
    <mergeCell ref="H246:I246"/>
    <mergeCell ref="J246:K246"/>
    <mergeCell ref="A243:B243"/>
    <mergeCell ref="D243:E243"/>
    <mergeCell ref="F243:G243"/>
    <mergeCell ref="H243:I243"/>
    <mergeCell ref="J243:K243"/>
    <mergeCell ref="A244:B244"/>
    <mergeCell ref="D244:E244"/>
    <mergeCell ref="F244:G244"/>
    <mergeCell ref="H244:I244"/>
    <mergeCell ref="J244:K244"/>
    <mergeCell ref="A249:B249"/>
    <mergeCell ref="D249:E249"/>
    <mergeCell ref="F249:G249"/>
    <mergeCell ref="H249:I249"/>
    <mergeCell ref="J249:K249"/>
    <mergeCell ref="A250:B250"/>
    <mergeCell ref="D250:E250"/>
    <mergeCell ref="F250:G250"/>
    <mergeCell ref="H250:I250"/>
    <mergeCell ref="J250:K250"/>
    <mergeCell ref="A247:B247"/>
    <mergeCell ref="D247:E247"/>
    <mergeCell ref="F247:G247"/>
    <mergeCell ref="H247:I247"/>
    <mergeCell ref="J247:K247"/>
    <mergeCell ref="A248:B248"/>
    <mergeCell ref="D248:E248"/>
    <mergeCell ref="F248:G248"/>
    <mergeCell ref="H248:I248"/>
    <mergeCell ref="J248:K248"/>
    <mergeCell ref="A253:B253"/>
    <mergeCell ref="D253:E253"/>
    <mergeCell ref="F253:G253"/>
    <mergeCell ref="H253:I253"/>
    <mergeCell ref="J253:K253"/>
    <mergeCell ref="A254:B254"/>
    <mergeCell ref="D254:E254"/>
    <mergeCell ref="F254:G254"/>
    <mergeCell ref="H254:I254"/>
    <mergeCell ref="J254:K254"/>
    <mergeCell ref="A251:B251"/>
    <mergeCell ref="D251:E251"/>
    <mergeCell ref="F251:G251"/>
    <mergeCell ref="H251:I251"/>
    <mergeCell ref="J251:K251"/>
    <mergeCell ref="A252:B252"/>
    <mergeCell ref="D252:E252"/>
    <mergeCell ref="F252:G252"/>
    <mergeCell ref="H252:I252"/>
    <mergeCell ref="J252:K252"/>
    <mergeCell ref="A257:B257"/>
    <mergeCell ref="D257:E257"/>
    <mergeCell ref="F257:G257"/>
    <mergeCell ref="H257:I257"/>
    <mergeCell ref="J257:K257"/>
    <mergeCell ref="A258:B258"/>
    <mergeCell ref="D258:E258"/>
    <mergeCell ref="F258:G258"/>
    <mergeCell ref="H258:I258"/>
    <mergeCell ref="J258:K258"/>
    <mergeCell ref="A255:B255"/>
    <mergeCell ref="D255:E255"/>
    <mergeCell ref="F255:G255"/>
    <mergeCell ref="H255:I255"/>
    <mergeCell ref="J255:K255"/>
    <mergeCell ref="A256:B256"/>
    <mergeCell ref="D256:E256"/>
    <mergeCell ref="F256:G256"/>
    <mergeCell ref="H256:I256"/>
    <mergeCell ref="J256:K256"/>
    <mergeCell ref="A261:B261"/>
    <mergeCell ref="D261:E261"/>
    <mergeCell ref="F261:G261"/>
    <mergeCell ref="H261:I261"/>
    <mergeCell ref="J261:K261"/>
    <mergeCell ref="A262:B262"/>
    <mergeCell ref="D262:E262"/>
    <mergeCell ref="F262:G262"/>
    <mergeCell ref="H262:I262"/>
    <mergeCell ref="J262:K262"/>
    <mergeCell ref="A260:B260"/>
    <mergeCell ref="D260:E260"/>
    <mergeCell ref="F260:G260"/>
    <mergeCell ref="H260:I260"/>
    <mergeCell ref="J260:K260"/>
    <mergeCell ref="A259:B259"/>
    <mergeCell ref="D259:E259"/>
    <mergeCell ref="F259:G259"/>
    <mergeCell ref="H259:I259"/>
    <mergeCell ref="J259:K259"/>
    <mergeCell ref="A265:B265"/>
    <mergeCell ref="D265:E265"/>
    <mergeCell ref="F265:G265"/>
    <mergeCell ref="H265:I265"/>
    <mergeCell ref="J265:K265"/>
    <mergeCell ref="A266:B266"/>
    <mergeCell ref="D266:E266"/>
    <mergeCell ref="F266:G266"/>
    <mergeCell ref="H266:I266"/>
    <mergeCell ref="J266:K266"/>
    <mergeCell ref="A263:B263"/>
    <mergeCell ref="D263:E263"/>
    <mergeCell ref="F263:G263"/>
    <mergeCell ref="H263:I263"/>
    <mergeCell ref="J263:K263"/>
    <mergeCell ref="A264:B264"/>
    <mergeCell ref="D264:E264"/>
    <mergeCell ref="F264:G264"/>
    <mergeCell ref="H264:I264"/>
    <mergeCell ref="J264:K264"/>
    <mergeCell ref="A269:B269"/>
    <mergeCell ref="D269:E269"/>
    <mergeCell ref="F269:G269"/>
    <mergeCell ref="H269:I269"/>
    <mergeCell ref="J269:K269"/>
    <mergeCell ref="A270:B270"/>
    <mergeCell ref="D270:E270"/>
    <mergeCell ref="F270:G270"/>
    <mergeCell ref="H270:I270"/>
    <mergeCell ref="J270:K270"/>
    <mergeCell ref="A267:B267"/>
    <mergeCell ref="D267:E267"/>
    <mergeCell ref="F267:G267"/>
    <mergeCell ref="H267:I267"/>
    <mergeCell ref="J267:K267"/>
    <mergeCell ref="A268:B268"/>
    <mergeCell ref="D268:E268"/>
    <mergeCell ref="F268:G268"/>
    <mergeCell ref="H268:I268"/>
    <mergeCell ref="J268:K268"/>
    <mergeCell ref="A273:B273"/>
    <mergeCell ref="D273:E273"/>
    <mergeCell ref="F273:G273"/>
    <mergeCell ref="H273:I273"/>
    <mergeCell ref="J273:K273"/>
    <mergeCell ref="A274:B274"/>
    <mergeCell ref="D274:E274"/>
    <mergeCell ref="F274:G274"/>
    <mergeCell ref="H274:I274"/>
    <mergeCell ref="J274:K274"/>
    <mergeCell ref="A271:B271"/>
    <mergeCell ref="D271:E271"/>
    <mergeCell ref="F271:G271"/>
    <mergeCell ref="H271:I271"/>
    <mergeCell ref="J271:K271"/>
    <mergeCell ref="A272:B272"/>
    <mergeCell ref="D272:E272"/>
    <mergeCell ref="F272:G272"/>
    <mergeCell ref="H272:I272"/>
    <mergeCell ref="J272:K272"/>
    <mergeCell ref="A277:B277"/>
    <mergeCell ref="D277:E277"/>
    <mergeCell ref="F277:G277"/>
    <mergeCell ref="H277:I277"/>
    <mergeCell ref="J277:K277"/>
    <mergeCell ref="A278:B278"/>
    <mergeCell ref="D278:E278"/>
    <mergeCell ref="F278:G278"/>
    <mergeCell ref="H278:I278"/>
    <mergeCell ref="J278:K278"/>
    <mergeCell ref="A275:B275"/>
    <mergeCell ref="D275:E275"/>
    <mergeCell ref="F275:G275"/>
    <mergeCell ref="H275:I275"/>
    <mergeCell ref="J275:K275"/>
    <mergeCell ref="A276:B276"/>
    <mergeCell ref="D276:E276"/>
    <mergeCell ref="F276:G276"/>
    <mergeCell ref="H276:I276"/>
    <mergeCell ref="J276:K276"/>
    <mergeCell ref="A282:B282"/>
    <mergeCell ref="D282:E282"/>
    <mergeCell ref="F282:G282"/>
    <mergeCell ref="H282:I282"/>
    <mergeCell ref="J282:K282"/>
    <mergeCell ref="A281:B281"/>
    <mergeCell ref="D281:E281"/>
    <mergeCell ref="F281:G281"/>
    <mergeCell ref="H281:I281"/>
    <mergeCell ref="J281:K281"/>
    <mergeCell ref="A279:B279"/>
    <mergeCell ref="D279:E279"/>
    <mergeCell ref="F279:G279"/>
    <mergeCell ref="H279:I279"/>
    <mergeCell ref="J279:K279"/>
    <mergeCell ref="A280:B280"/>
    <mergeCell ref="D280:E280"/>
    <mergeCell ref="F280:G280"/>
    <mergeCell ref="H280:I280"/>
    <mergeCell ref="J280:K280"/>
    <mergeCell ref="A285:B285"/>
    <mergeCell ref="D285:E285"/>
    <mergeCell ref="F285:G285"/>
    <mergeCell ref="H285:I285"/>
    <mergeCell ref="J285:K285"/>
    <mergeCell ref="A286:B286"/>
    <mergeCell ref="D286:E286"/>
    <mergeCell ref="F286:G286"/>
    <mergeCell ref="H286:I286"/>
    <mergeCell ref="J286:K286"/>
    <mergeCell ref="A283:B283"/>
    <mergeCell ref="D283:E283"/>
    <mergeCell ref="F283:G283"/>
    <mergeCell ref="H283:I283"/>
    <mergeCell ref="J283:K283"/>
    <mergeCell ref="A284:B284"/>
    <mergeCell ref="D284:E284"/>
    <mergeCell ref="F284:G284"/>
    <mergeCell ref="H284:I284"/>
    <mergeCell ref="J284:K284"/>
    <mergeCell ref="A289:B289"/>
    <mergeCell ref="D289:E289"/>
    <mergeCell ref="F289:G289"/>
    <mergeCell ref="H289:I289"/>
    <mergeCell ref="J289:K289"/>
    <mergeCell ref="A290:B290"/>
    <mergeCell ref="D290:E290"/>
    <mergeCell ref="F290:G290"/>
    <mergeCell ref="H290:I290"/>
    <mergeCell ref="J290:K290"/>
    <mergeCell ref="A287:B287"/>
    <mergeCell ref="D287:E287"/>
    <mergeCell ref="F287:G287"/>
    <mergeCell ref="H287:I287"/>
    <mergeCell ref="J287:K287"/>
    <mergeCell ref="A288:B288"/>
    <mergeCell ref="D288:E288"/>
    <mergeCell ref="F288:G288"/>
    <mergeCell ref="H288:I288"/>
    <mergeCell ref="J288:K288"/>
    <mergeCell ref="A293:B293"/>
    <mergeCell ref="D293:E293"/>
    <mergeCell ref="F293:G293"/>
    <mergeCell ref="H293:I293"/>
    <mergeCell ref="J293:K293"/>
    <mergeCell ref="A294:B294"/>
    <mergeCell ref="D294:E294"/>
    <mergeCell ref="F294:G294"/>
    <mergeCell ref="H294:I294"/>
    <mergeCell ref="J294:K294"/>
    <mergeCell ref="A291:B291"/>
    <mergeCell ref="D291:E291"/>
    <mergeCell ref="F291:G291"/>
    <mergeCell ref="H291:I291"/>
    <mergeCell ref="J291:K291"/>
    <mergeCell ref="A292:B292"/>
    <mergeCell ref="D292:E292"/>
    <mergeCell ref="F292:G292"/>
    <mergeCell ref="H292:I292"/>
    <mergeCell ref="J292:K292"/>
    <mergeCell ref="A298:B298"/>
    <mergeCell ref="D298:E298"/>
    <mergeCell ref="F298:G298"/>
    <mergeCell ref="H298:I298"/>
    <mergeCell ref="J298:K298"/>
    <mergeCell ref="A297:B297"/>
    <mergeCell ref="D297:E297"/>
    <mergeCell ref="F297:G297"/>
    <mergeCell ref="H297:I297"/>
    <mergeCell ref="J297:K297"/>
    <mergeCell ref="A295:B295"/>
    <mergeCell ref="D295:E295"/>
    <mergeCell ref="F295:G295"/>
    <mergeCell ref="H295:I295"/>
    <mergeCell ref="J295:K295"/>
    <mergeCell ref="A296:B296"/>
    <mergeCell ref="D296:E296"/>
    <mergeCell ref="F296:G296"/>
    <mergeCell ref="H296:I296"/>
    <mergeCell ref="J296:K296"/>
    <mergeCell ref="F301:G301"/>
    <mergeCell ref="H301:I301"/>
    <mergeCell ref="J301:K301"/>
    <mergeCell ref="A302:B302"/>
    <mergeCell ref="D302:E302"/>
    <mergeCell ref="F302:G302"/>
    <mergeCell ref="H302:I302"/>
    <mergeCell ref="J302:K302"/>
    <mergeCell ref="A299:B299"/>
    <mergeCell ref="D299:E299"/>
    <mergeCell ref="F299:G299"/>
    <mergeCell ref="H299:I299"/>
    <mergeCell ref="J299:K299"/>
    <mergeCell ref="A300:B300"/>
    <mergeCell ref="D300:E300"/>
    <mergeCell ref="F300:G300"/>
    <mergeCell ref="H300:I300"/>
    <mergeCell ref="J300:K300"/>
    <mergeCell ref="A1:B1"/>
    <mergeCell ref="D1:E1"/>
    <mergeCell ref="F1:G1"/>
    <mergeCell ref="H1:I1"/>
    <mergeCell ref="J1:K1"/>
    <mergeCell ref="A307:B307"/>
    <mergeCell ref="D307:E307"/>
    <mergeCell ref="F307:G307"/>
    <mergeCell ref="H307:I307"/>
    <mergeCell ref="J307:K307"/>
    <mergeCell ref="A305:B305"/>
    <mergeCell ref="D305:E305"/>
    <mergeCell ref="F305:G305"/>
    <mergeCell ref="H305:I305"/>
    <mergeCell ref="J305:K305"/>
    <mergeCell ref="A306:B306"/>
    <mergeCell ref="D306:E306"/>
    <mergeCell ref="F306:G306"/>
    <mergeCell ref="H306:I306"/>
    <mergeCell ref="J306:K306"/>
    <mergeCell ref="A303:B303"/>
    <mergeCell ref="D303:E303"/>
    <mergeCell ref="F303:G303"/>
    <mergeCell ref="H303:I303"/>
    <mergeCell ref="J303:K303"/>
    <mergeCell ref="A304:B304"/>
    <mergeCell ref="D304:E304"/>
    <mergeCell ref="F304:G304"/>
    <mergeCell ref="H304:I304"/>
    <mergeCell ref="J304:K304"/>
    <mergeCell ref="A301:B301"/>
    <mergeCell ref="D301:E301"/>
    <mergeCell ref="A312:B312"/>
    <mergeCell ref="D312:E312"/>
    <mergeCell ref="F312:G312"/>
    <mergeCell ref="H312:I312"/>
    <mergeCell ref="J312:K312"/>
    <mergeCell ref="A310:B310"/>
    <mergeCell ref="D310:E310"/>
    <mergeCell ref="F310:G310"/>
    <mergeCell ref="H310:I310"/>
    <mergeCell ref="J310:K310"/>
    <mergeCell ref="A311:B311"/>
    <mergeCell ref="D311:E311"/>
    <mergeCell ref="F311:G311"/>
    <mergeCell ref="H311:I311"/>
    <mergeCell ref="J311:K311"/>
    <mergeCell ref="A308:B308"/>
    <mergeCell ref="D308:E308"/>
    <mergeCell ref="F308:G308"/>
    <mergeCell ref="H308:I308"/>
    <mergeCell ref="J308:K308"/>
    <mergeCell ref="A309:B309"/>
    <mergeCell ref="D309:E309"/>
    <mergeCell ref="F309:G309"/>
    <mergeCell ref="H309:I309"/>
    <mergeCell ref="J309:K309"/>
    <mergeCell ref="A316:B316"/>
    <mergeCell ref="D316:E316"/>
    <mergeCell ref="F316:G316"/>
    <mergeCell ref="H316:I316"/>
    <mergeCell ref="J316:K316"/>
    <mergeCell ref="A315:B315"/>
    <mergeCell ref="D315:E315"/>
    <mergeCell ref="F315:G315"/>
    <mergeCell ref="H315:I315"/>
    <mergeCell ref="J315:K315"/>
    <mergeCell ref="A313:B313"/>
    <mergeCell ref="D313:E313"/>
    <mergeCell ref="F313:G313"/>
    <mergeCell ref="H313:I313"/>
    <mergeCell ref="J313:K313"/>
    <mergeCell ref="A314:B314"/>
    <mergeCell ref="D314:E314"/>
    <mergeCell ref="F314:G314"/>
    <mergeCell ref="H314:I314"/>
    <mergeCell ref="J314:K314"/>
    <mergeCell ref="A319:B319"/>
    <mergeCell ref="D319:E319"/>
    <mergeCell ref="F319:G319"/>
    <mergeCell ref="H319:I319"/>
    <mergeCell ref="J319:K319"/>
    <mergeCell ref="A320:B320"/>
    <mergeCell ref="D320:E320"/>
    <mergeCell ref="F320:G320"/>
    <mergeCell ref="H320:I320"/>
    <mergeCell ref="J320:K320"/>
    <mergeCell ref="A317:B317"/>
    <mergeCell ref="D317:E317"/>
    <mergeCell ref="F317:G317"/>
    <mergeCell ref="H317:I317"/>
    <mergeCell ref="J317:K317"/>
    <mergeCell ref="A318:B318"/>
    <mergeCell ref="D318:E318"/>
    <mergeCell ref="F318:G318"/>
    <mergeCell ref="H318:I318"/>
    <mergeCell ref="J318:K318"/>
    <mergeCell ref="A323:B323"/>
    <mergeCell ref="D323:E323"/>
    <mergeCell ref="F323:G323"/>
    <mergeCell ref="H323:I323"/>
    <mergeCell ref="J323:K323"/>
    <mergeCell ref="A324:B324"/>
    <mergeCell ref="D324:E324"/>
    <mergeCell ref="F324:G324"/>
    <mergeCell ref="H324:I324"/>
    <mergeCell ref="J324:K324"/>
    <mergeCell ref="A321:B321"/>
    <mergeCell ref="D321:E321"/>
    <mergeCell ref="F321:G321"/>
    <mergeCell ref="H321:I321"/>
    <mergeCell ref="J321:K321"/>
    <mergeCell ref="A322:B322"/>
    <mergeCell ref="D322:E322"/>
    <mergeCell ref="F322:G322"/>
    <mergeCell ref="H322:I322"/>
    <mergeCell ref="J322:K322"/>
    <mergeCell ref="A327:B327"/>
    <mergeCell ref="D327:E327"/>
    <mergeCell ref="F327:G327"/>
    <mergeCell ref="H327:I327"/>
    <mergeCell ref="J327:K327"/>
    <mergeCell ref="A328:B328"/>
    <mergeCell ref="D328:E328"/>
    <mergeCell ref="F328:G328"/>
    <mergeCell ref="H328:I328"/>
    <mergeCell ref="J328:K328"/>
    <mergeCell ref="A325:B325"/>
    <mergeCell ref="D325:E325"/>
    <mergeCell ref="F325:G325"/>
    <mergeCell ref="H325:I325"/>
    <mergeCell ref="J325:K325"/>
    <mergeCell ref="A326:B326"/>
    <mergeCell ref="D326:E326"/>
    <mergeCell ref="F326:G326"/>
    <mergeCell ref="H326:I326"/>
    <mergeCell ref="J326:K326"/>
    <mergeCell ref="A331:B331"/>
    <mergeCell ref="D331:E331"/>
    <mergeCell ref="F331:G331"/>
    <mergeCell ref="H331:I331"/>
    <mergeCell ref="J331:K331"/>
    <mergeCell ref="A332:B332"/>
    <mergeCell ref="D332:E332"/>
    <mergeCell ref="F332:G332"/>
    <mergeCell ref="H332:I332"/>
    <mergeCell ref="J332:K332"/>
    <mergeCell ref="A329:B329"/>
    <mergeCell ref="D329:E329"/>
    <mergeCell ref="F329:G329"/>
    <mergeCell ref="H329:I329"/>
    <mergeCell ref="J329:K329"/>
    <mergeCell ref="A330:B330"/>
    <mergeCell ref="D330:E330"/>
    <mergeCell ref="F330:G330"/>
    <mergeCell ref="H330:I330"/>
    <mergeCell ref="J330:K330"/>
    <mergeCell ref="A336:B336"/>
    <mergeCell ref="D336:E336"/>
    <mergeCell ref="F336:G336"/>
    <mergeCell ref="H336:I336"/>
    <mergeCell ref="J336:K336"/>
    <mergeCell ref="A337:B337"/>
    <mergeCell ref="D337:E337"/>
    <mergeCell ref="F337:G337"/>
    <mergeCell ref="H337:I337"/>
    <mergeCell ref="J337:K337"/>
    <mergeCell ref="A335:B335"/>
    <mergeCell ref="D335:E335"/>
    <mergeCell ref="F335:G335"/>
    <mergeCell ref="H335:I335"/>
    <mergeCell ref="J335:K335"/>
    <mergeCell ref="A333:B333"/>
    <mergeCell ref="D333:E333"/>
    <mergeCell ref="F333:G333"/>
    <mergeCell ref="H333:I333"/>
    <mergeCell ref="J333:K333"/>
    <mergeCell ref="A334:B334"/>
    <mergeCell ref="D334:E334"/>
    <mergeCell ref="F334:G334"/>
    <mergeCell ref="H334:I334"/>
    <mergeCell ref="J334:K334"/>
    <mergeCell ref="A340:B340"/>
    <mergeCell ref="D340:E340"/>
    <mergeCell ref="F340:G340"/>
    <mergeCell ref="H340:I340"/>
    <mergeCell ref="J340:K340"/>
    <mergeCell ref="A341:B341"/>
    <mergeCell ref="D341:E341"/>
    <mergeCell ref="F341:G341"/>
    <mergeCell ref="H341:I341"/>
    <mergeCell ref="J341:K341"/>
    <mergeCell ref="A338:B338"/>
    <mergeCell ref="D338:E338"/>
    <mergeCell ref="F338:G338"/>
    <mergeCell ref="H338:I338"/>
    <mergeCell ref="J338:K338"/>
    <mergeCell ref="A339:B339"/>
    <mergeCell ref="D339:E339"/>
    <mergeCell ref="F339:G339"/>
    <mergeCell ref="H339:I339"/>
    <mergeCell ref="J339:K339"/>
    <mergeCell ref="A344:B344"/>
    <mergeCell ref="D344:E344"/>
    <mergeCell ref="F344:G344"/>
    <mergeCell ref="H344:I344"/>
    <mergeCell ref="J344:K344"/>
    <mergeCell ref="A345:B345"/>
    <mergeCell ref="D345:E345"/>
    <mergeCell ref="F345:G345"/>
    <mergeCell ref="H345:I345"/>
    <mergeCell ref="J345:K345"/>
    <mergeCell ref="A342:B342"/>
    <mergeCell ref="D342:E342"/>
    <mergeCell ref="F342:G342"/>
    <mergeCell ref="H342:I342"/>
    <mergeCell ref="J342:K342"/>
    <mergeCell ref="A343:B343"/>
    <mergeCell ref="D343:E343"/>
    <mergeCell ref="F343:G343"/>
    <mergeCell ref="H343:I343"/>
    <mergeCell ref="J343:K343"/>
    <mergeCell ref="A348:B348"/>
    <mergeCell ref="D348:E348"/>
    <mergeCell ref="F348:G348"/>
    <mergeCell ref="H348:I348"/>
    <mergeCell ref="J348:K348"/>
    <mergeCell ref="A349:B349"/>
    <mergeCell ref="D349:E349"/>
    <mergeCell ref="F349:G349"/>
    <mergeCell ref="H349:I349"/>
    <mergeCell ref="J349:K349"/>
    <mergeCell ref="A346:B346"/>
    <mergeCell ref="D346:E346"/>
    <mergeCell ref="F346:G346"/>
    <mergeCell ref="H346:I346"/>
    <mergeCell ref="J346:K346"/>
    <mergeCell ref="A347:B347"/>
    <mergeCell ref="D347:E347"/>
    <mergeCell ref="F347:G347"/>
    <mergeCell ref="H347:I347"/>
    <mergeCell ref="J347:K347"/>
    <mergeCell ref="A352:B352"/>
    <mergeCell ref="D352:E352"/>
    <mergeCell ref="F352:G352"/>
    <mergeCell ref="H352:I352"/>
    <mergeCell ref="J352:K352"/>
    <mergeCell ref="A353:B353"/>
    <mergeCell ref="D353:E353"/>
    <mergeCell ref="F353:G353"/>
    <mergeCell ref="H353:I353"/>
    <mergeCell ref="J353:K353"/>
    <mergeCell ref="A350:B350"/>
    <mergeCell ref="D350:E350"/>
    <mergeCell ref="F350:G350"/>
    <mergeCell ref="H350:I350"/>
    <mergeCell ref="J350:K350"/>
    <mergeCell ref="A351:B351"/>
    <mergeCell ref="D351:E351"/>
    <mergeCell ref="F351:G351"/>
    <mergeCell ref="H351:I351"/>
    <mergeCell ref="J351:K351"/>
    <mergeCell ref="A356:B356"/>
    <mergeCell ref="D356:E356"/>
    <mergeCell ref="F356:G356"/>
    <mergeCell ref="H356:I356"/>
    <mergeCell ref="J356:K356"/>
    <mergeCell ref="A357:B357"/>
    <mergeCell ref="D357:E357"/>
    <mergeCell ref="F357:G357"/>
    <mergeCell ref="H357:I357"/>
    <mergeCell ref="J357:K357"/>
    <mergeCell ref="A354:B354"/>
    <mergeCell ref="D354:E354"/>
    <mergeCell ref="F354:G354"/>
    <mergeCell ref="H354:I354"/>
    <mergeCell ref="J354:K354"/>
    <mergeCell ref="A355:B355"/>
    <mergeCell ref="D355:E355"/>
    <mergeCell ref="F355:G355"/>
    <mergeCell ref="H355:I355"/>
    <mergeCell ref="J355:K355"/>
    <mergeCell ref="A360:B360"/>
    <mergeCell ref="D360:E360"/>
    <mergeCell ref="F360:G360"/>
    <mergeCell ref="H360:I360"/>
    <mergeCell ref="J360:K360"/>
    <mergeCell ref="A361:B361"/>
    <mergeCell ref="D361:E361"/>
    <mergeCell ref="F361:G361"/>
    <mergeCell ref="H361:I361"/>
    <mergeCell ref="J361:K361"/>
    <mergeCell ref="A358:B358"/>
    <mergeCell ref="D358:E358"/>
    <mergeCell ref="F358:G358"/>
    <mergeCell ref="H358:I358"/>
    <mergeCell ref="J358:K358"/>
    <mergeCell ref="A359:B359"/>
    <mergeCell ref="D359:E359"/>
    <mergeCell ref="F359:G359"/>
    <mergeCell ref="H359:I359"/>
    <mergeCell ref="J359:K359"/>
    <mergeCell ref="A364:B364"/>
    <mergeCell ref="D364:E364"/>
    <mergeCell ref="F364:G364"/>
    <mergeCell ref="H364:I364"/>
    <mergeCell ref="J364:K364"/>
    <mergeCell ref="A365:B365"/>
    <mergeCell ref="D365:E365"/>
    <mergeCell ref="F365:G365"/>
    <mergeCell ref="H365:I365"/>
    <mergeCell ref="J365:K365"/>
    <mergeCell ref="A362:B362"/>
    <mergeCell ref="D362:E362"/>
    <mergeCell ref="F362:G362"/>
    <mergeCell ref="H362:I362"/>
    <mergeCell ref="J362:K362"/>
    <mergeCell ref="A363:B363"/>
    <mergeCell ref="D363:E363"/>
    <mergeCell ref="F363:G363"/>
    <mergeCell ref="H363:I363"/>
    <mergeCell ref="J363:K363"/>
    <mergeCell ref="A368:B368"/>
    <mergeCell ref="D368:E368"/>
    <mergeCell ref="F368:G368"/>
    <mergeCell ref="H368:I368"/>
    <mergeCell ref="J368:K368"/>
    <mergeCell ref="A369:B369"/>
    <mergeCell ref="D369:E369"/>
    <mergeCell ref="F369:G369"/>
    <mergeCell ref="H369:I369"/>
    <mergeCell ref="J369:K369"/>
    <mergeCell ref="A366:B366"/>
    <mergeCell ref="D366:E366"/>
    <mergeCell ref="F366:G366"/>
    <mergeCell ref="H366:I366"/>
    <mergeCell ref="J366:K366"/>
    <mergeCell ref="A367:B367"/>
    <mergeCell ref="D367:E367"/>
    <mergeCell ref="F367:G367"/>
    <mergeCell ref="H367:I367"/>
    <mergeCell ref="J367:K367"/>
    <mergeCell ref="A372:B372"/>
    <mergeCell ref="D372:E372"/>
    <mergeCell ref="F372:G372"/>
    <mergeCell ref="H372:I372"/>
    <mergeCell ref="J372:K372"/>
    <mergeCell ref="A373:B373"/>
    <mergeCell ref="D373:E373"/>
    <mergeCell ref="F373:G373"/>
    <mergeCell ref="H373:I373"/>
    <mergeCell ref="J373:K373"/>
    <mergeCell ref="A370:B370"/>
    <mergeCell ref="D370:E370"/>
    <mergeCell ref="F370:G370"/>
    <mergeCell ref="H370:I370"/>
    <mergeCell ref="J370:K370"/>
    <mergeCell ref="A371:B371"/>
    <mergeCell ref="D371:E371"/>
    <mergeCell ref="F371:G371"/>
    <mergeCell ref="H371:I371"/>
    <mergeCell ref="J371:K371"/>
    <mergeCell ref="A376:B376"/>
    <mergeCell ref="D376:E376"/>
    <mergeCell ref="F376:G376"/>
    <mergeCell ref="H376:I376"/>
    <mergeCell ref="J376:K376"/>
    <mergeCell ref="A377:B377"/>
    <mergeCell ref="D377:E377"/>
    <mergeCell ref="F377:G377"/>
    <mergeCell ref="H377:I377"/>
    <mergeCell ref="J377:K377"/>
    <mergeCell ref="A374:B374"/>
    <mergeCell ref="D374:E374"/>
    <mergeCell ref="F374:G374"/>
    <mergeCell ref="H374:I374"/>
    <mergeCell ref="J374:K374"/>
    <mergeCell ref="A375:B375"/>
    <mergeCell ref="D375:E375"/>
    <mergeCell ref="F375:G375"/>
    <mergeCell ref="H375:I375"/>
    <mergeCell ref="J375:K375"/>
    <mergeCell ref="A380:B380"/>
    <mergeCell ref="D380:E380"/>
    <mergeCell ref="F380:G380"/>
    <mergeCell ref="H380:I380"/>
    <mergeCell ref="J380:K380"/>
    <mergeCell ref="A381:B381"/>
    <mergeCell ref="D381:E381"/>
    <mergeCell ref="F381:G381"/>
    <mergeCell ref="H381:I381"/>
    <mergeCell ref="J381:K381"/>
    <mergeCell ref="A378:B378"/>
    <mergeCell ref="D378:E378"/>
    <mergeCell ref="F378:G378"/>
    <mergeCell ref="H378:I378"/>
    <mergeCell ref="J378:K378"/>
    <mergeCell ref="A379:B379"/>
    <mergeCell ref="D379:E379"/>
    <mergeCell ref="F379:G379"/>
    <mergeCell ref="H379:I379"/>
    <mergeCell ref="J379:K379"/>
    <mergeCell ref="A384:B384"/>
    <mergeCell ref="D384:E384"/>
    <mergeCell ref="F384:G384"/>
    <mergeCell ref="H384:I384"/>
    <mergeCell ref="J384:K384"/>
    <mergeCell ref="A385:B385"/>
    <mergeCell ref="D385:E385"/>
    <mergeCell ref="F385:G385"/>
    <mergeCell ref="H385:I385"/>
    <mergeCell ref="J385:K385"/>
    <mergeCell ref="A382:B382"/>
    <mergeCell ref="D382:E382"/>
    <mergeCell ref="F382:G382"/>
    <mergeCell ref="H382:I382"/>
    <mergeCell ref="J382:K382"/>
    <mergeCell ref="A383:B383"/>
    <mergeCell ref="D383:E383"/>
    <mergeCell ref="F383:G383"/>
    <mergeCell ref="H383:I383"/>
    <mergeCell ref="J383:K383"/>
    <mergeCell ref="A388:B388"/>
    <mergeCell ref="D388:E388"/>
    <mergeCell ref="F388:G388"/>
    <mergeCell ref="H388:I388"/>
    <mergeCell ref="J388:K388"/>
    <mergeCell ref="A389:B389"/>
    <mergeCell ref="D389:E389"/>
    <mergeCell ref="F389:G389"/>
    <mergeCell ref="H389:I389"/>
    <mergeCell ref="J389:K389"/>
    <mergeCell ref="A386:B386"/>
    <mergeCell ref="D386:E386"/>
    <mergeCell ref="F386:G386"/>
    <mergeCell ref="H386:I386"/>
    <mergeCell ref="J386:K386"/>
    <mergeCell ref="A387:B387"/>
    <mergeCell ref="D387:E387"/>
    <mergeCell ref="F387:G387"/>
    <mergeCell ref="H387:I387"/>
    <mergeCell ref="J387:K387"/>
    <mergeCell ref="A392:B392"/>
    <mergeCell ref="D392:E392"/>
    <mergeCell ref="F392:G392"/>
    <mergeCell ref="H392:I392"/>
    <mergeCell ref="J392:K392"/>
    <mergeCell ref="A393:B393"/>
    <mergeCell ref="D393:E393"/>
    <mergeCell ref="F393:G393"/>
    <mergeCell ref="H393:I393"/>
    <mergeCell ref="J393:K393"/>
    <mergeCell ref="A390:B390"/>
    <mergeCell ref="D390:E390"/>
    <mergeCell ref="F390:G390"/>
    <mergeCell ref="H390:I390"/>
    <mergeCell ref="J390:K390"/>
    <mergeCell ref="A391:B391"/>
    <mergeCell ref="D391:E391"/>
    <mergeCell ref="F391:G391"/>
    <mergeCell ref="H391:I391"/>
    <mergeCell ref="J391:K391"/>
    <mergeCell ref="A396:B396"/>
    <mergeCell ref="D396:E396"/>
    <mergeCell ref="F396:G396"/>
    <mergeCell ref="H396:I396"/>
    <mergeCell ref="J396:K396"/>
    <mergeCell ref="A397:B397"/>
    <mergeCell ref="D397:E397"/>
    <mergeCell ref="F397:G397"/>
    <mergeCell ref="H397:I397"/>
    <mergeCell ref="J397:K397"/>
    <mergeCell ref="A394:B394"/>
    <mergeCell ref="D394:E394"/>
    <mergeCell ref="F394:G394"/>
    <mergeCell ref="H394:I394"/>
    <mergeCell ref="J394:K394"/>
    <mergeCell ref="A395:B395"/>
    <mergeCell ref="D395:E395"/>
    <mergeCell ref="F395:G395"/>
    <mergeCell ref="H395:I395"/>
    <mergeCell ref="J395:K395"/>
    <mergeCell ref="A400:B400"/>
    <mergeCell ref="D400:E400"/>
    <mergeCell ref="F400:G400"/>
    <mergeCell ref="H400:I400"/>
    <mergeCell ref="J400:K400"/>
    <mergeCell ref="A401:B401"/>
    <mergeCell ref="D401:E401"/>
    <mergeCell ref="F401:G401"/>
    <mergeCell ref="H401:I401"/>
    <mergeCell ref="J401:K401"/>
    <mergeCell ref="A398:B398"/>
    <mergeCell ref="D398:E398"/>
    <mergeCell ref="F398:G398"/>
    <mergeCell ref="H398:I398"/>
    <mergeCell ref="J398:K398"/>
    <mergeCell ref="A399:B399"/>
    <mergeCell ref="D399:E399"/>
    <mergeCell ref="F399:G399"/>
    <mergeCell ref="H399:I399"/>
    <mergeCell ref="J399:K399"/>
    <mergeCell ref="A404:B404"/>
    <mergeCell ref="D404:E404"/>
    <mergeCell ref="F404:G404"/>
    <mergeCell ref="H404:I404"/>
    <mergeCell ref="J404:K404"/>
    <mergeCell ref="A405:B405"/>
    <mergeCell ref="D405:E405"/>
    <mergeCell ref="F405:G405"/>
    <mergeCell ref="H405:I405"/>
    <mergeCell ref="J405:K405"/>
    <mergeCell ref="A402:B402"/>
    <mergeCell ref="D402:E402"/>
    <mergeCell ref="F402:G402"/>
    <mergeCell ref="H402:I402"/>
    <mergeCell ref="J402:K402"/>
    <mergeCell ref="A403:B403"/>
    <mergeCell ref="D403:E403"/>
    <mergeCell ref="F403:G403"/>
    <mergeCell ref="H403:I403"/>
    <mergeCell ref="J403:K403"/>
    <mergeCell ref="A408:B408"/>
    <mergeCell ref="D408:E408"/>
    <mergeCell ref="F408:G408"/>
    <mergeCell ref="H408:I408"/>
    <mergeCell ref="J408:K408"/>
    <mergeCell ref="A409:B409"/>
    <mergeCell ref="D409:E409"/>
    <mergeCell ref="F409:G409"/>
    <mergeCell ref="H409:I409"/>
    <mergeCell ref="J409:K409"/>
    <mergeCell ref="A406:B406"/>
    <mergeCell ref="D406:E406"/>
    <mergeCell ref="F406:G406"/>
    <mergeCell ref="H406:I406"/>
    <mergeCell ref="J406:K406"/>
    <mergeCell ref="A407:B407"/>
    <mergeCell ref="D407:E407"/>
    <mergeCell ref="F407:G407"/>
    <mergeCell ref="H407:I407"/>
    <mergeCell ref="J407:K407"/>
    <mergeCell ref="A414:B414"/>
    <mergeCell ref="D414:E414"/>
    <mergeCell ref="F414:G414"/>
    <mergeCell ref="H414:I414"/>
    <mergeCell ref="J414:K414"/>
    <mergeCell ref="A412:B412"/>
    <mergeCell ref="D412:E412"/>
    <mergeCell ref="F412:G412"/>
    <mergeCell ref="H412:I412"/>
    <mergeCell ref="J412:K412"/>
    <mergeCell ref="A413:B413"/>
    <mergeCell ref="D413:E413"/>
    <mergeCell ref="F413:G413"/>
    <mergeCell ref="H413:I413"/>
    <mergeCell ref="J413:K413"/>
    <mergeCell ref="A410:B410"/>
    <mergeCell ref="D410:E410"/>
    <mergeCell ref="F410:G410"/>
    <mergeCell ref="H410:I410"/>
    <mergeCell ref="J410:K410"/>
    <mergeCell ref="A411:B411"/>
    <mergeCell ref="D411:E411"/>
    <mergeCell ref="F411:G411"/>
    <mergeCell ref="H411:I411"/>
    <mergeCell ref="J411:K411"/>
    <mergeCell ref="A417:B417"/>
    <mergeCell ref="D417:E417"/>
    <mergeCell ref="F417:G417"/>
    <mergeCell ref="H417:I417"/>
    <mergeCell ref="J417:K417"/>
    <mergeCell ref="A418:B418"/>
    <mergeCell ref="D418:E418"/>
    <mergeCell ref="F418:G418"/>
    <mergeCell ref="H418:I418"/>
    <mergeCell ref="J418:K418"/>
    <mergeCell ref="A415:B415"/>
    <mergeCell ref="D415:E415"/>
    <mergeCell ref="F415:G415"/>
    <mergeCell ref="H415:I415"/>
    <mergeCell ref="J415:K415"/>
    <mergeCell ref="A416:B416"/>
    <mergeCell ref="D416:E416"/>
    <mergeCell ref="F416:G416"/>
    <mergeCell ref="H416:I416"/>
    <mergeCell ref="J416:K416"/>
    <mergeCell ref="A421:B421"/>
    <mergeCell ref="D421:E421"/>
    <mergeCell ref="F421:G421"/>
    <mergeCell ref="H421:I421"/>
    <mergeCell ref="J421:K421"/>
    <mergeCell ref="A422:B422"/>
    <mergeCell ref="D422:E422"/>
    <mergeCell ref="F422:G422"/>
    <mergeCell ref="H422:I422"/>
    <mergeCell ref="J422:K422"/>
    <mergeCell ref="A419:B419"/>
    <mergeCell ref="D419:E419"/>
    <mergeCell ref="F419:G419"/>
    <mergeCell ref="H419:I419"/>
    <mergeCell ref="J419:K419"/>
    <mergeCell ref="A420:B420"/>
    <mergeCell ref="D420:E420"/>
    <mergeCell ref="F420:G420"/>
    <mergeCell ref="H420:I420"/>
    <mergeCell ref="J420:K420"/>
    <mergeCell ref="A425:B425"/>
    <mergeCell ref="D425:E425"/>
    <mergeCell ref="F425:G425"/>
    <mergeCell ref="H425:I425"/>
    <mergeCell ref="J425:K425"/>
    <mergeCell ref="A426:B426"/>
    <mergeCell ref="D426:E426"/>
    <mergeCell ref="F426:G426"/>
    <mergeCell ref="H426:I426"/>
    <mergeCell ref="J426:K426"/>
    <mergeCell ref="A423:B423"/>
    <mergeCell ref="D423:E423"/>
    <mergeCell ref="F423:G423"/>
    <mergeCell ref="H423:I423"/>
    <mergeCell ref="J423:K423"/>
    <mergeCell ref="A424:B424"/>
    <mergeCell ref="D424:E424"/>
    <mergeCell ref="F424:G424"/>
    <mergeCell ref="H424:I424"/>
    <mergeCell ref="J424:K424"/>
    <mergeCell ref="A429:B429"/>
    <mergeCell ref="D429:E429"/>
    <mergeCell ref="F429:G429"/>
    <mergeCell ref="H429:I429"/>
    <mergeCell ref="J429:K429"/>
    <mergeCell ref="A430:B430"/>
    <mergeCell ref="D430:E430"/>
    <mergeCell ref="F430:G430"/>
    <mergeCell ref="H430:I430"/>
    <mergeCell ref="J430:K430"/>
    <mergeCell ref="A427:B427"/>
    <mergeCell ref="D427:E427"/>
    <mergeCell ref="F427:G427"/>
    <mergeCell ref="H427:I427"/>
    <mergeCell ref="J427:K427"/>
    <mergeCell ref="A428:B428"/>
    <mergeCell ref="D428:E428"/>
    <mergeCell ref="F428:G428"/>
    <mergeCell ref="H428:I428"/>
    <mergeCell ref="J428:K428"/>
    <mergeCell ref="J435:K435"/>
    <mergeCell ref="A433:B433"/>
    <mergeCell ref="D433:E433"/>
    <mergeCell ref="F433:G433"/>
    <mergeCell ref="H433:I433"/>
    <mergeCell ref="J433:K433"/>
    <mergeCell ref="A434:B434"/>
    <mergeCell ref="D434:E434"/>
    <mergeCell ref="F434:G434"/>
    <mergeCell ref="H434:I434"/>
    <mergeCell ref="J434:K434"/>
    <mergeCell ref="A431:B431"/>
    <mergeCell ref="D431:E431"/>
    <mergeCell ref="F431:G431"/>
    <mergeCell ref="H431:I431"/>
    <mergeCell ref="J431:K431"/>
    <mergeCell ref="A432:B432"/>
    <mergeCell ref="D432:E432"/>
    <mergeCell ref="F432:G432"/>
    <mergeCell ref="H432:I432"/>
    <mergeCell ref="J432:K432"/>
  </mergeCells>
  <phoneticPr fontId="134" type="noConversion"/>
  <conditionalFormatting sqref="C1">
    <cfRule type="duplicateValues" dxfId="148" priority="3"/>
    <cfRule type="duplicateValues" dxfId="147" priority="4"/>
  </conditionalFormatting>
  <conditionalFormatting sqref="C2:C311">
    <cfRule type="duplicateValues" dxfId="146" priority="949"/>
    <cfRule type="duplicateValues" dxfId="145" priority="950"/>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234" t="str">
        <f>项目基本情况!B1</f>
        <v>北京市出让国有建设用地使用权及在建建筑物房地产抵押价值预评估</v>
      </c>
      <c r="C37" s="3234"/>
      <c r="D37" s="3234"/>
      <c r="E37" s="3234"/>
      <c r="F37" s="3234"/>
      <c r="G37" s="3234"/>
      <c r="H37" s="3234"/>
      <c r="I37" s="3234"/>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项目基本情况!K4</f>
        <v>（注册号：0)、（注册号：0)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431"/>
  <sheetViews>
    <sheetView topLeftCell="A412" workbookViewId="0">
      <selection activeCell="H173" sqref="H173:I173"/>
    </sheetView>
  </sheetViews>
  <sheetFormatPr defaultRowHeight="13.5"/>
  <cols>
    <col min="1" max="1" width="5.75" bestFit="1" customWidth="1"/>
    <col min="2" max="2" width="9.75" bestFit="1" customWidth="1"/>
    <col min="3" max="3" width="31.75" bestFit="1" customWidth="1"/>
    <col min="4" max="4" width="17.125" hidden="1" customWidth="1"/>
    <col min="5" max="5" width="9.75" bestFit="1" customWidth="1"/>
    <col min="6" max="6" width="10.5" bestFit="1" customWidth="1"/>
    <col min="7" max="8" width="9.75" bestFit="1" customWidth="1"/>
    <col min="10" max="10" width="10.5" bestFit="1" customWidth="1"/>
  </cols>
  <sheetData>
    <row r="1" spans="1:12" ht="31.5">
      <c r="A1" s="3307" t="s">
        <v>5864</v>
      </c>
      <c r="B1" s="3308"/>
      <c r="C1" s="3205" t="s">
        <v>5865</v>
      </c>
      <c r="D1" s="3331" t="s">
        <v>5866</v>
      </c>
      <c r="E1" s="3332"/>
      <c r="F1" s="3307" t="s">
        <v>5867</v>
      </c>
      <c r="G1" s="3308"/>
      <c r="H1" s="3307" t="s">
        <v>5868</v>
      </c>
      <c r="I1" s="3308"/>
      <c r="J1" s="3307" t="s">
        <v>5869</v>
      </c>
      <c r="K1" s="3308"/>
      <c r="L1" s="3206" t="s">
        <v>5870</v>
      </c>
    </row>
    <row r="2" spans="1:12">
      <c r="A2" s="3318">
        <v>1</v>
      </c>
      <c r="B2" s="3319"/>
      <c r="C2" s="3207" t="s">
        <v>5924</v>
      </c>
      <c r="D2" s="3327"/>
      <c r="E2" s="3328"/>
      <c r="F2" s="3318">
        <v>1001</v>
      </c>
      <c r="G2" s="3319"/>
      <c r="H2" s="3325" t="s">
        <v>5925</v>
      </c>
      <c r="I2" s="3326"/>
      <c r="J2" s="3314">
        <v>35.9</v>
      </c>
      <c r="K2" s="3315"/>
      <c r="L2" s="3208">
        <v>15.94</v>
      </c>
    </row>
    <row r="3" spans="1:12">
      <c r="A3" s="3318">
        <v>2</v>
      </c>
      <c r="B3" s="3319"/>
      <c r="C3" s="3207" t="s">
        <v>5924</v>
      </c>
      <c r="D3" s="3327"/>
      <c r="E3" s="3328"/>
      <c r="F3" s="3318">
        <v>1002</v>
      </c>
      <c r="G3" s="3319"/>
      <c r="H3" s="3325" t="s">
        <v>5925</v>
      </c>
      <c r="I3" s="3326"/>
      <c r="J3" s="3314">
        <v>35.9</v>
      </c>
      <c r="K3" s="3315"/>
      <c r="L3" s="3208">
        <v>15.94</v>
      </c>
    </row>
    <row r="4" spans="1:12">
      <c r="A4" s="3318">
        <v>3</v>
      </c>
      <c r="B4" s="3319"/>
      <c r="C4" s="3207" t="s">
        <v>5924</v>
      </c>
      <c r="D4" s="3327"/>
      <c r="E4" s="3328"/>
      <c r="F4" s="3318">
        <v>1003</v>
      </c>
      <c r="G4" s="3319"/>
      <c r="H4" s="3325" t="s">
        <v>5925</v>
      </c>
      <c r="I4" s="3326"/>
      <c r="J4" s="3314">
        <v>35.9</v>
      </c>
      <c r="K4" s="3315"/>
      <c r="L4" s="3208">
        <v>15.94</v>
      </c>
    </row>
    <row r="5" spans="1:12">
      <c r="A5" s="3318">
        <v>4</v>
      </c>
      <c r="B5" s="3319"/>
      <c r="C5" s="3207" t="s">
        <v>5924</v>
      </c>
      <c r="D5" s="3327"/>
      <c r="E5" s="3328"/>
      <c r="F5" s="3318">
        <v>1004</v>
      </c>
      <c r="G5" s="3319"/>
      <c r="H5" s="3325" t="s">
        <v>5925</v>
      </c>
      <c r="I5" s="3326"/>
      <c r="J5" s="3314">
        <v>35.9</v>
      </c>
      <c r="K5" s="3315"/>
      <c r="L5" s="3208">
        <v>15.94</v>
      </c>
    </row>
    <row r="6" spans="1:12">
      <c r="A6" s="3318">
        <v>5</v>
      </c>
      <c r="B6" s="3319"/>
      <c r="C6" s="3207" t="s">
        <v>5924</v>
      </c>
      <c r="D6" s="3327"/>
      <c r="E6" s="3328"/>
      <c r="F6" s="3318">
        <v>1005</v>
      </c>
      <c r="G6" s="3319"/>
      <c r="H6" s="3325" t="s">
        <v>5925</v>
      </c>
      <c r="I6" s="3326"/>
      <c r="J6" s="3305">
        <v>37.39</v>
      </c>
      <c r="K6" s="3306"/>
      <c r="L6" s="3208">
        <v>16.600000000000001</v>
      </c>
    </row>
    <row r="7" spans="1:12">
      <c r="A7" s="3318">
        <v>6</v>
      </c>
      <c r="B7" s="3319"/>
      <c r="C7" s="3207" t="s">
        <v>5924</v>
      </c>
      <c r="D7" s="3327"/>
      <c r="E7" s="3328"/>
      <c r="F7" s="3318">
        <v>1006</v>
      </c>
      <c r="G7" s="3319"/>
      <c r="H7" s="3325" t="s">
        <v>5925</v>
      </c>
      <c r="I7" s="3326"/>
      <c r="J7" s="3305">
        <v>37.39</v>
      </c>
      <c r="K7" s="3306"/>
      <c r="L7" s="3208">
        <v>16.600000000000001</v>
      </c>
    </row>
    <row r="8" spans="1:12">
      <c r="A8" s="3318">
        <v>7</v>
      </c>
      <c r="B8" s="3319"/>
      <c r="C8" s="3207" t="s">
        <v>5924</v>
      </c>
      <c r="D8" s="3327"/>
      <c r="E8" s="3328"/>
      <c r="F8" s="3318">
        <v>1007</v>
      </c>
      <c r="G8" s="3319"/>
      <c r="H8" s="3325" t="s">
        <v>5925</v>
      </c>
      <c r="I8" s="3326"/>
      <c r="J8" s="3305">
        <v>37.39</v>
      </c>
      <c r="K8" s="3306"/>
      <c r="L8" s="3208">
        <v>16.600000000000001</v>
      </c>
    </row>
    <row r="9" spans="1:12">
      <c r="A9" s="3318">
        <v>8</v>
      </c>
      <c r="B9" s="3319"/>
      <c r="C9" s="3207" t="s">
        <v>5924</v>
      </c>
      <c r="D9" s="3327"/>
      <c r="E9" s="3328"/>
      <c r="F9" s="3318">
        <v>1008</v>
      </c>
      <c r="G9" s="3319"/>
      <c r="H9" s="3325" t="s">
        <v>5925</v>
      </c>
      <c r="I9" s="3326"/>
      <c r="J9" s="3305">
        <v>37.39</v>
      </c>
      <c r="K9" s="3306"/>
      <c r="L9" s="3208">
        <v>16.600000000000001</v>
      </c>
    </row>
    <row r="10" spans="1:12">
      <c r="A10" s="3318">
        <v>9</v>
      </c>
      <c r="B10" s="3319"/>
      <c r="C10" s="3207" t="s">
        <v>5924</v>
      </c>
      <c r="D10" s="3327"/>
      <c r="E10" s="3328"/>
      <c r="F10" s="3318">
        <v>1009</v>
      </c>
      <c r="G10" s="3319"/>
      <c r="H10" s="3325" t="s">
        <v>5925</v>
      </c>
      <c r="I10" s="3326"/>
      <c r="J10" s="3305">
        <v>37.39</v>
      </c>
      <c r="K10" s="3306"/>
      <c r="L10" s="3208">
        <v>16.600000000000001</v>
      </c>
    </row>
    <row r="11" spans="1:12">
      <c r="A11" s="3318">
        <v>10</v>
      </c>
      <c r="B11" s="3319"/>
      <c r="C11" s="3207" t="s">
        <v>5924</v>
      </c>
      <c r="D11" s="3327"/>
      <c r="E11" s="3328"/>
      <c r="F11" s="3318">
        <v>1010</v>
      </c>
      <c r="G11" s="3319"/>
      <c r="H11" s="3325" t="s">
        <v>5925</v>
      </c>
      <c r="I11" s="3326"/>
      <c r="J11" s="3305">
        <v>37.39</v>
      </c>
      <c r="K11" s="3306"/>
      <c r="L11" s="3208">
        <v>16.600000000000001</v>
      </c>
    </row>
    <row r="12" spans="1:12">
      <c r="A12" s="3318">
        <v>11</v>
      </c>
      <c r="B12" s="3319"/>
      <c r="C12" s="3207" t="s">
        <v>5924</v>
      </c>
      <c r="D12" s="3327"/>
      <c r="E12" s="3328"/>
      <c r="F12" s="3318">
        <v>1011</v>
      </c>
      <c r="G12" s="3319"/>
      <c r="H12" s="3325" t="s">
        <v>5925</v>
      </c>
      <c r="I12" s="3326"/>
      <c r="J12" s="3305">
        <v>37.39</v>
      </c>
      <c r="K12" s="3306"/>
      <c r="L12" s="3208">
        <v>16.600000000000001</v>
      </c>
    </row>
    <row r="13" spans="1:12">
      <c r="A13" s="3318">
        <v>12</v>
      </c>
      <c r="B13" s="3319"/>
      <c r="C13" s="3207" t="s">
        <v>5924</v>
      </c>
      <c r="D13" s="3327"/>
      <c r="E13" s="3328"/>
      <c r="F13" s="3318">
        <v>1012</v>
      </c>
      <c r="G13" s="3319"/>
      <c r="H13" s="3325" t="s">
        <v>5925</v>
      </c>
      <c r="I13" s="3326"/>
      <c r="J13" s="3305">
        <v>37.39</v>
      </c>
      <c r="K13" s="3306"/>
      <c r="L13" s="3208">
        <v>16.600000000000001</v>
      </c>
    </row>
    <row r="14" spans="1:12">
      <c r="A14" s="3318">
        <v>13</v>
      </c>
      <c r="B14" s="3319"/>
      <c r="C14" s="3207" t="s">
        <v>5924</v>
      </c>
      <c r="D14" s="3327"/>
      <c r="E14" s="3328"/>
      <c r="F14" s="3318">
        <v>1013</v>
      </c>
      <c r="G14" s="3319"/>
      <c r="H14" s="3325" t="s">
        <v>5925</v>
      </c>
      <c r="I14" s="3326"/>
      <c r="J14" s="3305">
        <v>37.39</v>
      </c>
      <c r="K14" s="3306"/>
      <c r="L14" s="3208">
        <v>16.600000000000001</v>
      </c>
    </row>
    <row r="15" spans="1:12">
      <c r="A15" s="3318">
        <v>14</v>
      </c>
      <c r="B15" s="3319"/>
      <c r="C15" s="3207" t="s">
        <v>5924</v>
      </c>
      <c r="D15" s="3327"/>
      <c r="E15" s="3328"/>
      <c r="F15" s="3318">
        <v>1014</v>
      </c>
      <c r="G15" s="3319"/>
      <c r="H15" s="3325" t="s">
        <v>5925</v>
      </c>
      <c r="I15" s="3326"/>
      <c r="J15" s="3314">
        <v>35.9</v>
      </c>
      <c r="K15" s="3315"/>
      <c r="L15" s="3208">
        <v>15.94</v>
      </c>
    </row>
    <row r="16" spans="1:12">
      <c r="A16" s="3318">
        <v>15</v>
      </c>
      <c r="B16" s="3319"/>
      <c r="C16" s="3207" t="s">
        <v>5924</v>
      </c>
      <c r="D16" s="3327"/>
      <c r="E16" s="3328"/>
      <c r="F16" s="3318">
        <v>1015</v>
      </c>
      <c r="G16" s="3319"/>
      <c r="H16" s="3325" t="s">
        <v>5925</v>
      </c>
      <c r="I16" s="3326"/>
      <c r="J16" s="3314">
        <v>35.9</v>
      </c>
      <c r="K16" s="3315"/>
      <c r="L16" s="3208">
        <v>15.94</v>
      </c>
    </row>
    <row r="17" spans="1:12">
      <c r="A17" s="3318">
        <v>16</v>
      </c>
      <c r="B17" s="3319"/>
      <c r="C17" s="3207" t="s">
        <v>5924</v>
      </c>
      <c r="D17" s="3327"/>
      <c r="E17" s="3328"/>
      <c r="F17" s="3318">
        <v>1016</v>
      </c>
      <c r="G17" s="3319"/>
      <c r="H17" s="3325" t="s">
        <v>5925</v>
      </c>
      <c r="I17" s="3326"/>
      <c r="J17" s="3314">
        <v>35.9</v>
      </c>
      <c r="K17" s="3315"/>
      <c r="L17" s="3208">
        <v>15.94</v>
      </c>
    </row>
    <row r="18" spans="1:12">
      <c r="A18" s="3318">
        <v>17</v>
      </c>
      <c r="B18" s="3319"/>
      <c r="C18" s="3207" t="s">
        <v>5924</v>
      </c>
      <c r="D18" s="3327"/>
      <c r="E18" s="3328"/>
      <c r="F18" s="3318">
        <v>1017</v>
      </c>
      <c r="G18" s="3319"/>
      <c r="H18" s="3325" t="s">
        <v>5925</v>
      </c>
      <c r="I18" s="3326"/>
      <c r="J18" s="3314">
        <v>35.9</v>
      </c>
      <c r="K18" s="3315"/>
      <c r="L18" s="3208">
        <v>15.94</v>
      </c>
    </row>
    <row r="19" spans="1:12">
      <c r="A19" s="3318">
        <v>18</v>
      </c>
      <c r="B19" s="3319"/>
      <c r="C19" s="3207" t="s">
        <v>5924</v>
      </c>
      <c r="D19" s="3327"/>
      <c r="E19" s="3328"/>
      <c r="F19" s="3318">
        <v>1018</v>
      </c>
      <c r="G19" s="3319"/>
      <c r="H19" s="3325" t="s">
        <v>5925</v>
      </c>
      <c r="I19" s="3326"/>
      <c r="J19" s="3305">
        <v>37.39</v>
      </c>
      <c r="K19" s="3306"/>
      <c r="L19" s="3208">
        <v>16.600000000000001</v>
      </c>
    </row>
    <row r="20" spans="1:12">
      <c r="A20" s="3318">
        <v>19</v>
      </c>
      <c r="B20" s="3319"/>
      <c r="C20" s="3207" t="s">
        <v>5924</v>
      </c>
      <c r="D20" s="3327"/>
      <c r="E20" s="3328"/>
      <c r="F20" s="3318">
        <v>1019</v>
      </c>
      <c r="G20" s="3319"/>
      <c r="H20" s="3325" t="s">
        <v>5925</v>
      </c>
      <c r="I20" s="3326"/>
      <c r="J20" s="3305">
        <v>37.39</v>
      </c>
      <c r="K20" s="3306"/>
      <c r="L20" s="3208">
        <v>16.600000000000001</v>
      </c>
    </row>
    <row r="21" spans="1:12">
      <c r="A21" s="3318">
        <v>20</v>
      </c>
      <c r="B21" s="3319"/>
      <c r="C21" s="3207" t="s">
        <v>5924</v>
      </c>
      <c r="D21" s="3327"/>
      <c r="E21" s="3328"/>
      <c r="F21" s="3318">
        <v>1020</v>
      </c>
      <c r="G21" s="3319"/>
      <c r="H21" s="3325" t="s">
        <v>5925</v>
      </c>
      <c r="I21" s="3326"/>
      <c r="J21" s="3305">
        <v>55.34</v>
      </c>
      <c r="K21" s="3306"/>
      <c r="L21" s="3208">
        <v>24.58</v>
      </c>
    </row>
    <row r="22" spans="1:12">
      <c r="A22" s="3318">
        <v>21</v>
      </c>
      <c r="B22" s="3319"/>
      <c r="C22" s="3207" t="s">
        <v>5924</v>
      </c>
      <c r="D22" s="3327"/>
      <c r="E22" s="3328"/>
      <c r="F22" s="3318">
        <v>1021</v>
      </c>
      <c r="G22" s="3319"/>
      <c r="H22" s="3325" t="s">
        <v>5925</v>
      </c>
      <c r="I22" s="3326"/>
      <c r="J22" s="3314">
        <v>35.9</v>
      </c>
      <c r="K22" s="3315"/>
      <c r="L22" s="3208">
        <v>15.94</v>
      </c>
    </row>
    <row r="23" spans="1:12">
      <c r="A23" s="3318">
        <v>22</v>
      </c>
      <c r="B23" s="3319"/>
      <c r="C23" s="3207" t="s">
        <v>5924</v>
      </c>
      <c r="D23" s="3327"/>
      <c r="E23" s="3328"/>
      <c r="F23" s="3318">
        <v>1022</v>
      </c>
      <c r="G23" s="3319"/>
      <c r="H23" s="3325" t="s">
        <v>5925</v>
      </c>
      <c r="I23" s="3326"/>
      <c r="J23" s="3314">
        <v>35.9</v>
      </c>
      <c r="K23" s="3315"/>
      <c r="L23" s="3208">
        <v>15.94</v>
      </c>
    </row>
    <row r="24" spans="1:12">
      <c r="A24" s="3318">
        <v>23</v>
      </c>
      <c r="B24" s="3319"/>
      <c r="C24" s="3207" t="s">
        <v>5924</v>
      </c>
      <c r="D24" s="3327"/>
      <c r="E24" s="3328"/>
      <c r="F24" s="3318">
        <v>1023</v>
      </c>
      <c r="G24" s="3319"/>
      <c r="H24" s="3325" t="s">
        <v>5925</v>
      </c>
      <c r="I24" s="3326"/>
      <c r="J24" s="3305">
        <v>37.39</v>
      </c>
      <c r="K24" s="3306"/>
      <c r="L24" s="3208">
        <v>16.600000000000001</v>
      </c>
    </row>
    <row r="25" spans="1:12">
      <c r="A25" s="3318">
        <v>24</v>
      </c>
      <c r="B25" s="3319"/>
      <c r="C25" s="3207" t="s">
        <v>5924</v>
      </c>
      <c r="D25" s="3327"/>
      <c r="E25" s="3328"/>
      <c r="F25" s="3318">
        <v>1024</v>
      </c>
      <c r="G25" s="3319"/>
      <c r="H25" s="3325" t="s">
        <v>5925</v>
      </c>
      <c r="I25" s="3326"/>
      <c r="J25" s="3305">
        <v>37.39</v>
      </c>
      <c r="K25" s="3306"/>
      <c r="L25" s="3208">
        <v>16.600000000000001</v>
      </c>
    </row>
    <row r="26" spans="1:12">
      <c r="A26" s="3318">
        <v>25</v>
      </c>
      <c r="B26" s="3319"/>
      <c r="C26" s="3207" t="s">
        <v>5924</v>
      </c>
      <c r="D26" s="3327"/>
      <c r="E26" s="3328"/>
      <c r="F26" s="3318">
        <v>1027</v>
      </c>
      <c r="G26" s="3319"/>
      <c r="H26" s="3325" t="s">
        <v>5925</v>
      </c>
      <c r="I26" s="3326"/>
      <c r="J26" s="3314">
        <v>35.9</v>
      </c>
      <c r="K26" s="3315"/>
      <c r="L26" s="3208">
        <v>15.94</v>
      </c>
    </row>
    <row r="27" spans="1:12">
      <c r="A27" s="3318">
        <v>26</v>
      </c>
      <c r="B27" s="3319"/>
      <c r="C27" s="3207" t="s">
        <v>5924</v>
      </c>
      <c r="D27" s="3327"/>
      <c r="E27" s="3328"/>
      <c r="F27" s="3318">
        <v>1028</v>
      </c>
      <c r="G27" s="3319"/>
      <c r="H27" s="3325" t="s">
        <v>5925</v>
      </c>
      <c r="I27" s="3326"/>
      <c r="J27" s="3314">
        <v>35.9</v>
      </c>
      <c r="K27" s="3315"/>
      <c r="L27" s="3208">
        <v>15.94</v>
      </c>
    </row>
    <row r="28" spans="1:12">
      <c r="A28" s="3318">
        <v>27</v>
      </c>
      <c r="B28" s="3319"/>
      <c r="C28" s="3207" t="s">
        <v>5924</v>
      </c>
      <c r="D28" s="3327"/>
      <c r="E28" s="3328"/>
      <c r="F28" s="3318">
        <v>1031</v>
      </c>
      <c r="G28" s="3319"/>
      <c r="H28" s="3325" t="s">
        <v>5925</v>
      </c>
      <c r="I28" s="3326"/>
      <c r="J28" s="3305">
        <v>37.39</v>
      </c>
      <c r="K28" s="3306"/>
      <c r="L28" s="3208">
        <v>16.600000000000001</v>
      </c>
    </row>
    <row r="29" spans="1:12">
      <c r="A29" s="3318">
        <v>28</v>
      </c>
      <c r="B29" s="3319"/>
      <c r="C29" s="3207" t="s">
        <v>5924</v>
      </c>
      <c r="D29" s="3327"/>
      <c r="E29" s="3328"/>
      <c r="F29" s="3318">
        <v>1032</v>
      </c>
      <c r="G29" s="3319"/>
      <c r="H29" s="3325" t="s">
        <v>5925</v>
      </c>
      <c r="I29" s="3326"/>
      <c r="J29" s="3305">
        <v>37.39</v>
      </c>
      <c r="K29" s="3306"/>
      <c r="L29" s="3208">
        <v>16.600000000000001</v>
      </c>
    </row>
    <row r="30" spans="1:12">
      <c r="A30" s="3318">
        <v>29</v>
      </c>
      <c r="B30" s="3319"/>
      <c r="C30" s="3207" t="s">
        <v>5924</v>
      </c>
      <c r="D30" s="3327"/>
      <c r="E30" s="3328"/>
      <c r="F30" s="3318">
        <v>1034</v>
      </c>
      <c r="G30" s="3319"/>
      <c r="H30" s="3325" t="s">
        <v>5925</v>
      </c>
      <c r="I30" s="3326"/>
      <c r="J30" s="3305">
        <v>37.39</v>
      </c>
      <c r="K30" s="3306"/>
      <c r="L30" s="3208">
        <v>16.600000000000001</v>
      </c>
    </row>
    <row r="31" spans="1:12">
      <c r="A31" s="3318">
        <v>30</v>
      </c>
      <c r="B31" s="3319"/>
      <c r="C31" s="3207" t="s">
        <v>5924</v>
      </c>
      <c r="D31" s="3327"/>
      <c r="E31" s="3328"/>
      <c r="F31" s="3318">
        <v>1035</v>
      </c>
      <c r="G31" s="3319"/>
      <c r="H31" s="3325" t="s">
        <v>5925</v>
      </c>
      <c r="I31" s="3326"/>
      <c r="J31" s="3305">
        <v>37.39</v>
      </c>
      <c r="K31" s="3306"/>
      <c r="L31" s="3208">
        <v>16.600000000000001</v>
      </c>
    </row>
    <row r="32" spans="1:12">
      <c r="A32" s="3318">
        <v>31</v>
      </c>
      <c r="B32" s="3319"/>
      <c r="C32" s="3207" t="s">
        <v>5924</v>
      </c>
      <c r="D32" s="3327"/>
      <c r="E32" s="3328"/>
      <c r="F32" s="3318">
        <v>1036</v>
      </c>
      <c r="G32" s="3319"/>
      <c r="H32" s="3325" t="s">
        <v>5925</v>
      </c>
      <c r="I32" s="3326"/>
      <c r="J32" s="3305">
        <v>37.39</v>
      </c>
      <c r="K32" s="3306"/>
      <c r="L32" s="3208">
        <v>16.600000000000001</v>
      </c>
    </row>
    <row r="33" spans="1:12">
      <c r="A33" s="3318">
        <v>32</v>
      </c>
      <c r="B33" s="3319"/>
      <c r="C33" s="3207" t="s">
        <v>5924</v>
      </c>
      <c r="D33" s="3327"/>
      <c r="E33" s="3328"/>
      <c r="F33" s="3318">
        <v>1037</v>
      </c>
      <c r="G33" s="3319"/>
      <c r="H33" s="3325" t="s">
        <v>5925</v>
      </c>
      <c r="I33" s="3326"/>
      <c r="J33" s="3305">
        <v>37.39</v>
      </c>
      <c r="K33" s="3306"/>
      <c r="L33" s="3208">
        <v>16.600000000000001</v>
      </c>
    </row>
    <row r="34" spans="1:12">
      <c r="A34" s="3318">
        <v>33</v>
      </c>
      <c r="B34" s="3319"/>
      <c r="C34" s="3207" t="s">
        <v>5924</v>
      </c>
      <c r="D34" s="3327"/>
      <c r="E34" s="3328"/>
      <c r="F34" s="3318">
        <v>1038</v>
      </c>
      <c r="G34" s="3319"/>
      <c r="H34" s="3325" t="s">
        <v>5925</v>
      </c>
      <c r="I34" s="3326"/>
      <c r="J34" s="3305">
        <v>37.39</v>
      </c>
      <c r="K34" s="3306"/>
      <c r="L34" s="3208">
        <v>16.600000000000001</v>
      </c>
    </row>
    <row r="35" spans="1:12">
      <c r="A35" s="3318">
        <v>34</v>
      </c>
      <c r="B35" s="3319"/>
      <c r="C35" s="3207" t="s">
        <v>5924</v>
      </c>
      <c r="D35" s="3327"/>
      <c r="E35" s="3328"/>
      <c r="F35" s="3318">
        <v>1040</v>
      </c>
      <c r="G35" s="3319"/>
      <c r="H35" s="3325" t="s">
        <v>5925</v>
      </c>
      <c r="I35" s="3326"/>
      <c r="J35" s="3305">
        <v>37.39</v>
      </c>
      <c r="K35" s="3306"/>
      <c r="L35" s="3208">
        <v>16.600000000000001</v>
      </c>
    </row>
    <row r="36" spans="1:12">
      <c r="A36" s="3318">
        <v>35</v>
      </c>
      <c r="B36" s="3319"/>
      <c r="C36" s="3207" t="s">
        <v>5924</v>
      </c>
      <c r="D36" s="3327"/>
      <c r="E36" s="3328"/>
      <c r="F36" s="3318">
        <v>1041</v>
      </c>
      <c r="G36" s="3319"/>
      <c r="H36" s="3325" t="s">
        <v>5925</v>
      </c>
      <c r="I36" s="3326"/>
      <c r="J36" s="3305">
        <v>37.39</v>
      </c>
      <c r="K36" s="3306"/>
      <c r="L36" s="3208">
        <v>16.600000000000001</v>
      </c>
    </row>
    <row r="37" spans="1:12">
      <c r="A37" s="3318">
        <v>36</v>
      </c>
      <c r="B37" s="3319"/>
      <c r="C37" s="3207" t="s">
        <v>5924</v>
      </c>
      <c r="D37" s="3327"/>
      <c r="E37" s="3328"/>
      <c r="F37" s="3318">
        <v>1044</v>
      </c>
      <c r="G37" s="3319"/>
      <c r="H37" s="3325" t="s">
        <v>5925</v>
      </c>
      <c r="I37" s="3326"/>
      <c r="J37" s="3305">
        <v>37.39</v>
      </c>
      <c r="K37" s="3306"/>
      <c r="L37" s="3208">
        <v>16.600000000000001</v>
      </c>
    </row>
    <row r="38" spans="1:12">
      <c r="A38" s="3318">
        <v>37</v>
      </c>
      <c r="B38" s="3319"/>
      <c r="C38" s="3207" t="s">
        <v>5924</v>
      </c>
      <c r="D38" s="3327"/>
      <c r="E38" s="3328"/>
      <c r="F38" s="3318">
        <v>1045</v>
      </c>
      <c r="G38" s="3319"/>
      <c r="H38" s="3325" t="s">
        <v>5925</v>
      </c>
      <c r="I38" s="3326"/>
      <c r="J38" s="3305">
        <v>37.39</v>
      </c>
      <c r="K38" s="3306"/>
      <c r="L38" s="3208">
        <v>16.600000000000001</v>
      </c>
    </row>
    <row r="39" spans="1:12">
      <c r="A39" s="3318">
        <v>38</v>
      </c>
      <c r="B39" s="3319"/>
      <c r="C39" s="3207" t="s">
        <v>5924</v>
      </c>
      <c r="D39" s="3327"/>
      <c r="E39" s="3328"/>
      <c r="F39" s="3318">
        <v>1046</v>
      </c>
      <c r="G39" s="3319"/>
      <c r="H39" s="3333" t="s">
        <v>5925</v>
      </c>
      <c r="I39" s="3334"/>
      <c r="J39" s="3305">
        <v>37.39</v>
      </c>
      <c r="K39" s="3306"/>
      <c r="L39" s="3208">
        <v>16.600000000000001</v>
      </c>
    </row>
    <row r="40" spans="1:12">
      <c r="A40" s="3318">
        <v>39</v>
      </c>
      <c r="B40" s="3319"/>
      <c r="C40" s="3207" t="s">
        <v>5924</v>
      </c>
      <c r="D40" s="3327"/>
      <c r="E40" s="3328"/>
      <c r="F40" s="3318">
        <v>1047</v>
      </c>
      <c r="G40" s="3319"/>
      <c r="H40" s="3333" t="s">
        <v>5925</v>
      </c>
      <c r="I40" s="3334"/>
      <c r="J40" s="3305">
        <v>37.39</v>
      </c>
      <c r="K40" s="3306"/>
      <c r="L40" s="3208">
        <v>16.600000000000001</v>
      </c>
    </row>
    <row r="41" spans="1:12">
      <c r="A41" s="3318">
        <v>40</v>
      </c>
      <c r="B41" s="3319"/>
      <c r="C41" s="3207" t="s">
        <v>5924</v>
      </c>
      <c r="D41" s="3327"/>
      <c r="E41" s="3328"/>
      <c r="F41" s="3318">
        <v>1048</v>
      </c>
      <c r="G41" s="3319"/>
      <c r="H41" s="3333" t="s">
        <v>5925</v>
      </c>
      <c r="I41" s="3334"/>
      <c r="J41" s="3305">
        <v>37.39</v>
      </c>
      <c r="K41" s="3306"/>
      <c r="L41" s="3208">
        <v>16.600000000000001</v>
      </c>
    </row>
    <row r="42" spans="1:12">
      <c r="A42" s="3318">
        <v>41</v>
      </c>
      <c r="B42" s="3319"/>
      <c r="C42" s="3207" t="s">
        <v>5924</v>
      </c>
      <c r="D42" s="3327"/>
      <c r="E42" s="3328"/>
      <c r="F42" s="3318">
        <v>1049</v>
      </c>
      <c r="G42" s="3319"/>
      <c r="H42" s="3333" t="s">
        <v>5925</v>
      </c>
      <c r="I42" s="3334"/>
      <c r="J42" s="3305">
        <v>37.39</v>
      </c>
      <c r="K42" s="3306"/>
      <c r="L42" s="3208">
        <v>16.600000000000001</v>
      </c>
    </row>
    <row r="43" spans="1:12">
      <c r="A43" s="3318">
        <v>42</v>
      </c>
      <c r="B43" s="3319"/>
      <c r="C43" s="3207" t="s">
        <v>5924</v>
      </c>
      <c r="D43" s="3327"/>
      <c r="E43" s="3328"/>
      <c r="F43" s="3318">
        <v>1050</v>
      </c>
      <c r="G43" s="3319"/>
      <c r="H43" s="3333" t="s">
        <v>5925</v>
      </c>
      <c r="I43" s="3334"/>
      <c r="J43" s="3305">
        <v>37.39</v>
      </c>
      <c r="K43" s="3306"/>
      <c r="L43" s="3208">
        <v>16.600000000000001</v>
      </c>
    </row>
    <row r="44" spans="1:12">
      <c r="A44" s="3318">
        <v>43</v>
      </c>
      <c r="B44" s="3319"/>
      <c r="C44" s="3207" t="s">
        <v>5924</v>
      </c>
      <c r="D44" s="3327"/>
      <c r="E44" s="3328"/>
      <c r="F44" s="3318">
        <v>1057</v>
      </c>
      <c r="G44" s="3319"/>
      <c r="H44" s="3333" t="s">
        <v>5925</v>
      </c>
      <c r="I44" s="3334"/>
      <c r="J44" s="3305">
        <v>37.39</v>
      </c>
      <c r="K44" s="3306"/>
      <c r="L44" s="3208">
        <v>16.600000000000001</v>
      </c>
    </row>
    <row r="45" spans="1:12">
      <c r="A45" s="3318">
        <v>44</v>
      </c>
      <c r="B45" s="3319"/>
      <c r="C45" s="3207" t="s">
        <v>5924</v>
      </c>
      <c r="D45" s="3327"/>
      <c r="E45" s="3328"/>
      <c r="F45" s="3318">
        <v>1058</v>
      </c>
      <c r="G45" s="3319"/>
      <c r="H45" s="3333" t="s">
        <v>5925</v>
      </c>
      <c r="I45" s="3334"/>
      <c r="J45" s="3305">
        <v>37.39</v>
      </c>
      <c r="K45" s="3306"/>
      <c r="L45" s="3208">
        <v>16.600000000000001</v>
      </c>
    </row>
    <row r="46" spans="1:12">
      <c r="A46" s="3318">
        <v>45</v>
      </c>
      <c r="B46" s="3319"/>
      <c r="C46" s="3207" t="s">
        <v>5924</v>
      </c>
      <c r="D46" s="3327"/>
      <c r="E46" s="3328"/>
      <c r="F46" s="3318">
        <v>1059</v>
      </c>
      <c r="G46" s="3319"/>
      <c r="H46" s="3333" t="s">
        <v>5925</v>
      </c>
      <c r="I46" s="3334"/>
      <c r="J46" s="3305">
        <v>37.39</v>
      </c>
      <c r="K46" s="3306"/>
      <c r="L46" s="3208">
        <v>16.600000000000001</v>
      </c>
    </row>
    <row r="47" spans="1:12">
      <c r="A47" s="3318">
        <v>46</v>
      </c>
      <c r="B47" s="3319"/>
      <c r="C47" s="3207" t="s">
        <v>5924</v>
      </c>
      <c r="D47" s="3327"/>
      <c r="E47" s="3328"/>
      <c r="F47" s="3318">
        <v>1060</v>
      </c>
      <c r="G47" s="3319"/>
      <c r="H47" s="3333" t="s">
        <v>5925</v>
      </c>
      <c r="I47" s="3334"/>
      <c r="J47" s="3305">
        <v>37.39</v>
      </c>
      <c r="K47" s="3306"/>
      <c r="L47" s="3208">
        <v>16.600000000000001</v>
      </c>
    </row>
    <row r="48" spans="1:12">
      <c r="A48" s="3318">
        <v>47</v>
      </c>
      <c r="B48" s="3319"/>
      <c r="C48" s="3207" t="s">
        <v>5924</v>
      </c>
      <c r="D48" s="3327"/>
      <c r="E48" s="3328"/>
      <c r="F48" s="3318">
        <v>1061</v>
      </c>
      <c r="G48" s="3319"/>
      <c r="H48" s="3333" t="s">
        <v>5925</v>
      </c>
      <c r="I48" s="3334"/>
      <c r="J48" s="3305">
        <v>37.39</v>
      </c>
      <c r="K48" s="3306"/>
      <c r="L48" s="3208">
        <v>16.600000000000001</v>
      </c>
    </row>
    <row r="49" spans="1:12">
      <c r="A49" s="3318">
        <v>48</v>
      </c>
      <c r="B49" s="3319"/>
      <c r="C49" s="3207" t="s">
        <v>5924</v>
      </c>
      <c r="D49" s="3327"/>
      <c r="E49" s="3328"/>
      <c r="F49" s="3318">
        <v>1062</v>
      </c>
      <c r="G49" s="3319"/>
      <c r="H49" s="3333" t="s">
        <v>5925</v>
      </c>
      <c r="I49" s="3334"/>
      <c r="J49" s="3305">
        <v>37.39</v>
      </c>
      <c r="K49" s="3306"/>
      <c r="L49" s="3208">
        <v>16.600000000000001</v>
      </c>
    </row>
    <row r="50" spans="1:12">
      <c r="A50" s="3318">
        <v>49</v>
      </c>
      <c r="B50" s="3319"/>
      <c r="C50" s="3207" t="s">
        <v>5924</v>
      </c>
      <c r="D50" s="3327"/>
      <c r="E50" s="3328"/>
      <c r="F50" s="3318">
        <v>1063</v>
      </c>
      <c r="G50" s="3319"/>
      <c r="H50" s="3333" t="s">
        <v>5925</v>
      </c>
      <c r="I50" s="3334"/>
      <c r="J50" s="3305">
        <v>37.39</v>
      </c>
      <c r="K50" s="3306"/>
      <c r="L50" s="3208">
        <v>16.600000000000001</v>
      </c>
    </row>
    <row r="51" spans="1:12">
      <c r="A51" s="3318">
        <v>50</v>
      </c>
      <c r="B51" s="3319"/>
      <c r="C51" s="3207" t="s">
        <v>5924</v>
      </c>
      <c r="D51" s="3327"/>
      <c r="E51" s="3328"/>
      <c r="F51" s="3318">
        <v>1064</v>
      </c>
      <c r="G51" s="3319"/>
      <c r="H51" s="3333" t="s">
        <v>5925</v>
      </c>
      <c r="I51" s="3334"/>
      <c r="J51" s="3305">
        <v>37.39</v>
      </c>
      <c r="K51" s="3306"/>
      <c r="L51" s="3208">
        <v>16.600000000000001</v>
      </c>
    </row>
    <row r="52" spans="1:12">
      <c r="A52" s="3318">
        <v>51</v>
      </c>
      <c r="B52" s="3319"/>
      <c r="C52" s="3207" t="s">
        <v>5924</v>
      </c>
      <c r="D52" s="3327"/>
      <c r="E52" s="3328"/>
      <c r="F52" s="3318">
        <v>1065</v>
      </c>
      <c r="G52" s="3319"/>
      <c r="H52" s="3333" t="s">
        <v>5925</v>
      </c>
      <c r="I52" s="3334"/>
      <c r="J52" s="3305">
        <v>37.39</v>
      </c>
      <c r="K52" s="3306"/>
      <c r="L52" s="3208">
        <v>16.600000000000001</v>
      </c>
    </row>
    <row r="53" spans="1:12">
      <c r="A53" s="3318">
        <v>52</v>
      </c>
      <c r="B53" s="3319"/>
      <c r="C53" s="3207" t="s">
        <v>5924</v>
      </c>
      <c r="D53" s="3327"/>
      <c r="E53" s="3328"/>
      <c r="F53" s="3318">
        <v>1067</v>
      </c>
      <c r="G53" s="3319"/>
      <c r="H53" s="3333" t="s">
        <v>5925</v>
      </c>
      <c r="I53" s="3334"/>
      <c r="J53" s="3305">
        <v>37.39</v>
      </c>
      <c r="K53" s="3306"/>
      <c r="L53" s="3208">
        <v>16.600000000000001</v>
      </c>
    </row>
    <row r="54" spans="1:12">
      <c r="A54" s="3318">
        <v>53</v>
      </c>
      <c r="B54" s="3319"/>
      <c r="C54" s="3207" t="s">
        <v>5924</v>
      </c>
      <c r="D54" s="3327"/>
      <c r="E54" s="3328"/>
      <c r="F54" s="3318">
        <v>1069</v>
      </c>
      <c r="G54" s="3319"/>
      <c r="H54" s="3333" t="s">
        <v>5925</v>
      </c>
      <c r="I54" s="3334"/>
      <c r="J54" s="3305">
        <v>37.39</v>
      </c>
      <c r="K54" s="3306"/>
      <c r="L54" s="3208">
        <v>16.600000000000001</v>
      </c>
    </row>
    <row r="55" spans="1:12">
      <c r="A55" s="3318">
        <v>54</v>
      </c>
      <c r="B55" s="3319"/>
      <c r="C55" s="3207" t="s">
        <v>5924</v>
      </c>
      <c r="D55" s="3327"/>
      <c r="E55" s="3328"/>
      <c r="F55" s="3318">
        <v>1070</v>
      </c>
      <c r="G55" s="3319"/>
      <c r="H55" s="3333" t="s">
        <v>5925</v>
      </c>
      <c r="I55" s="3334"/>
      <c r="J55" s="3305">
        <v>37.39</v>
      </c>
      <c r="K55" s="3306"/>
      <c r="L55" s="3208">
        <v>16.600000000000001</v>
      </c>
    </row>
    <row r="56" spans="1:12">
      <c r="A56" s="3318">
        <v>55</v>
      </c>
      <c r="B56" s="3319"/>
      <c r="C56" s="3207" t="s">
        <v>5924</v>
      </c>
      <c r="D56" s="3327"/>
      <c r="E56" s="3328"/>
      <c r="F56" s="3318">
        <v>1074</v>
      </c>
      <c r="G56" s="3319"/>
      <c r="H56" s="3333" t="s">
        <v>5925</v>
      </c>
      <c r="I56" s="3334"/>
      <c r="J56" s="3305">
        <v>37.39</v>
      </c>
      <c r="K56" s="3306"/>
      <c r="L56" s="3208">
        <v>16.600000000000001</v>
      </c>
    </row>
    <row r="57" spans="1:12">
      <c r="A57" s="3318">
        <v>56</v>
      </c>
      <c r="B57" s="3319"/>
      <c r="C57" s="3207" t="s">
        <v>5924</v>
      </c>
      <c r="D57" s="3327"/>
      <c r="E57" s="3328"/>
      <c r="F57" s="3318">
        <v>1075</v>
      </c>
      <c r="G57" s="3319"/>
      <c r="H57" s="3333" t="s">
        <v>5925</v>
      </c>
      <c r="I57" s="3334"/>
      <c r="J57" s="3305">
        <v>37.39</v>
      </c>
      <c r="K57" s="3306"/>
      <c r="L57" s="3208">
        <v>16.600000000000001</v>
      </c>
    </row>
    <row r="58" spans="1:12">
      <c r="A58" s="3318">
        <v>57</v>
      </c>
      <c r="B58" s="3319"/>
      <c r="C58" s="3207" t="s">
        <v>5924</v>
      </c>
      <c r="D58" s="3327"/>
      <c r="E58" s="3328"/>
      <c r="F58" s="3318">
        <v>1076</v>
      </c>
      <c r="G58" s="3319"/>
      <c r="H58" s="3333" t="s">
        <v>5925</v>
      </c>
      <c r="I58" s="3334"/>
      <c r="J58" s="3305">
        <v>37.39</v>
      </c>
      <c r="K58" s="3306"/>
      <c r="L58" s="3208">
        <v>16.600000000000001</v>
      </c>
    </row>
    <row r="59" spans="1:12">
      <c r="A59" s="3318">
        <v>58</v>
      </c>
      <c r="B59" s="3319"/>
      <c r="C59" s="3207" t="s">
        <v>5924</v>
      </c>
      <c r="D59" s="3327"/>
      <c r="E59" s="3328"/>
      <c r="F59" s="3318">
        <v>1077</v>
      </c>
      <c r="G59" s="3319"/>
      <c r="H59" s="3333" t="s">
        <v>5925</v>
      </c>
      <c r="I59" s="3334"/>
      <c r="J59" s="3305">
        <v>37.39</v>
      </c>
      <c r="K59" s="3306"/>
      <c r="L59" s="3208">
        <v>16.600000000000001</v>
      </c>
    </row>
    <row r="60" spans="1:12">
      <c r="A60" s="3318">
        <v>59</v>
      </c>
      <c r="B60" s="3319"/>
      <c r="C60" s="3207" t="s">
        <v>5924</v>
      </c>
      <c r="D60" s="3327"/>
      <c r="E60" s="3328"/>
      <c r="F60" s="3318">
        <v>1080</v>
      </c>
      <c r="G60" s="3319"/>
      <c r="H60" s="3333" t="s">
        <v>5925</v>
      </c>
      <c r="I60" s="3334"/>
      <c r="J60" s="3305">
        <v>37.39</v>
      </c>
      <c r="K60" s="3306"/>
      <c r="L60" s="3208">
        <v>16.600000000000001</v>
      </c>
    </row>
    <row r="61" spans="1:12">
      <c r="A61" s="3318">
        <v>60</v>
      </c>
      <c r="B61" s="3319"/>
      <c r="C61" s="3207" t="s">
        <v>5924</v>
      </c>
      <c r="D61" s="3327"/>
      <c r="E61" s="3328"/>
      <c r="F61" s="3318">
        <v>1081</v>
      </c>
      <c r="G61" s="3319"/>
      <c r="H61" s="3333" t="s">
        <v>5925</v>
      </c>
      <c r="I61" s="3334"/>
      <c r="J61" s="3305">
        <v>37.39</v>
      </c>
      <c r="K61" s="3306"/>
      <c r="L61" s="3208">
        <v>16.600000000000001</v>
      </c>
    </row>
    <row r="62" spans="1:12">
      <c r="A62" s="3318">
        <v>61</v>
      </c>
      <c r="B62" s="3319"/>
      <c r="C62" s="3207" t="s">
        <v>5924</v>
      </c>
      <c r="D62" s="3327"/>
      <c r="E62" s="3328"/>
      <c r="F62" s="3318">
        <v>1082</v>
      </c>
      <c r="G62" s="3319"/>
      <c r="H62" s="3333" t="s">
        <v>5925</v>
      </c>
      <c r="I62" s="3334"/>
      <c r="J62" s="3305">
        <v>37.39</v>
      </c>
      <c r="K62" s="3306"/>
      <c r="L62" s="3208">
        <v>16.600000000000001</v>
      </c>
    </row>
    <row r="63" spans="1:12">
      <c r="A63" s="3318">
        <v>62</v>
      </c>
      <c r="B63" s="3319"/>
      <c r="C63" s="3207" t="s">
        <v>5924</v>
      </c>
      <c r="D63" s="3327"/>
      <c r="E63" s="3328"/>
      <c r="F63" s="3318">
        <v>1083</v>
      </c>
      <c r="G63" s="3319"/>
      <c r="H63" s="3333" t="s">
        <v>5925</v>
      </c>
      <c r="I63" s="3334"/>
      <c r="J63" s="3305">
        <v>37.39</v>
      </c>
      <c r="K63" s="3306"/>
      <c r="L63" s="3208">
        <v>16.600000000000001</v>
      </c>
    </row>
    <row r="64" spans="1:12">
      <c r="A64" s="3318">
        <v>63</v>
      </c>
      <c r="B64" s="3319"/>
      <c r="C64" s="3207" t="s">
        <v>5924</v>
      </c>
      <c r="D64" s="3327"/>
      <c r="E64" s="3328"/>
      <c r="F64" s="3318">
        <v>1084</v>
      </c>
      <c r="G64" s="3319"/>
      <c r="H64" s="3333" t="s">
        <v>5925</v>
      </c>
      <c r="I64" s="3334"/>
      <c r="J64" s="3305">
        <v>37.39</v>
      </c>
      <c r="K64" s="3306"/>
      <c r="L64" s="3208">
        <v>16.600000000000001</v>
      </c>
    </row>
    <row r="65" spans="1:12">
      <c r="A65" s="3318">
        <v>64</v>
      </c>
      <c r="B65" s="3319"/>
      <c r="C65" s="3207" t="s">
        <v>5924</v>
      </c>
      <c r="D65" s="3327"/>
      <c r="E65" s="3328"/>
      <c r="F65" s="3318">
        <v>1086</v>
      </c>
      <c r="G65" s="3319"/>
      <c r="H65" s="3333" t="s">
        <v>5925</v>
      </c>
      <c r="I65" s="3334"/>
      <c r="J65" s="3305">
        <v>37.39</v>
      </c>
      <c r="K65" s="3306"/>
      <c r="L65" s="3208">
        <v>16.600000000000001</v>
      </c>
    </row>
    <row r="66" spans="1:12">
      <c r="A66" s="3318">
        <v>65</v>
      </c>
      <c r="B66" s="3319"/>
      <c r="C66" s="3207" t="s">
        <v>5924</v>
      </c>
      <c r="D66" s="3327"/>
      <c r="E66" s="3328"/>
      <c r="F66" s="3318">
        <v>1087</v>
      </c>
      <c r="G66" s="3319"/>
      <c r="H66" s="3333" t="s">
        <v>5925</v>
      </c>
      <c r="I66" s="3334"/>
      <c r="J66" s="3314">
        <v>35.9</v>
      </c>
      <c r="K66" s="3315"/>
      <c r="L66" s="3208">
        <v>15.94</v>
      </c>
    </row>
    <row r="67" spans="1:12">
      <c r="A67" s="3318">
        <v>66</v>
      </c>
      <c r="B67" s="3319"/>
      <c r="C67" s="3207" t="s">
        <v>5924</v>
      </c>
      <c r="D67" s="3327"/>
      <c r="E67" s="3328"/>
      <c r="F67" s="3318">
        <v>1088</v>
      </c>
      <c r="G67" s="3319"/>
      <c r="H67" s="3333" t="s">
        <v>5925</v>
      </c>
      <c r="I67" s="3334"/>
      <c r="J67" s="3314">
        <v>35.9</v>
      </c>
      <c r="K67" s="3315"/>
      <c r="L67" s="3208">
        <v>15.94</v>
      </c>
    </row>
    <row r="68" spans="1:12">
      <c r="A68" s="3318">
        <v>67</v>
      </c>
      <c r="B68" s="3319"/>
      <c r="C68" s="3207" t="s">
        <v>5924</v>
      </c>
      <c r="D68" s="3327"/>
      <c r="E68" s="3328"/>
      <c r="F68" s="3318">
        <v>1089</v>
      </c>
      <c r="G68" s="3319"/>
      <c r="H68" s="3333" t="s">
        <v>5925</v>
      </c>
      <c r="I68" s="3334"/>
      <c r="J68" s="3314">
        <v>35.9</v>
      </c>
      <c r="K68" s="3315"/>
      <c r="L68" s="3208">
        <v>15.94</v>
      </c>
    </row>
    <row r="69" spans="1:12">
      <c r="A69" s="3318">
        <v>68</v>
      </c>
      <c r="B69" s="3319"/>
      <c r="C69" s="3207" t="s">
        <v>5924</v>
      </c>
      <c r="D69" s="3327"/>
      <c r="E69" s="3328"/>
      <c r="F69" s="3318">
        <v>1090</v>
      </c>
      <c r="G69" s="3319"/>
      <c r="H69" s="3333" t="s">
        <v>5925</v>
      </c>
      <c r="I69" s="3334"/>
      <c r="J69" s="3314">
        <v>35.9</v>
      </c>
      <c r="K69" s="3315"/>
      <c r="L69" s="3208">
        <v>15.94</v>
      </c>
    </row>
    <row r="70" spans="1:12">
      <c r="A70" s="3318">
        <v>69</v>
      </c>
      <c r="B70" s="3319"/>
      <c r="C70" s="3207" t="s">
        <v>5924</v>
      </c>
      <c r="D70" s="3327"/>
      <c r="E70" s="3328"/>
      <c r="F70" s="3318">
        <v>1091</v>
      </c>
      <c r="G70" s="3319"/>
      <c r="H70" s="3333" t="s">
        <v>5925</v>
      </c>
      <c r="I70" s="3334"/>
      <c r="J70" s="3305">
        <v>37.39</v>
      </c>
      <c r="K70" s="3306"/>
      <c r="L70" s="3208">
        <v>16.600000000000001</v>
      </c>
    </row>
    <row r="71" spans="1:12">
      <c r="A71" s="3318">
        <v>70</v>
      </c>
      <c r="B71" s="3319"/>
      <c r="C71" s="3207" t="s">
        <v>5924</v>
      </c>
      <c r="D71" s="3327"/>
      <c r="E71" s="3328"/>
      <c r="F71" s="3318">
        <v>1092</v>
      </c>
      <c r="G71" s="3319"/>
      <c r="H71" s="3333" t="s">
        <v>5925</v>
      </c>
      <c r="I71" s="3334"/>
      <c r="J71" s="3305">
        <v>37.39</v>
      </c>
      <c r="K71" s="3306"/>
      <c r="L71" s="3208">
        <v>16.600000000000001</v>
      </c>
    </row>
    <row r="72" spans="1:12">
      <c r="A72" s="3318">
        <v>71</v>
      </c>
      <c r="B72" s="3319"/>
      <c r="C72" s="3207" t="s">
        <v>5924</v>
      </c>
      <c r="D72" s="3327"/>
      <c r="E72" s="3328"/>
      <c r="F72" s="3318">
        <v>1093</v>
      </c>
      <c r="G72" s="3319"/>
      <c r="H72" s="3333" t="s">
        <v>5925</v>
      </c>
      <c r="I72" s="3334"/>
      <c r="J72" s="3305">
        <v>37.39</v>
      </c>
      <c r="K72" s="3306"/>
      <c r="L72" s="3208">
        <v>16.600000000000001</v>
      </c>
    </row>
    <row r="73" spans="1:12">
      <c r="A73" s="3318">
        <v>72</v>
      </c>
      <c r="B73" s="3319"/>
      <c r="C73" s="3207" t="s">
        <v>5924</v>
      </c>
      <c r="D73" s="3327"/>
      <c r="E73" s="3328"/>
      <c r="F73" s="3318">
        <v>1094</v>
      </c>
      <c r="G73" s="3319"/>
      <c r="H73" s="3333" t="s">
        <v>5925</v>
      </c>
      <c r="I73" s="3334"/>
      <c r="J73" s="3314">
        <v>35.9</v>
      </c>
      <c r="K73" s="3315"/>
      <c r="L73" s="3208">
        <v>15.94</v>
      </c>
    </row>
    <row r="74" spans="1:12">
      <c r="A74" s="3318">
        <v>73</v>
      </c>
      <c r="B74" s="3319"/>
      <c r="C74" s="3207" t="s">
        <v>5924</v>
      </c>
      <c r="D74" s="3327"/>
      <c r="E74" s="3328"/>
      <c r="F74" s="3318">
        <v>1095</v>
      </c>
      <c r="G74" s="3319"/>
      <c r="H74" s="3333" t="s">
        <v>5925</v>
      </c>
      <c r="I74" s="3334"/>
      <c r="J74" s="3314">
        <v>35.9</v>
      </c>
      <c r="K74" s="3315"/>
      <c r="L74" s="3208">
        <v>15.94</v>
      </c>
    </row>
    <row r="75" spans="1:12">
      <c r="A75" s="3318">
        <v>74</v>
      </c>
      <c r="B75" s="3319"/>
      <c r="C75" s="3207" t="s">
        <v>5924</v>
      </c>
      <c r="D75" s="3327"/>
      <c r="E75" s="3328"/>
      <c r="F75" s="3318">
        <v>1096</v>
      </c>
      <c r="G75" s="3319"/>
      <c r="H75" s="3333" t="s">
        <v>5925</v>
      </c>
      <c r="I75" s="3334"/>
      <c r="J75" s="3305">
        <v>37.39</v>
      </c>
      <c r="K75" s="3306"/>
      <c r="L75" s="3208">
        <v>16.600000000000001</v>
      </c>
    </row>
    <row r="76" spans="1:12">
      <c r="A76" s="3318">
        <v>75</v>
      </c>
      <c r="B76" s="3319"/>
      <c r="C76" s="3207" t="s">
        <v>5924</v>
      </c>
      <c r="D76" s="3327"/>
      <c r="E76" s="3328"/>
      <c r="F76" s="3318">
        <v>1097</v>
      </c>
      <c r="G76" s="3319"/>
      <c r="H76" s="3333" t="s">
        <v>5925</v>
      </c>
      <c r="I76" s="3334"/>
      <c r="J76" s="3305">
        <v>37.39</v>
      </c>
      <c r="K76" s="3306"/>
      <c r="L76" s="3208">
        <v>16.600000000000001</v>
      </c>
    </row>
    <row r="77" spans="1:12">
      <c r="A77" s="3318">
        <v>76</v>
      </c>
      <c r="B77" s="3319"/>
      <c r="C77" s="3207" t="s">
        <v>5924</v>
      </c>
      <c r="D77" s="3327"/>
      <c r="E77" s="3328"/>
      <c r="F77" s="3318">
        <v>1100</v>
      </c>
      <c r="G77" s="3319"/>
      <c r="H77" s="3333" t="s">
        <v>5925</v>
      </c>
      <c r="I77" s="3334"/>
      <c r="J77" s="3314">
        <v>35.9</v>
      </c>
      <c r="K77" s="3315"/>
      <c r="L77" s="3208">
        <v>15.94</v>
      </c>
    </row>
    <row r="78" spans="1:12">
      <c r="A78" s="3318">
        <v>77</v>
      </c>
      <c r="B78" s="3319"/>
      <c r="C78" s="3207" t="s">
        <v>5924</v>
      </c>
      <c r="D78" s="3327"/>
      <c r="E78" s="3328"/>
      <c r="F78" s="3318">
        <v>1101</v>
      </c>
      <c r="G78" s="3319"/>
      <c r="H78" s="3333" t="s">
        <v>5925</v>
      </c>
      <c r="I78" s="3334"/>
      <c r="J78" s="3314">
        <v>35.9</v>
      </c>
      <c r="K78" s="3315"/>
      <c r="L78" s="3208">
        <v>15.94</v>
      </c>
    </row>
    <row r="79" spans="1:12">
      <c r="A79" s="3318">
        <v>78</v>
      </c>
      <c r="B79" s="3319"/>
      <c r="C79" s="3207" t="s">
        <v>5924</v>
      </c>
      <c r="D79" s="3327"/>
      <c r="E79" s="3328"/>
      <c r="F79" s="3318">
        <v>1102</v>
      </c>
      <c r="G79" s="3319"/>
      <c r="H79" s="3333" t="s">
        <v>5925</v>
      </c>
      <c r="I79" s="3334"/>
      <c r="J79" s="3305">
        <v>37.39</v>
      </c>
      <c r="K79" s="3306"/>
      <c r="L79" s="3208">
        <v>16.600000000000001</v>
      </c>
    </row>
    <row r="80" spans="1:12">
      <c r="A80" s="3318">
        <v>79</v>
      </c>
      <c r="B80" s="3319"/>
      <c r="C80" s="3207" t="s">
        <v>5924</v>
      </c>
      <c r="D80" s="3327"/>
      <c r="E80" s="3328"/>
      <c r="F80" s="3318">
        <v>1103</v>
      </c>
      <c r="G80" s="3319"/>
      <c r="H80" s="3333" t="s">
        <v>5925</v>
      </c>
      <c r="I80" s="3334"/>
      <c r="J80" s="3305">
        <v>37.39</v>
      </c>
      <c r="K80" s="3306"/>
      <c r="L80" s="3208">
        <v>16.600000000000001</v>
      </c>
    </row>
    <row r="81" spans="1:12">
      <c r="A81" s="3318">
        <v>80</v>
      </c>
      <c r="B81" s="3319"/>
      <c r="C81" s="3207" t="s">
        <v>5924</v>
      </c>
      <c r="D81" s="3327"/>
      <c r="E81" s="3328"/>
      <c r="F81" s="3318">
        <v>1104</v>
      </c>
      <c r="G81" s="3319"/>
      <c r="H81" s="3333" t="s">
        <v>5925</v>
      </c>
      <c r="I81" s="3334"/>
      <c r="J81" s="3305">
        <v>55.34</v>
      </c>
      <c r="K81" s="3306"/>
      <c r="L81" s="3208">
        <v>24.58</v>
      </c>
    </row>
    <row r="82" spans="1:12">
      <c r="A82" s="3318">
        <v>81</v>
      </c>
      <c r="B82" s="3319"/>
      <c r="C82" s="3207" t="s">
        <v>5924</v>
      </c>
      <c r="D82" s="3327"/>
      <c r="E82" s="3328"/>
      <c r="F82" s="3318">
        <v>1105</v>
      </c>
      <c r="G82" s="3319"/>
      <c r="H82" s="3333" t="s">
        <v>5925</v>
      </c>
      <c r="I82" s="3334"/>
      <c r="J82" s="3314">
        <v>35.9</v>
      </c>
      <c r="K82" s="3315"/>
      <c r="L82" s="3208">
        <v>15.94</v>
      </c>
    </row>
    <row r="83" spans="1:12">
      <c r="A83" s="3318">
        <v>82</v>
      </c>
      <c r="B83" s="3319"/>
      <c r="C83" s="3207" t="s">
        <v>5924</v>
      </c>
      <c r="D83" s="3327"/>
      <c r="E83" s="3328"/>
      <c r="F83" s="3318">
        <v>1106</v>
      </c>
      <c r="G83" s="3319"/>
      <c r="H83" s="3333" t="s">
        <v>5925</v>
      </c>
      <c r="I83" s="3334"/>
      <c r="J83" s="3314">
        <v>35.9</v>
      </c>
      <c r="K83" s="3315"/>
      <c r="L83" s="3208">
        <v>15.94</v>
      </c>
    </row>
    <row r="84" spans="1:12">
      <c r="A84" s="3318">
        <v>83</v>
      </c>
      <c r="B84" s="3319"/>
      <c r="C84" s="3207" t="s">
        <v>5924</v>
      </c>
      <c r="D84" s="3327"/>
      <c r="E84" s="3328"/>
      <c r="F84" s="3318">
        <v>1107</v>
      </c>
      <c r="G84" s="3319"/>
      <c r="H84" s="3333" t="s">
        <v>5925</v>
      </c>
      <c r="I84" s="3334"/>
      <c r="J84" s="3305">
        <v>37.39</v>
      </c>
      <c r="K84" s="3306"/>
      <c r="L84" s="3208">
        <v>16.600000000000001</v>
      </c>
    </row>
    <row r="85" spans="1:12">
      <c r="A85" s="3318">
        <v>84</v>
      </c>
      <c r="B85" s="3319"/>
      <c r="C85" s="3207" t="s">
        <v>5924</v>
      </c>
      <c r="D85" s="3327"/>
      <c r="E85" s="3328"/>
      <c r="F85" s="3318">
        <v>1108</v>
      </c>
      <c r="G85" s="3319"/>
      <c r="H85" s="3333" t="s">
        <v>5925</v>
      </c>
      <c r="I85" s="3334"/>
      <c r="J85" s="3305">
        <v>37.39</v>
      </c>
      <c r="K85" s="3306"/>
      <c r="L85" s="3208">
        <v>16.600000000000001</v>
      </c>
    </row>
    <row r="86" spans="1:12">
      <c r="A86" s="3318">
        <v>85</v>
      </c>
      <c r="B86" s="3319"/>
      <c r="C86" s="3207" t="s">
        <v>5924</v>
      </c>
      <c r="D86" s="3327"/>
      <c r="E86" s="3328"/>
      <c r="F86" s="3318">
        <v>1109</v>
      </c>
      <c r="G86" s="3319"/>
      <c r="H86" s="3333" t="s">
        <v>5925</v>
      </c>
      <c r="I86" s="3334"/>
      <c r="J86" s="3314">
        <v>35.9</v>
      </c>
      <c r="K86" s="3315"/>
      <c r="L86" s="3208">
        <v>15.94</v>
      </c>
    </row>
    <row r="87" spans="1:12">
      <c r="A87" s="3318">
        <v>86</v>
      </c>
      <c r="B87" s="3319"/>
      <c r="C87" s="3207" t="s">
        <v>5924</v>
      </c>
      <c r="D87" s="3327"/>
      <c r="E87" s="3328"/>
      <c r="F87" s="3318">
        <v>1110</v>
      </c>
      <c r="G87" s="3319"/>
      <c r="H87" s="3333" t="s">
        <v>5925</v>
      </c>
      <c r="I87" s="3334"/>
      <c r="J87" s="3314">
        <v>35.9</v>
      </c>
      <c r="K87" s="3315"/>
      <c r="L87" s="3208">
        <v>15.94</v>
      </c>
    </row>
    <row r="88" spans="1:12">
      <c r="A88" s="3318">
        <v>87</v>
      </c>
      <c r="B88" s="3319"/>
      <c r="C88" s="3207" t="s">
        <v>5924</v>
      </c>
      <c r="D88" s="3327"/>
      <c r="E88" s="3328"/>
      <c r="F88" s="3318">
        <v>1111</v>
      </c>
      <c r="G88" s="3319"/>
      <c r="H88" s="3333" t="s">
        <v>5925</v>
      </c>
      <c r="I88" s="3334"/>
      <c r="J88" s="3314">
        <v>35.9</v>
      </c>
      <c r="K88" s="3315"/>
      <c r="L88" s="3208">
        <v>15.94</v>
      </c>
    </row>
    <row r="89" spans="1:12">
      <c r="A89" s="3318">
        <v>88</v>
      </c>
      <c r="B89" s="3319"/>
      <c r="C89" s="3207" t="s">
        <v>5924</v>
      </c>
      <c r="D89" s="3327"/>
      <c r="E89" s="3328"/>
      <c r="F89" s="3318">
        <v>1112</v>
      </c>
      <c r="G89" s="3319"/>
      <c r="H89" s="3333" t="s">
        <v>5925</v>
      </c>
      <c r="I89" s="3334"/>
      <c r="J89" s="3314">
        <v>35.9</v>
      </c>
      <c r="K89" s="3315"/>
      <c r="L89" s="3208">
        <v>15.94</v>
      </c>
    </row>
    <row r="90" spans="1:12">
      <c r="A90" s="3318">
        <v>89</v>
      </c>
      <c r="B90" s="3319"/>
      <c r="C90" s="3207" t="s">
        <v>5924</v>
      </c>
      <c r="D90" s="3327"/>
      <c r="E90" s="3328"/>
      <c r="F90" s="3318">
        <v>1115</v>
      </c>
      <c r="G90" s="3319"/>
      <c r="H90" s="3333" t="s">
        <v>5925</v>
      </c>
      <c r="I90" s="3334"/>
      <c r="J90" s="3305">
        <v>37.39</v>
      </c>
      <c r="K90" s="3306"/>
      <c r="L90" s="3208">
        <v>16.600000000000001</v>
      </c>
    </row>
    <row r="91" spans="1:12">
      <c r="A91" s="3318">
        <v>90</v>
      </c>
      <c r="B91" s="3319"/>
      <c r="C91" s="3207" t="s">
        <v>5924</v>
      </c>
      <c r="D91" s="3327"/>
      <c r="E91" s="3328"/>
      <c r="F91" s="3318">
        <v>1116</v>
      </c>
      <c r="G91" s="3319"/>
      <c r="H91" s="3333" t="s">
        <v>5925</v>
      </c>
      <c r="I91" s="3334"/>
      <c r="J91" s="3305">
        <v>37.39</v>
      </c>
      <c r="K91" s="3306"/>
      <c r="L91" s="3208">
        <v>16.600000000000001</v>
      </c>
    </row>
    <row r="92" spans="1:12">
      <c r="A92" s="3318">
        <v>91</v>
      </c>
      <c r="B92" s="3319"/>
      <c r="C92" s="3207" t="s">
        <v>5924</v>
      </c>
      <c r="D92" s="3327"/>
      <c r="E92" s="3328"/>
      <c r="F92" s="3318">
        <v>1119</v>
      </c>
      <c r="G92" s="3319"/>
      <c r="H92" s="3333" t="s">
        <v>5925</v>
      </c>
      <c r="I92" s="3334"/>
      <c r="J92" s="3305">
        <v>37.39</v>
      </c>
      <c r="K92" s="3306"/>
      <c r="L92" s="3208">
        <v>16.600000000000001</v>
      </c>
    </row>
    <row r="93" spans="1:12">
      <c r="A93" s="3318">
        <v>92</v>
      </c>
      <c r="B93" s="3319"/>
      <c r="C93" s="3207" t="s">
        <v>5924</v>
      </c>
      <c r="D93" s="3327"/>
      <c r="E93" s="3328"/>
      <c r="F93" s="3318">
        <v>1120</v>
      </c>
      <c r="G93" s="3319"/>
      <c r="H93" s="3333" t="s">
        <v>5925</v>
      </c>
      <c r="I93" s="3334"/>
      <c r="J93" s="3305">
        <v>37.39</v>
      </c>
      <c r="K93" s="3306"/>
      <c r="L93" s="3208">
        <v>16.600000000000001</v>
      </c>
    </row>
    <row r="94" spans="1:12">
      <c r="A94" s="3318">
        <v>93</v>
      </c>
      <c r="B94" s="3319"/>
      <c r="C94" s="3207" t="s">
        <v>5924</v>
      </c>
      <c r="D94" s="3327"/>
      <c r="E94" s="3328"/>
      <c r="F94" s="3318">
        <v>1121</v>
      </c>
      <c r="G94" s="3319"/>
      <c r="H94" s="3333" t="s">
        <v>5925</v>
      </c>
      <c r="I94" s="3334"/>
      <c r="J94" s="3305">
        <v>37.39</v>
      </c>
      <c r="K94" s="3306"/>
      <c r="L94" s="3208">
        <v>16.600000000000001</v>
      </c>
    </row>
    <row r="95" spans="1:12">
      <c r="A95" s="3318">
        <v>94</v>
      </c>
      <c r="B95" s="3319"/>
      <c r="C95" s="3207" t="s">
        <v>5924</v>
      </c>
      <c r="D95" s="3327"/>
      <c r="E95" s="3328"/>
      <c r="F95" s="3318">
        <v>1123</v>
      </c>
      <c r="G95" s="3319"/>
      <c r="H95" s="3333" t="s">
        <v>5925</v>
      </c>
      <c r="I95" s="3334"/>
      <c r="J95" s="3305">
        <v>37.39</v>
      </c>
      <c r="K95" s="3306"/>
      <c r="L95" s="3208">
        <v>16.600000000000001</v>
      </c>
    </row>
    <row r="96" spans="1:12">
      <c r="A96" s="3318">
        <v>95</v>
      </c>
      <c r="B96" s="3319"/>
      <c r="C96" s="3207" t="s">
        <v>5924</v>
      </c>
      <c r="D96" s="3327"/>
      <c r="E96" s="3328"/>
      <c r="F96" s="3318">
        <v>1124</v>
      </c>
      <c r="G96" s="3319"/>
      <c r="H96" s="3333" t="s">
        <v>5925</v>
      </c>
      <c r="I96" s="3334"/>
      <c r="J96" s="3305">
        <v>37.39</v>
      </c>
      <c r="K96" s="3306"/>
      <c r="L96" s="3208">
        <v>16.600000000000001</v>
      </c>
    </row>
    <row r="97" spans="1:12">
      <c r="A97" s="3318">
        <v>96</v>
      </c>
      <c r="B97" s="3319"/>
      <c r="C97" s="3207" t="s">
        <v>5924</v>
      </c>
      <c r="D97" s="3327"/>
      <c r="E97" s="3328"/>
      <c r="F97" s="3318">
        <v>1127</v>
      </c>
      <c r="G97" s="3319"/>
      <c r="H97" s="3333" t="s">
        <v>5925</v>
      </c>
      <c r="I97" s="3334"/>
      <c r="J97" s="3305">
        <v>37.39</v>
      </c>
      <c r="K97" s="3306"/>
      <c r="L97" s="3208">
        <v>16.600000000000001</v>
      </c>
    </row>
    <row r="98" spans="1:12">
      <c r="A98" s="3318">
        <v>97</v>
      </c>
      <c r="B98" s="3319"/>
      <c r="C98" s="3207" t="s">
        <v>5924</v>
      </c>
      <c r="D98" s="3327"/>
      <c r="E98" s="3328"/>
      <c r="F98" s="3318">
        <v>1128</v>
      </c>
      <c r="G98" s="3319"/>
      <c r="H98" s="3333" t="s">
        <v>5925</v>
      </c>
      <c r="I98" s="3334"/>
      <c r="J98" s="3305">
        <v>37.39</v>
      </c>
      <c r="K98" s="3306"/>
      <c r="L98" s="3208">
        <v>16.600000000000001</v>
      </c>
    </row>
    <row r="99" spans="1:12">
      <c r="A99" s="3318">
        <v>98</v>
      </c>
      <c r="B99" s="3319"/>
      <c r="C99" s="3207" t="s">
        <v>5924</v>
      </c>
      <c r="D99" s="3327"/>
      <c r="E99" s="3328"/>
      <c r="F99" s="3318">
        <v>1129</v>
      </c>
      <c r="G99" s="3319"/>
      <c r="H99" s="3333" t="s">
        <v>5925</v>
      </c>
      <c r="I99" s="3334"/>
      <c r="J99" s="3305">
        <v>37.39</v>
      </c>
      <c r="K99" s="3306"/>
      <c r="L99" s="3208">
        <v>16.600000000000001</v>
      </c>
    </row>
    <row r="100" spans="1:12">
      <c r="A100" s="3318">
        <v>99</v>
      </c>
      <c r="B100" s="3319"/>
      <c r="C100" s="3207" t="s">
        <v>5924</v>
      </c>
      <c r="D100" s="3327"/>
      <c r="E100" s="3328"/>
      <c r="F100" s="3318">
        <v>1130</v>
      </c>
      <c r="G100" s="3319"/>
      <c r="H100" s="3333" t="s">
        <v>5925</v>
      </c>
      <c r="I100" s="3334"/>
      <c r="J100" s="3305">
        <v>37.39</v>
      </c>
      <c r="K100" s="3306"/>
      <c r="L100" s="3208">
        <v>16.600000000000001</v>
      </c>
    </row>
    <row r="101" spans="1:12">
      <c r="A101" s="3318">
        <v>100</v>
      </c>
      <c r="B101" s="3319"/>
      <c r="C101" s="3207" t="s">
        <v>5924</v>
      </c>
      <c r="D101" s="3327"/>
      <c r="E101" s="3328"/>
      <c r="F101" s="3318">
        <v>1131</v>
      </c>
      <c r="G101" s="3319"/>
      <c r="H101" s="3333" t="s">
        <v>5925</v>
      </c>
      <c r="I101" s="3334"/>
      <c r="J101" s="3305">
        <v>37.39</v>
      </c>
      <c r="K101" s="3306"/>
      <c r="L101" s="3208">
        <v>16.600000000000001</v>
      </c>
    </row>
    <row r="102" spans="1:12">
      <c r="A102" s="3318">
        <v>101</v>
      </c>
      <c r="B102" s="3319"/>
      <c r="C102" s="3207" t="s">
        <v>5924</v>
      </c>
      <c r="D102" s="3327"/>
      <c r="E102" s="3328"/>
      <c r="F102" s="3318">
        <v>1134</v>
      </c>
      <c r="G102" s="3319"/>
      <c r="H102" s="3333" t="s">
        <v>5925</v>
      </c>
      <c r="I102" s="3334"/>
      <c r="J102" s="3305">
        <v>37.39</v>
      </c>
      <c r="K102" s="3306"/>
      <c r="L102" s="3208">
        <v>16.600000000000001</v>
      </c>
    </row>
    <row r="103" spans="1:12">
      <c r="A103" s="3318">
        <v>102</v>
      </c>
      <c r="B103" s="3319"/>
      <c r="C103" s="3207" t="s">
        <v>5924</v>
      </c>
      <c r="D103" s="3327"/>
      <c r="E103" s="3328"/>
      <c r="F103" s="3318">
        <v>1141</v>
      </c>
      <c r="G103" s="3319"/>
      <c r="H103" s="3333" t="s">
        <v>5925</v>
      </c>
      <c r="I103" s="3334"/>
      <c r="J103" s="3305">
        <v>37.39</v>
      </c>
      <c r="K103" s="3306"/>
      <c r="L103" s="3208">
        <v>16.600000000000001</v>
      </c>
    </row>
    <row r="104" spans="1:12">
      <c r="A104" s="3318">
        <v>103</v>
      </c>
      <c r="B104" s="3319"/>
      <c r="C104" s="3207" t="s">
        <v>5924</v>
      </c>
      <c r="D104" s="3327"/>
      <c r="E104" s="3328"/>
      <c r="F104" s="3318">
        <v>1142</v>
      </c>
      <c r="G104" s="3319"/>
      <c r="H104" s="3333" t="s">
        <v>5925</v>
      </c>
      <c r="I104" s="3334"/>
      <c r="J104" s="3305">
        <v>37.39</v>
      </c>
      <c r="K104" s="3306"/>
      <c r="L104" s="3208">
        <v>16.600000000000001</v>
      </c>
    </row>
    <row r="105" spans="1:12">
      <c r="A105" s="3318">
        <v>104</v>
      </c>
      <c r="B105" s="3319"/>
      <c r="C105" s="3207" t="s">
        <v>5924</v>
      </c>
      <c r="D105" s="3327"/>
      <c r="E105" s="3328"/>
      <c r="F105" s="3318">
        <v>1146</v>
      </c>
      <c r="G105" s="3319"/>
      <c r="H105" s="3333" t="s">
        <v>5925</v>
      </c>
      <c r="I105" s="3334"/>
      <c r="J105" s="3305">
        <v>37.39</v>
      </c>
      <c r="K105" s="3306"/>
      <c r="L105" s="3208">
        <v>16.600000000000001</v>
      </c>
    </row>
    <row r="106" spans="1:12">
      <c r="A106" s="3318">
        <v>105</v>
      </c>
      <c r="B106" s="3319"/>
      <c r="C106" s="3207" t="s">
        <v>5924</v>
      </c>
      <c r="D106" s="3327"/>
      <c r="E106" s="3328"/>
      <c r="F106" s="3318">
        <v>1147</v>
      </c>
      <c r="G106" s="3319"/>
      <c r="H106" s="3333" t="s">
        <v>5925</v>
      </c>
      <c r="I106" s="3334"/>
      <c r="J106" s="3305">
        <v>37.39</v>
      </c>
      <c r="K106" s="3306"/>
      <c r="L106" s="3208">
        <v>16.600000000000001</v>
      </c>
    </row>
    <row r="107" spans="1:12">
      <c r="A107" s="3318">
        <v>106</v>
      </c>
      <c r="B107" s="3319"/>
      <c r="C107" s="3207" t="s">
        <v>5924</v>
      </c>
      <c r="D107" s="3327"/>
      <c r="E107" s="3328"/>
      <c r="F107" s="3318">
        <v>1148</v>
      </c>
      <c r="G107" s="3319"/>
      <c r="H107" s="3333" t="s">
        <v>5925</v>
      </c>
      <c r="I107" s="3334"/>
      <c r="J107" s="3305">
        <v>37.39</v>
      </c>
      <c r="K107" s="3306"/>
      <c r="L107" s="3208">
        <v>16.600000000000001</v>
      </c>
    </row>
    <row r="108" spans="1:12">
      <c r="A108" s="3318">
        <v>107</v>
      </c>
      <c r="B108" s="3319"/>
      <c r="C108" s="3207" t="s">
        <v>5924</v>
      </c>
      <c r="D108" s="3327"/>
      <c r="E108" s="3328"/>
      <c r="F108" s="3318">
        <v>1152</v>
      </c>
      <c r="G108" s="3319"/>
      <c r="H108" s="3333" t="s">
        <v>5925</v>
      </c>
      <c r="I108" s="3334"/>
      <c r="J108" s="3305">
        <v>37.39</v>
      </c>
      <c r="K108" s="3306"/>
      <c r="L108" s="3208">
        <v>16.600000000000001</v>
      </c>
    </row>
    <row r="109" spans="1:12">
      <c r="A109" s="3318">
        <v>108</v>
      </c>
      <c r="B109" s="3319"/>
      <c r="C109" s="3207" t="s">
        <v>5924</v>
      </c>
      <c r="D109" s="3327"/>
      <c r="E109" s="3328"/>
      <c r="F109" s="3318">
        <v>1154</v>
      </c>
      <c r="G109" s="3319"/>
      <c r="H109" s="3333" t="s">
        <v>5925</v>
      </c>
      <c r="I109" s="3334"/>
      <c r="J109" s="3305">
        <v>37.39</v>
      </c>
      <c r="K109" s="3306"/>
      <c r="L109" s="3208">
        <v>16.600000000000001</v>
      </c>
    </row>
    <row r="110" spans="1:12">
      <c r="A110" s="3318">
        <v>109</v>
      </c>
      <c r="B110" s="3319"/>
      <c r="C110" s="3207" t="s">
        <v>5924</v>
      </c>
      <c r="D110" s="3327"/>
      <c r="E110" s="3328"/>
      <c r="F110" s="3318">
        <v>1155</v>
      </c>
      <c r="G110" s="3319"/>
      <c r="H110" s="3333" t="s">
        <v>5925</v>
      </c>
      <c r="I110" s="3334"/>
      <c r="J110" s="3305">
        <v>37.39</v>
      </c>
      <c r="K110" s="3306"/>
      <c r="L110" s="3208">
        <v>16.600000000000001</v>
      </c>
    </row>
    <row r="111" spans="1:12">
      <c r="A111" s="3318">
        <v>110</v>
      </c>
      <c r="B111" s="3319"/>
      <c r="C111" s="3207" t="s">
        <v>5924</v>
      </c>
      <c r="D111" s="3327"/>
      <c r="E111" s="3328"/>
      <c r="F111" s="3318">
        <v>1157</v>
      </c>
      <c r="G111" s="3319"/>
      <c r="H111" s="3333" t="s">
        <v>5925</v>
      </c>
      <c r="I111" s="3334"/>
      <c r="J111" s="3305">
        <v>37.39</v>
      </c>
      <c r="K111" s="3306"/>
      <c r="L111" s="3208">
        <v>16.600000000000001</v>
      </c>
    </row>
    <row r="112" spans="1:12">
      <c r="A112" s="3318">
        <v>111</v>
      </c>
      <c r="B112" s="3319"/>
      <c r="C112" s="3207" t="s">
        <v>5924</v>
      </c>
      <c r="D112" s="3327"/>
      <c r="E112" s="3328"/>
      <c r="F112" s="3318">
        <v>1158</v>
      </c>
      <c r="G112" s="3319"/>
      <c r="H112" s="3333" t="s">
        <v>5925</v>
      </c>
      <c r="I112" s="3334"/>
      <c r="J112" s="3305">
        <v>37.39</v>
      </c>
      <c r="K112" s="3306"/>
      <c r="L112" s="3208">
        <v>16.600000000000001</v>
      </c>
    </row>
    <row r="113" spans="1:12">
      <c r="A113" s="3318">
        <v>112</v>
      </c>
      <c r="B113" s="3319"/>
      <c r="C113" s="3207" t="s">
        <v>5924</v>
      </c>
      <c r="D113" s="3327"/>
      <c r="E113" s="3328"/>
      <c r="F113" s="3318">
        <v>1159</v>
      </c>
      <c r="G113" s="3319"/>
      <c r="H113" s="3333" t="s">
        <v>5925</v>
      </c>
      <c r="I113" s="3334"/>
      <c r="J113" s="3305">
        <v>37.39</v>
      </c>
      <c r="K113" s="3306"/>
      <c r="L113" s="3208">
        <v>16.600000000000001</v>
      </c>
    </row>
    <row r="114" spans="1:12">
      <c r="A114" s="3318">
        <v>113</v>
      </c>
      <c r="B114" s="3319"/>
      <c r="C114" s="3207" t="s">
        <v>5924</v>
      </c>
      <c r="D114" s="3327"/>
      <c r="E114" s="3328"/>
      <c r="F114" s="3318">
        <v>1160</v>
      </c>
      <c r="G114" s="3319"/>
      <c r="H114" s="3333" t="s">
        <v>5925</v>
      </c>
      <c r="I114" s="3334"/>
      <c r="J114" s="3314">
        <v>35.9</v>
      </c>
      <c r="K114" s="3315"/>
      <c r="L114" s="3208">
        <v>15.94</v>
      </c>
    </row>
    <row r="115" spans="1:12">
      <c r="A115" s="3318">
        <v>114</v>
      </c>
      <c r="B115" s="3319"/>
      <c r="C115" s="3207" t="s">
        <v>5924</v>
      </c>
      <c r="D115" s="3327"/>
      <c r="E115" s="3328"/>
      <c r="F115" s="3318">
        <v>1161</v>
      </c>
      <c r="G115" s="3319"/>
      <c r="H115" s="3333" t="s">
        <v>5925</v>
      </c>
      <c r="I115" s="3334"/>
      <c r="J115" s="3314">
        <v>35.9</v>
      </c>
      <c r="K115" s="3315"/>
      <c r="L115" s="3208">
        <v>15.94</v>
      </c>
    </row>
    <row r="116" spans="1:12">
      <c r="A116" s="3318">
        <v>115</v>
      </c>
      <c r="B116" s="3319"/>
      <c r="C116" s="3207" t="s">
        <v>5924</v>
      </c>
      <c r="D116" s="3327"/>
      <c r="E116" s="3328"/>
      <c r="F116" s="3318">
        <v>1162</v>
      </c>
      <c r="G116" s="3319"/>
      <c r="H116" s="3333" t="s">
        <v>5925</v>
      </c>
      <c r="I116" s="3334"/>
      <c r="J116" s="3305">
        <v>37.39</v>
      </c>
      <c r="K116" s="3306"/>
      <c r="L116" s="3208">
        <v>16.600000000000001</v>
      </c>
    </row>
    <row r="117" spans="1:12">
      <c r="A117" s="3318">
        <v>116</v>
      </c>
      <c r="B117" s="3319"/>
      <c r="C117" s="3207" t="s">
        <v>5924</v>
      </c>
      <c r="D117" s="3327"/>
      <c r="E117" s="3328"/>
      <c r="F117" s="3318">
        <v>1163</v>
      </c>
      <c r="G117" s="3319"/>
      <c r="H117" s="3333" t="s">
        <v>5925</v>
      </c>
      <c r="I117" s="3334"/>
      <c r="J117" s="3305">
        <v>37.39</v>
      </c>
      <c r="K117" s="3306"/>
      <c r="L117" s="3208">
        <v>16.600000000000001</v>
      </c>
    </row>
    <row r="118" spans="1:12">
      <c r="A118" s="3318">
        <v>117</v>
      </c>
      <c r="B118" s="3319"/>
      <c r="C118" s="3207" t="s">
        <v>5924</v>
      </c>
      <c r="D118" s="3327"/>
      <c r="E118" s="3328"/>
      <c r="F118" s="3318">
        <v>1164</v>
      </c>
      <c r="G118" s="3319"/>
      <c r="H118" s="3333" t="s">
        <v>5925</v>
      </c>
      <c r="I118" s="3334"/>
      <c r="J118" s="3305">
        <v>55.34</v>
      </c>
      <c r="K118" s="3306"/>
      <c r="L118" s="3208">
        <v>24.58</v>
      </c>
    </row>
    <row r="119" spans="1:12">
      <c r="A119" s="3318">
        <v>118</v>
      </c>
      <c r="B119" s="3319"/>
      <c r="C119" s="3207" t="s">
        <v>5924</v>
      </c>
      <c r="D119" s="3327"/>
      <c r="E119" s="3328"/>
      <c r="F119" s="3318">
        <v>1165</v>
      </c>
      <c r="G119" s="3319"/>
      <c r="H119" s="3333" t="s">
        <v>5925</v>
      </c>
      <c r="I119" s="3334"/>
      <c r="J119" s="3314">
        <v>35.9</v>
      </c>
      <c r="K119" s="3315"/>
      <c r="L119" s="3208">
        <v>15.94</v>
      </c>
    </row>
    <row r="120" spans="1:12">
      <c r="A120" s="3318">
        <v>119</v>
      </c>
      <c r="B120" s="3319"/>
      <c r="C120" s="3207" t="s">
        <v>5924</v>
      </c>
      <c r="D120" s="3327"/>
      <c r="E120" s="3328"/>
      <c r="F120" s="3318">
        <v>1166</v>
      </c>
      <c r="G120" s="3319"/>
      <c r="H120" s="3333" t="s">
        <v>5925</v>
      </c>
      <c r="I120" s="3334"/>
      <c r="J120" s="3314">
        <v>35.9</v>
      </c>
      <c r="K120" s="3315"/>
      <c r="L120" s="3208">
        <v>15.94</v>
      </c>
    </row>
    <row r="121" spans="1:12">
      <c r="A121" s="3318">
        <v>120</v>
      </c>
      <c r="B121" s="3319"/>
      <c r="C121" s="3207" t="s">
        <v>5924</v>
      </c>
      <c r="D121" s="3327"/>
      <c r="E121" s="3328"/>
      <c r="F121" s="3318">
        <v>1168</v>
      </c>
      <c r="G121" s="3319"/>
      <c r="H121" s="3333" t="s">
        <v>5925</v>
      </c>
      <c r="I121" s="3334"/>
      <c r="J121" s="3305">
        <v>37.39</v>
      </c>
      <c r="K121" s="3306"/>
      <c r="L121" s="3208">
        <v>16.600000000000001</v>
      </c>
    </row>
    <row r="122" spans="1:12">
      <c r="A122" s="3318">
        <v>121</v>
      </c>
      <c r="B122" s="3319"/>
      <c r="C122" s="3207" t="s">
        <v>5924</v>
      </c>
      <c r="D122" s="3327"/>
      <c r="E122" s="3328"/>
      <c r="F122" s="3318">
        <v>1169</v>
      </c>
      <c r="G122" s="3319"/>
      <c r="H122" s="3333" t="s">
        <v>5925</v>
      </c>
      <c r="I122" s="3334"/>
      <c r="J122" s="3305">
        <v>37.39</v>
      </c>
      <c r="K122" s="3306"/>
      <c r="L122" s="3208">
        <v>16.600000000000001</v>
      </c>
    </row>
    <row r="123" spans="1:12">
      <c r="A123" s="3318">
        <v>122</v>
      </c>
      <c r="B123" s="3319"/>
      <c r="C123" s="3207" t="s">
        <v>5924</v>
      </c>
      <c r="D123" s="3327"/>
      <c r="E123" s="3328"/>
      <c r="F123" s="3318">
        <v>1170</v>
      </c>
      <c r="G123" s="3319"/>
      <c r="H123" s="3333" t="s">
        <v>5925</v>
      </c>
      <c r="I123" s="3334"/>
      <c r="J123" s="3314">
        <v>35.9</v>
      </c>
      <c r="K123" s="3315"/>
      <c r="L123" s="3208">
        <v>15.94</v>
      </c>
    </row>
    <row r="124" spans="1:12">
      <c r="A124" s="3318">
        <v>123</v>
      </c>
      <c r="B124" s="3319"/>
      <c r="C124" s="3207" t="s">
        <v>5924</v>
      </c>
      <c r="D124" s="3327"/>
      <c r="E124" s="3328"/>
      <c r="F124" s="3318">
        <v>1171</v>
      </c>
      <c r="G124" s="3319"/>
      <c r="H124" s="3333" t="s">
        <v>5925</v>
      </c>
      <c r="I124" s="3334"/>
      <c r="J124" s="3314">
        <v>35.9</v>
      </c>
      <c r="K124" s="3315"/>
      <c r="L124" s="3208">
        <v>15.94</v>
      </c>
    </row>
    <row r="125" spans="1:12">
      <c r="A125" s="3318">
        <v>124</v>
      </c>
      <c r="B125" s="3319"/>
      <c r="C125" s="3207" t="s">
        <v>5924</v>
      </c>
      <c r="D125" s="3327"/>
      <c r="E125" s="3328"/>
      <c r="F125" s="3318">
        <v>1174</v>
      </c>
      <c r="G125" s="3319"/>
      <c r="H125" s="3333" t="s">
        <v>5925</v>
      </c>
      <c r="I125" s="3334"/>
      <c r="J125" s="3305">
        <v>37.39</v>
      </c>
      <c r="K125" s="3306"/>
      <c r="L125" s="3208">
        <v>16.600000000000001</v>
      </c>
    </row>
    <row r="126" spans="1:12">
      <c r="A126" s="3318">
        <v>125</v>
      </c>
      <c r="B126" s="3319"/>
      <c r="C126" s="3207" t="s">
        <v>5924</v>
      </c>
      <c r="D126" s="3327"/>
      <c r="E126" s="3328"/>
      <c r="F126" s="3318">
        <v>1175</v>
      </c>
      <c r="G126" s="3319"/>
      <c r="H126" s="3333" t="s">
        <v>5925</v>
      </c>
      <c r="I126" s="3334"/>
      <c r="J126" s="3305">
        <v>37.39</v>
      </c>
      <c r="K126" s="3306"/>
      <c r="L126" s="3208">
        <v>16.600000000000001</v>
      </c>
    </row>
    <row r="127" spans="1:12">
      <c r="A127" s="3318">
        <v>126</v>
      </c>
      <c r="B127" s="3319"/>
      <c r="C127" s="3207" t="s">
        <v>5924</v>
      </c>
      <c r="D127" s="3327"/>
      <c r="E127" s="3328"/>
      <c r="F127" s="3318">
        <v>1177</v>
      </c>
      <c r="G127" s="3319"/>
      <c r="H127" s="3333" t="s">
        <v>5925</v>
      </c>
      <c r="I127" s="3334"/>
      <c r="J127" s="3305">
        <v>37.39</v>
      </c>
      <c r="K127" s="3306"/>
      <c r="L127" s="3208">
        <v>16.600000000000001</v>
      </c>
    </row>
    <row r="128" spans="1:12">
      <c r="A128" s="3318">
        <v>127</v>
      </c>
      <c r="B128" s="3319"/>
      <c r="C128" s="3207" t="s">
        <v>5924</v>
      </c>
      <c r="D128" s="3327"/>
      <c r="E128" s="3328"/>
      <c r="F128" s="3318">
        <v>1180</v>
      </c>
      <c r="G128" s="3319"/>
      <c r="H128" s="3333" t="s">
        <v>5925</v>
      </c>
      <c r="I128" s="3334"/>
      <c r="J128" s="3305">
        <v>37.39</v>
      </c>
      <c r="K128" s="3306"/>
      <c r="L128" s="3208">
        <v>16.600000000000001</v>
      </c>
    </row>
    <row r="129" spans="1:12">
      <c r="A129" s="3318">
        <v>128</v>
      </c>
      <c r="B129" s="3319"/>
      <c r="C129" s="3207" t="s">
        <v>5924</v>
      </c>
      <c r="D129" s="3327"/>
      <c r="E129" s="3328"/>
      <c r="F129" s="3318">
        <v>1181</v>
      </c>
      <c r="G129" s="3319"/>
      <c r="H129" s="3333" t="s">
        <v>5925</v>
      </c>
      <c r="I129" s="3334"/>
      <c r="J129" s="3305">
        <v>37.39</v>
      </c>
      <c r="K129" s="3306"/>
      <c r="L129" s="3208">
        <v>16.600000000000001</v>
      </c>
    </row>
    <row r="130" spans="1:12">
      <c r="A130" s="3318">
        <v>129</v>
      </c>
      <c r="B130" s="3319"/>
      <c r="C130" s="3207" t="s">
        <v>5924</v>
      </c>
      <c r="D130" s="3327"/>
      <c r="E130" s="3328"/>
      <c r="F130" s="3318">
        <v>1182</v>
      </c>
      <c r="G130" s="3319"/>
      <c r="H130" s="3333" t="s">
        <v>5925</v>
      </c>
      <c r="I130" s="3334"/>
      <c r="J130" s="3305">
        <v>37.39</v>
      </c>
      <c r="K130" s="3306"/>
      <c r="L130" s="3208">
        <v>16.600000000000001</v>
      </c>
    </row>
    <row r="131" spans="1:12">
      <c r="A131" s="3318">
        <v>130</v>
      </c>
      <c r="B131" s="3319"/>
      <c r="C131" s="3207" t="s">
        <v>5924</v>
      </c>
      <c r="D131" s="3327"/>
      <c r="E131" s="3328"/>
      <c r="F131" s="3318">
        <v>1183</v>
      </c>
      <c r="G131" s="3319"/>
      <c r="H131" s="3333" t="s">
        <v>5925</v>
      </c>
      <c r="I131" s="3334"/>
      <c r="J131" s="3305">
        <v>37.39</v>
      </c>
      <c r="K131" s="3306"/>
      <c r="L131" s="3208">
        <v>16.600000000000001</v>
      </c>
    </row>
    <row r="132" spans="1:12">
      <c r="A132" s="3318">
        <v>131</v>
      </c>
      <c r="B132" s="3319"/>
      <c r="C132" s="3207" t="s">
        <v>5924</v>
      </c>
      <c r="D132" s="3327"/>
      <c r="E132" s="3328"/>
      <c r="F132" s="3318">
        <v>1184</v>
      </c>
      <c r="G132" s="3319"/>
      <c r="H132" s="3333" t="s">
        <v>5925</v>
      </c>
      <c r="I132" s="3334"/>
      <c r="J132" s="3305">
        <v>37.39</v>
      </c>
      <c r="K132" s="3306"/>
      <c r="L132" s="3208">
        <v>16.600000000000001</v>
      </c>
    </row>
    <row r="133" spans="1:12">
      <c r="A133" s="3318">
        <v>132</v>
      </c>
      <c r="B133" s="3319"/>
      <c r="C133" s="3207" t="s">
        <v>5924</v>
      </c>
      <c r="D133" s="3327"/>
      <c r="E133" s="3328"/>
      <c r="F133" s="3318">
        <v>1186</v>
      </c>
      <c r="G133" s="3319"/>
      <c r="H133" s="3333" t="s">
        <v>5925</v>
      </c>
      <c r="I133" s="3334"/>
      <c r="J133" s="3305">
        <v>37.39</v>
      </c>
      <c r="K133" s="3306"/>
      <c r="L133" s="3208">
        <v>16.600000000000001</v>
      </c>
    </row>
    <row r="134" spans="1:12">
      <c r="A134" s="3318">
        <v>133</v>
      </c>
      <c r="B134" s="3319"/>
      <c r="C134" s="3207" t="s">
        <v>5924</v>
      </c>
      <c r="D134" s="3327"/>
      <c r="E134" s="3328"/>
      <c r="F134" s="3318">
        <v>1187</v>
      </c>
      <c r="G134" s="3319"/>
      <c r="H134" s="3333" t="s">
        <v>5925</v>
      </c>
      <c r="I134" s="3334"/>
      <c r="J134" s="3305">
        <v>37.39</v>
      </c>
      <c r="K134" s="3306"/>
      <c r="L134" s="3208">
        <v>16.600000000000001</v>
      </c>
    </row>
    <row r="135" spans="1:12">
      <c r="A135" s="3318">
        <v>134</v>
      </c>
      <c r="B135" s="3319"/>
      <c r="C135" s="3207" t="s">
        <v>5924</v>
      </c>
      <c r="D135" s="3327"/>
      <c r="E135" s="3328"/>
      <c r="F135" s="3318">
        <v>1196</v>
      </c>
      <c r="G135" s="3319"/>
      <c r="H135" s="3333" t="s">
        <v>5925</v>
      </c>
      <c r="I135" s="3334"/>
      <c r="J135" s="3305">
        <v>37.39</v>
      </c>
      <c r="K135" s="3306"/>
      <c r="L135" s="3208">
        <v>16.600000000000001</v>
      </c>
    </row>
    <row r="136" spans="1:12">
      <c r="A136" s="3318">
        <v>135</v>
      </c>
      <c r="B136" s="3319"/>
      <c r="C136" s="3207" t="s">
        <v>5924</v>
      </c>
      <c r="D136" s="3327"/>
      <c r="E136" s="3328"/>
      <c r="F136" s="3318">
        <v>1197</v>
      </c>
      <c r="G136" s="3319"/>
      <c r="H136" s="3333" t="s">
        <v>5925</v>
      </c>
      <c r="I136" s="3334"/>
      <c r="J136" s="3305">
        <v>37.39</v>
      </c>
      <c r="K136" s="3306"/>
      <c r="L136" s="3208">
        <v>16.600000000000001</v>
      </c>
    </row>
    <row r="137" spans="1:12">
      <c r="A137" s="3318">
        <v>136</v>
      </c>
      <c r="B137" s="3319"/>
      <c r="C137" s="3207" t="s">
        <v>5924</v>
      </c>
      <c r="D137" s="3327"/>
      <c r="E137" s="3328"/>
      <c r="F137" s="3318">
        <v>1198</v>
      </c>
      <c r="G137" s="3319"/>
      <c r="H137" s="3333" t="s">
        <v>5925</v>
      </c>
      <c r="I137" s="3334"/>
      <c r="J137" s="3314">
        <v>35.9</v>
      </c>
      <c r="K137" s="3315"/>
      <c r="L137" s="3208">
        <v>15.94</v>
      </c>
    </row>
    <row r="138" spans="1:12">
      <c r="A138" s="3318">
        <v>137</v>
      </c>
      <c r="B138" s="3319"/>
      <c r="C138" s="3207" t="s">
        <v>5924</v>
      </c>
      <c r="D138" s="3327"/>
      <c r="E138" s="3328"/>
      <c r="F138" s="3318">
        <v>1199</v>
      </c>
      <c r="G138" s="3319"/>
      <c r="H138" s="3333" t="s">
        <v>5925</v>
      </c>
      <c r="I138" s="3334"/>
      <c r="J138" s="3314">
        <v>35.9</v>
      </c>
      <c r="K138" s="3315"/>
      <c r="L138" s="3208">
        <v>15.94</v>
      </c>
    </row>
    <row r="139" spans="1:12">
      <c r="A139" s="3318">
        <v>138</v>
      </c>
      <c r="B139" s="3319"/>
      <c r="C139" s="3207" t="s">
        <v>5924</v>
      </c>
      <c r="D139" s="3327"/>
      <c r="E139" s="3328"/>
      <c r="F139" s="3318">
        <v>1200</v>
      </c>
      <c r="G139" s="3319"/>
      <c r="H139" s="3333" t="s">
        <v>5925</v>
      </c>
      <c r="I139" s="3334"/>
      <c r="J139" s="3305">
        <v>37.39</v>
      </c>
      <c r="K139" s="3306"/>
      <c r="L139" s="3208">
        <v>16.600000000000001</v>
      </c>
    </row>
    <row r="140" spans="1:12">
      <c r="A140" s="3318">
        <v>139</v>
      </c>
      <c r="B140" s="3319"/>
      <c r="C140" s="3207" t="s">
        <v>5924</v>
      </c>
      <c r="D140" s="3327"/>
      <c r="E140" s="3328"/>
      <c r="F140" s="3318">
        <v>1201</v>
      </c>
      <c r="G140" s="3319"/>
      <c r="H140" s="3333" t="s">
        <v>5925</v>
      </c>
      <c r="I140" s="3334"/>
      <c r="J140" s="3305">
        <v>37.39</v>
      </c>
      <c r="K140" s="3306"/>
      <c r="L140" s="3208">
        <v>16.600000000000001</v>
      </c>
    </row>
    <row r="141" spans="1:12">
      <c r="A141" s="3318">
        <v>140</v>
      </c>
      <c r="B141" s="3319"/>
      <c r="C141" s="3207" t="s">
        <v>5924</v>
      </c>
      <c r="D141" s="3327"/>
      <c r="E141" s="3328"/>
      <c r="F141" s="3318">
        <v>1202</v>
      </c>
      <c r="G141" s="3319"/>
      <c r="H141" s="3333" t="s">
        <v>5925</v>
      </c>
      <c r="I141" s="3334"/>
      <c r="J141" s="3305">
        <v>55.34</v>
      </c>
      <c r="K141" s="3306"/>
      <c r="L141" s="3208">
        <v>24.58</v>
      </c>
    </row>
    <row r="142" spans="1:12">
      <c r="A142" s="3318">
        <v>141</v>
      </c>
      <c r="B142" s="3319"/>
      <c r="C142" s="3207" t="s">
        <v>5924</v>
      </c>
      <c r="D142" s="3327"/>
      <c r="E142" s="3328"/>
      <c r="F142" s="3318">
        <v>1204</v>
      </c>
      <c r="G142" s="3319"/>
      <c r="H142" s="3333" t="s">
        <v>5925</v>
      </c>
      <c r="I142" s="3334"/>
      <c r="J142" s="3314">
        <v>35.9</v>
      </c>
      <c r="K142" s="3315"/>
      <c r="L142" s="3208">
        <v>15.94</v>
      </c>
    </row>
    <row r="143" spans="1:12">
      <c r="A143" s="3318">
        <v>142</v>
      </c>
      <c r="B143" s="3319"/>
      <c r="C143" s="3207" t="s">
        <v>5924</v>
      </c>
      <c r="D143" s="3327"/>
      <c r="E143" s="3328"/>
      <c r="F143" s="3318">
        <v>1205</v>
      </c>
      <c r="G143" s="3319"/>
      <c r="H143" s="3333" t="s">
        <v>5925</v>
      </c>
      <c r="I143" s="3334"/>
      <c r="J143" s="3305">
        <v>37.39</v>
      </c>
      <c r="K143" s="3306"/>
      <c r="L143" s="3208">
        <v>16.600000000000001</v>
      </c>
    </row>
    <row r="144" spans="1:12">
      <c r="A144" s="3318">
        <v>143</v>
      </c>
      <c r="B144" s="3319"/>
      <c r="C144" s="3207" t="s">
        <v>5924</v>
      </c>
      <c r="D144" s="3327"/>
      <c r="E144" s="3328"/>
      <c r="F144" s="3318">
        <v>1206</v>
      </c>
      <c r="G144" s="3319"/>
      <c r="H144" s="3333" t="s">
        <v>5925</v>
      </c>
      <c r="I144" s="3334"/>
      <c r="J144" s="3305">
        <v>37.39</v>
      </c>
      <c r="K144" s="3306"/>
      <c r="L144" s="3208">
        <v>16.600000000000001</v>
      </c>
    </row>
    <row r="145" spans="1:12">
      <c r="A145" s="3318">
        <v>144</v>
      </c>
      <c r="B145" s="3319"/>
      <c r="C145" s="3207" t="s">
        <v>5924</v>
      </c>
      <c r="D145" s="3327"/>
      <c r="E145" s="3328"/>
      <c r="F145" s="3318">
        <v>1207</v>
      </c>
      <c r="G145" s="3319"/>
      <c r="H145" s="3333" t="s">
        <v>5925</v>
      </c>
      <c r="I145" s="3334"/>
      <c r="J145" s="3314">
        <v>35.9</v>
      </c>
      <c r="K145" s="3315"/>
      <c r="L145" s="3208">
        <v>15.94</v>
      </c>
    </row>
    <row r="146" spans="1:12">
      <c r="A146" s="3318">
        <v>145</v>
      </c>
      <c r="B146" s="3319"/>
      <c r="C146" s="3207" t="s">
        <v>5924</v>
      </c>
      <c r="D146" s="3327"/>
      <c r="E146" s="3328"/>
      <c r="F146" s="3318">
        <v>1208</v>
      </c>
      <c r="G146" s="3319"/>
      <c r="H146" s="3333" t="s">
        <v>5925</v>
      </c>
      <c r="I146" s="3334"/>
      <c r="J146" s="3314">
        <v>35.9</v>
      </c>
      <c r="K146" s="3315"/>
      <c r="L146" s="3208">
        <v>15.94</v>
      </c>
    </row>
    <row r="147" spans="1:12">
      <c r="A147" s="3318">
        <v>146</v>
      </c>
      <c r="B147" s="3319"/>
      <c r="C147" s="3207" t="s">
        <v>5924</v>
      </c>
      <c r="D147" s="3327"/>
      <c r="E147" s="3328"/>
      <c r="F147" s="3318">
        <v>1213</v>
      </c>
      <c r="G147" s="3319"/>
      <c r="H147" s="3333" t="s">
        <v>5925</v>
      </c>
      <c r="I147" s="3334"/>
      <c r="J147" s="3305">
        <v>37.39</v>
      </c>
      <c r="K147" s="3306"/>
      <c r="L147" s="3208">
        <v>16.600000000000001</v>
      </c>
    </row>
    <row r="148" spans="1:12">
      <c r="A148" s="3318">
        <v>147</v>
      </c>
      <c r="B148" s="3319"/>
      <c r="C148" s="3207" t="s">
        <v>5924</v>
      </c>
      <c r="D148" s="3327"/>
      <c r="E148" s="3328"/>
      <c r="F148" s="3318">
        <v>1214</v>
      </c>
      <c r="G148" s="3319"/>
      <c r="H148" s="3333" t="s">
        <v>5925</v>
      </c>
      <c r="I148" s="3334"/>
      <c r="J148" s="3305">
        <v>37.39</v>
      </c>
      <c r="K148" s="3306"/>
      <c r="L148" s="3208">
        <v>16.600000000000001</v>
      </c>
    </row>
    <row r="149" spans="1:12">
      <c r="A149" s="3318">
        <v>148</v>
      </c>
      <c r="B149" s="3319"/>
      <c r="C149" s="3207" t="s">
        <v>5924</v>
      </c>
      <c r="D149" s="3327"/>
      <c r="E149" s="3328"/>
      <c r="F149" s="3318">
        <v>1216</v>
      </c>
      <c r="G149" s="3319"/>
      <c r="H149" s="3333" t="s">
        <v>5925</v>
      </c>
      <c r="I149" s="3334"/>
      <c r="J149" s="3305">
        <v>37.39</v>
      </c>
      <c r="K149" s="3306"/>
      <c r="L149" s="3208">
        <v>16.600000000000001</v>
      </c>
    </row>
    <row r="150" spans="1:12">
      <c r="A150" s="3318">
        <v>149</v>
      </c>
      <c r="B150" s="3319"/>
      <c r="C150" s="3207" t="s">
        <v>5924</v>
      </c>
      <c r="D150" s="3327"/>
      <c r="E150" s="3328"/>
      <c r="F150" s="3318">
        <v>1219</v>
      </c>
      <c r="G150" s="3319"/>
      <c r="H150" s="3333" t="s">
        <v>5925</v>
      </c>
      <c r="I150" s="3334"/>
      <c r="J150" s="3305">
        <v>37.39</v>
      </c>
      <c r="K150" s="3306"/>
      <c r="L150" s="3208">
        <v>16.600000000000001</v>
      </c>
    </row>
    <row r="151" spans="1:12">
      <c r="A151" s="3318">
        <v>150</v>
      </c>
      <c r="B151" s="3319"/>
      <c r="C151" s="3207" t="s">
        <v>5924</v>
      </c>
      <c r="D151" s="3327"/>
      <c r="E151" s="3328"/>
      <c r="F151" s="3318">
        <v>1220</v>
      </c>
      <c r="G151" s="3319"/>
      <c r="H151" s="3333" t="s">
        <v>5925</v>
      </c>
      <c r="I151" s="3334"/>
      <c r="J151" s="3305">
        <v>37.39</v>
      </c>
      <c r="K151" s="3306"/>
      <c r="L151" s="3208">
        <v>16.600000000000001</v>
      </c>
    </row>
    <row r="152" spans="1:12">
      <c r="A152" s="3318">
        <v>151</v>
      </c>
      <c r="B152" s="3319"/>
      <c r="C152" s="3207" t="s">
        <v>5924</v>
      </c>
      <c r="D152" s="3327"/>
      <c r="E152" s="3328"/>
      <c r="F152" s="3318">
        <v>1221</v>
      </c>
      <c r="G152" s="3319"/>
      <c r="H152" s="3333" t="s">
        <v>5925</v>
      </c>
      <c r="I152" s="3334"/>
      <c r="J152" s="3305">
        <v>37.39</v>
      </c>
      <c r="K152" s="3306"/>
      <c r="L152" s="3208">
        <v>16.600000000000001</v>
      </c>
    </row>
    <row r="153" spans="1:12">
      <c r="A153" s="3318">
        <v>152</v>
      </c>
      <c r="B153" s="3319"/>
      <c r="C153" s="3207" t="s">
        <v>5924</v>
      </c>
      <c r="D153" s="3327"/>
      <c r="E153" s="3328"/>
      <c r="F153" s="3318">
        <v>1223</v>
      </c>
      <c r="G153" s="3319"/>
      <c r="H153" s="3333" t="s">
        <v>5925</v>
      </c>
      <c r="I153" s="3334"/>
      <c r="J153" s="3305">
        <v>37.39</v>
      </c>
      <c r="K153" s="3306"/>
      <c r="L153" s="3208">
        <v>16.600000000000001</v>
      </c>
    </row>
    <row r="154" spans="1:12">
      <c r="A154" s="3318">
        <v>153</v>
      </c>
      <c r="B154" s="3319"/>
      <c r="C154" s="3207" t="s">
        <v>5924</v>
      </c>
      <c r="D154" s="3327"/>
      <c r="E154" s="3328"/>
      <c r="F154" s="3318">
        <v>1224</v>
      </c>
      <c r="G154" s="3319"/>
      <c r="H154" s="3333" t="s">
        <v>5925</v>
      </c>
      <c r="I154" s="3334"/>
      <c r="J154" s="3305">
        <v>37.39</v>
      </c>
      <c r="K154" s="3306"/>
      <c r="L154" s="3208">
        <v>16.600000000000001</v>
      </c>
    </row>
    <row r="155" spans="1:12">
      <c r="A155" s="3318">
        <v>154</v>
      </c>
      <c r="B155" s="3319"/>
      <c r="C155" s="3207" t="s">
        <v>5924</v>
      </c>
      <c r="D155" s="3327"/>
      <c r="E155" s="3328"/>
      <c r="F155" s="3318">
        <v>1231</v>
      </c>
      <c r="G155" s="3319"/>
      <c r="H155" s="3333" t="s">
        <v>5925</v>
      </c>
      <c r="I155" s="3334"/>
      <c r="J155" s="3305">
        <v>37.39</v>
      </c>
      <c r="K155" s="3306"/>
      <c r="L155" s="3208">
        <v>16.600000000000001</v>
      </c>
    </row>
    <row r="156" spans="1:12">
      <c r="A156" s="3318">
        <v>155</v>
      </c>
      <c r="B156" s="3319"/>
      <c r="C156" s="3207" t="s">
        <v>5924</v>
      </c>
      <c r="D156" s="3327"/>
      <c r="E156" s="3328"/>
      <c r="F156" s="3318">
        <v>1237</v>
      </c>
      <c r="G156" s="3319"/>
      <c r="H156" s="3333" t="s">
        <v>5925</v>
      </c>
      <c r="I156" s="3334"/>
      <c r="J156" s="3305">
        <v>55.34</v>
      </c>
      <c r="K156" s="3306"/>
      <c r="L156" s="3208">
        <v>24.58</v>
      </c>
    </row>
    <row r="157" spans="1:12">
      <c r="A157" s="3318">
        <v>156</v>
      </c>
      <c r="B157" s="3319"/>
      <c r="C157" s="3207" t="s">
        <v>5924</v>
      </c>
      <c r="D157" s="3327"/>
      <c r="E157" s="3328"/>
      <c r="F157" s="3318">
        <v>1238</v>
      </c>
      <c r="G157" s="3319"/>
      <c r="H157" s="3333" t="s">
        <v>5925</v>
      </c>
      <c r="I157" s="3334"/>
      <c r="J157" s="3314">
        <v>35.9</v>
      </c>
      <c r="K157" s="3315"/>
      <c r="L157" s="3208">
        <v>15.94</v>
      </c>
    </row>
    <row r="158" spans="1:12">
      <c r="A158" s="3318">
        <v>157</v>
      </c>
      <c r="B158" s="3319"/>
      <c r="C158" s="3207" t="s">
        <v>5924</v>
      </c>
      <c r="D158" s="3327"/>
      <c r="E158" s="3328"/>
      <c r="F158" s="3318">
        <v>1239</v>
      </c>
      <c r="G158" s="3319"/>
      <c r="H158" s="3333" t="s">
        <v>5925</v>
      </c>
      <c r="I158" s="3334"/>
      <c r="J158" s="3314">
        <v>35.9</v>
      </c>
      <c r="K158" s="3315"/>
      <c r="L158" s="3208">
        <v>15.94</v>
      </c>
    </row>
    <row r="159" spans="1:12">
      <c r="A159" s="3318">
        <v>158</v>
      </c>
      <c r="B159" s="3319"/>
      <c r="C159" s="3207" t="s">
        <v>5924</v>
      </c>
      <c r="D159" s="3327"/>
      <c r="E159" s="3328"/>
      <c r="F159" s="3318">
        <v>1240</v>
      </c>
      <c r="G159" s="3319"/>
      <c r="H159" s="3333" t="s">
        <v>5925</v>
      </c>
      <c r="I159" s="3334"/>
      <c r="J159" s="3305">
        <v>37.39</v>
      </c>
      <c r="K159" s="3306"/>
      <c r="L159" s="3208">
        <v>16.600000000000001</v>
      </c>
    </row>
    <row r="160" spans="1:12">
      <c r="A160" s="3318">
        <v>159</v>
      </c>
      <c r="B160" s="3319"/>
      <c r="C160" s="3207" t="s">
        <v>5924</v>
      </c>
      <c r="D160" s="3327"/>
      <c r="E160" s="3328"/>
      <c r="F160" s="3318">
        <v>1242</v>
      </c>
      <c r="G160" s="3319"/>
      <c r="H160" s="3333" t="s">
        <v>5925</v>
      </c>
      <c r="I160" s="3334"/>
      <c r="J160" s="3305">
        <v>37.39</v>
      </c>
      <c r="K160" s="3306"/>
      <c r="L160" s="3208">
        <v>16.600000000000001</v>
      </c>
    </row>
    <row r="161" spans="1:12">
      <c r="A161" s="3318">
        <v>160</v>
      </c>
      <c r="B161" s="3319"/>
      <c r="C161" s="3207" t="s">
        <v>5924</v>
      </c>
      <c r="D161" s="3327"/>
      <c r="E161" s="3328"/>
      <c r="F161" s="3318">
        <v>1243</v>
      </c>
      <c r="G161" s="3319"/>
      <c r="H161" s="3333" t="s">
        <v>5925</v>
      </c>
      <c r="I161" s="3334"/>
      <c r="J161" s="3314">
        <v>35.9</v>
      </c>
      <c r="K161" s="3315"/>
      <c r="L161" s="3208">
        <v>15.94</v>
      </c>
    </row>
    <row r="162" spans="1:12">
      <c r="A162" s="3318">
        <v>161</v>
      </c>
      <c r="B162" s="3319"/>
      <c r="C162" s="3207" t="s">
        <v>5924</v>
      </c>
      <c r="D162" s="3327"/>
      <c r="E162" s="3328"/>
      <c r="F162" s="3318">
        <v>1244</v>
      </c>
      <c r="G162" s="3319"/>
      <c r="H162" s="3333" t="s">
        <v>5925</v>
      </c>
      <c r="I162" s="3334"/>
      <c r="J162" s="3314">
        <v>35.9</v>
      </c>
      <c r="K162" s="3315"/>
      <c r="L162" s="3208">
        <v>15.94</v>
      </c>
    </row>
    <row r="163" spans="1:12">
      <c r="A163" s="3318">
        <v>162</v>
      </c>
      <c r="B163" s="3319"/>
      <c r="C163" s="3207" t="s">
        <v>5924</v>
      </c>
      <c r="D163" s="3327"/>
      <c r="E163" s="3328"/>
      <c r="F163" s="3318">
        <v>1245</v>
      </c>
      <c r="G163" s="3319"/>
      <c r="H163" s="3333" t="s">
        <v>5925</v>
      </c>
      <c r="I163" s="3334"/>
      <c r="J163" s="3314">
        <v>35.9</v>
      </c>
      <c r="K163" s="3315"/>
      <c r="L163" s="3208">
        <v>15.94</v>
      </c>
    </row>
    <row r="164" spans="1:12">
      <c r="A164" s="3318">
        <v>163</v>
      </c>
      <c r="B164" s="3319"/>
      <c r="C164" s="3207" t="s">
        <v>5924</v>
      </c>
      <c r="D164" s="3327"/>
      <c r="E164" s="3328"/>
      <c r="F164" s="3318">
        <v>1246</v>
      </c>
      <c r="G164" s="3319"/>
      <c r="H164" s="3333" t="s">
        <v>5925</v>
      </c>
      <c r="I164" s="3334"/>
      <c r="J164" s="3314">
        <v>35.9</v>
      </c>
      <c r="K164" s="3315"/>
      <c r="L164" s="3208">
        <v>15.94</v>
      </c>
    </row>
    <row r="165" spans="1:12">
      <c r="A165" s="3318">
        <v>164</v>
      </c>
      <c r="B165" s="3319"/>
      <c r="C165" s="3207" t="s">
        <v>5924</v>
      </c>
      <c r="D165" s="3327"/>
      <c r="E165" s="3328"/>
      <c r="F165" s="3318">
        <v>1247</v>
      </c>
      <c r="G165" s="3319"/>
      <c r="H165" s="3333" t="s">
        <v>5925</v>
      </c>
      <c r="I165" s="3334"/>
      <c r="J165" s="3305">
        <v>37.39</v>
      </c>
      <c r="K165" s="3306"/>
      <c r="L165" s="3208">
        <v>16.600000000000001</v>
      </c>
    </row>
    <row r="166" spans="1:12">
      <c r="A166" s="3318">
        <v>165</v>
      </c>
      <c r="B166" s="3319"/>
      <c r="C166" s="3207" t="s">
        <v>5924</v>
      </c>
      <c r="D166" s="3327"/>
      <c r="E166" s="3328"/>
      <c r="F166" s="3318">
        <v>1248</v>
      </c>
      <c r="G166" s="3319"/>
      <c r="H166" s="3333" t="s">
        <v>5925</v>
      </c>
      <c r="I166" s="3334"/>
      <c r="J166" s="3305">
        <v>37.39</v>
      </c>
      <c r="K166" s="3306"/>
      <c r="L166" s="3208">
        <v>16.600000000000001</v>
      </c>
    </row>
    <row r="167" spans="1:12">
      <c r="A167" s="3318">
        <v>166</v>
      </c>
      <c r="B167" s="3319"/>
      <c r="C167" s="3207" t="s">
        <v>5924</v>
      </c>
      <c r="D167" s="3327"/>
      <c r="E167" s="3328"/>
      <c r="F167" s="3318">
        <v>1249</v>
      </c>
      <c r="G167" s="3319"/>
      <c r="H167" s="3333" t="s">
        <v>5925</v>
      </c>
      <c r="I167" s="3334"/>
      <c r="J167" s="3314">
        <v>35.9</v>
      </c>
      <c r="K167" s="3315"/>
      <c r="L167" s="3208">
        <v>15.94</v>
      </c>
    </row>
    <row r="168" spans="1:12">
      <c r="A168" s="3318">
        <v>167</v>
      </c>
      <c r="B168" s="3319"/>
      <c r="C168" s="3207" t="s">
        <v>5924</v>
      </c>
      <c r="D168" s="3327"/>
      <c r="E168" s="3328"/>
      <c r="F168" s="3318">
        <v>1250</v>
      </c>
      <c r="G168" s="3319"/>
      <c r="H168" s="3333" t="s">
        <v>5925</v>
      </c>
      <c r="I168" s="3334"/>
      <c r="J168" s="3314">
        <v>35.9</v>
      </c>
      <c r="K168" s="3315"/>
      <c r="L168" s="3208">
        <v>15.94</v>
      </c>
    </row>
    <row r="169" spans="1:12">
      <c r="A169" s="3318">
        <v>168</v>
      </c>
      <c r="B169" s="3319"/>
      <c r="C169" s="3207" t="s">
        <v>5924</v>
      </c>
      <c r="D169" s="3327"/>
      <c r="E169" s="3328"/>
      <c r="F169" s="3318">
        <v>1251</v>
      </c>
      <c r="G169" s="3319"/>
      <c r="H169" s="3333" t="s">
        <v>5925</v>
      </c>
      <c r="I169" s="3334"/>
      <c r="J169" s="3314">
        <v>35.9</v>
      </c>
      <c r="K169" s="3315"/>
      <c r="L169" s="3208">
        <v>15.94</v>
      </c>
    </row>
    <row r="170" spans="1:12">
      <c r="A170" s="3318">
        <v>169</v>
      </c>
      <c r="B170" s="3319"/>
      <c r="C170" s="3207" t="s">
        <v>5924</v>
      </c>
      <c r="D170" s="3327"/>
      <c r="E170" s="3328"/>
      <c r="F170" s="3318">
        <v>1252</v>
      </c>
      <c r="G170" s="3319"/>
      <c r="H170" s="3333" t="s">
        <v>5925</v>
      </c>
      <c r="I170" s="3334"/>
      <c r="J170" s="3314">
        <v>35.9</v>
      </c>
      <c r="K170" s="3315"/>
      <c r="L170" s="3208">
        <v>15.94</v>
      </c>
    </row>
    <row r="171" spans="1:12">
      <c r="A171" s="3318">
        <v>170</v>
      </c>
      <c r="B171" s="3319"/>
      <c r="C171" s="3207" t="s">
        <v>5924</v>
      </c>
      <c r="D171" s="3327"/>
      <c r="E171" s="3328"/>
      <c r="F171" s="3318">
        <v>1253</v>
      </c>
      <c r="G171" s="3319"/>
      <c r="H171" s="3333" t="s">
        <v>5925</v>
      </c>
      <c r="I171" s="3334"/>
      <c r="J171" s="3305">
        <v>37.39</v>
      </c>
      <c r="K171" s="3306"/>
      <c r="L171" s="3208">
        <v>16.600000000000001</v>
      </c>
    </row>
    <row r="172" spans="1:12">
      <c r="A172" s="3318">
        <v>171</v>
      </c>
      <c r="B172" s="3319"/>
      <c r="C172" s="3207" t="s">
        <v>5924</v>
      </c>
      <c r="D172" s="3327"/>
      <c r="E172" s="3328"/>
      <c r="F172" s="3318">
        <v>1255</v>
      </c>
      <c r="G172" s="3319"/>
      <c r="H172" s="3333" t="s">
        <v>5925</v>
      </c>
      <c r="I172" s="3334"/>
      <c r="J172" s="3305">
        <v>37.39</v>
      </c>
      <c r="K172" s="3306"/>
      <c r="L172" s="3208">
        <v>16.600000000000001</v>
      </c>
    </row>
    <row r="173" spans="1:12">
      <c r="A173" s="3318">
        <v>172</v>
      </c>
      <c r="B173" s="3319"/>
      <c r="C173" s="3207" t="s">
        <v>5924</v>
      </c>
      <c r="D173" s="3327"/>
      <c r="E173" s="3328"/>
      <c r="F173" s="3318">
        <v>1256</v>
      </c>
      <c r="G173" s="3319"/>
      <c r="H173" s="3333" t="s">
        <v>5925</v>
      </c>
      <c r="I173" s="3334"/>
      <c r="J173" s="3305">
        <v>37.39</v>
      </c>
      <c r="K173" s="3306"/>
      <c r="L173" s="3208">
        <v>16.600000000000001</v>
      </c>
    </row>
    <row r="174" spans="1:12">
      <c r="A174" s="3318">
        <v>173</v>
      </c>
      <c r="B174" s="3319"/>
      <c r="C174" s="3207" t="s">
        <v>5924</v>
      </c>
      <c r="D174" s="3327"/>
      <c r="E174" s="3328"/>
      <c r="F174" s="3318">
        <v>1260</v>
      </c>
      <c r="G174" s="3319"/>
      <c r="H174" s="3333" t="s">
        <v>5925</v>
      </c>
      <c r="I174" s="3334"/>
      <c r="J174" s="3305">
        <v>37.39</v>
      </c>
      <c r="K174" s="3306"/>
      <c r="L174" s="3208">
        <v>16.600000000000001</v>
      </c>
    </row>
    <row r="175" spans="1:12">
      <c r="A175" s="3318">
        <v>174</v>
      </c>
      <c r="B175" s="3319"/>
      <c r="C175" s="3207" t="s">
        <v>5924</v>
      </c>
      <c r="D175" s="3327"/>
      <c r="E175" s="3328"/>
      <c r="F175" s="3318">
        <v>1269</v>
      </c>
      <c r="G175" s="3319"/>
      <c r="H175" s="3333" t="s">
        <v>5925</v>
      </c>
      <c r="I175" s="3334"/>
      <c r="J175" s="3305">
        <v>37.39</v>
      </c>
      <c r="K175" s="3306"/>
      <c r="L175" s="3208">
        <v>16.600000000000001</v>
      </c>
    </row>
    <row r="176" spans="1:12">
      <c r="A176" s="3318">
        <v>175</v>
      </c>
      <c r="B176" s="3319"/>
      <c r="C176" s="3207" t="s">
        <v>5924</v>
      </c>
      <c r="D176" s="3327"/>
      <c r="E176" s="3328"/>
      <c r="F176" s="3318">
        <v>1270</v>
      </c>
      <c r="G176" s="3319"/>
      <c r="H176" s="3333" t="s">
        <v>5925</v>
      </c>
      <c r="I176" s="3334"/>
      <c r="J176" s="3305">
        <v>37.39</v>
      </c>
      <c r="K176" s="3306"/>
      <c r="L176" s="3208">
        <v>16.600000000000001</v>
      </c>
    </row>
    <row r="177" spans="1:12">
      <c r="A177" s="3318">
        <v>176</v>
      </c>
      <c r="B177" s="3319"/>
      <c r="C177" s="3207" t="s">
        <v>5924</v>
      </c>
      <c r="D177" s="3327"/>
      <c r="E177" s="3328"/>
      <c r="F177" s="3318">
        <v>1271</v>
      </c>
      <c r="G177" s="3319"/>
      <c r="H177" s="3333" t="s">
        <v>5925</v>
      </c>
      <c r="I177" s="3334"/>
      <c r="J177" s="3305">
        <v>37.39</v>
      </c>
      <c r="K177" s="3306"/>
      <c r="L177" s="3208">
        <v>16.600000000000001</v>
      </c>
    </row>
    <row r="178" spans="1:12">
      <c r="A178" s="3318">
        <v>177</v>
      </c>
      <c r="B178" s="3319"/>
      <c r="C178" s="3207" t="s">
        <v>5924</v>
      </c>
      <c r="D178" s="3327"/>
      <c r="E178" s="3328"/>
      <c r="F178" s="3318">
        <v>1272</v>
      </c>
      <c r="G178" s="3319"/>
      <c r="H178" s="3333" t="s">
        <v>5925</v>
      </c>
      <c r="I178" s="3334"/>
      <c r="J178" s="3305">
        <v>37.39</v>
      </c>
      <c r="K178" s="3306"/>
      <c r="L178" s="3208">
        <v>16.600000000000001</v>
      </c>
    </row>
    <row r="179" spans="1:12">
      <c r="A179" s="3318">
        <v>178</v>
      </c>
      <c r="B179" s="3319"/>
      <c r="C179" s="3207" t="s">
        <v>5924</v>
      </c>
      <c r="D179" s="3327"/>
      <c r="E179" s="3328"/>
      <c r="F179" s="3318">
        <v>1273</v>
      </c>
      <c r="G179" s="3319"/>
      <c r="H179" s="3333" t="s">
        <v>5925</v>
      </c>
      <c r="I179" s="3334"/>
      <c r="J179" s="3305">
        <v>37.39</v>
      </c>
      <c r="K179" s="3306"/>
      <c r="L179" s="3208">
        <v>16.600000000000001</v>
      </c>
    </row>
    <row r="180" spans="1:12">
      <c r="A180" s="3318">
        <v>179</v>
      </c>
      <c r="B180" s="3319"/>
      <c r="C180" s="3207" t="s">
        <v>5924</v>
      </c>
      <c r="D180" s="3327"/>
      <c r="E180" s="3328"/>
      <c r="F180" s="3318">
        <v>1274</v>
      </c>
      <c r="G180" s="3319"/>
      <c r="H180" s="3333" t="s">
        <v>5925</v>
      </c>
      <c r="I180" s="3334"/>
      <c r="J180" s="3305">
        <v>37.39</v>
      </c>
      <c r="K180" s="3306"/>
      <c r="L180" s="3208">
        <v>16.600000000000001</v>
      </c>
    </row>
    <row r="181" spans="1:12">
      <c r="A181" s="3318">
        <v>180</v>
      </c>
      <c r="B181" s="3319"/>
      <c r="C181" s="3207" t="s">
        <v>5924</v>
      </c>
      <c r="D181" s="3327"/>
      <c r="E181" s="3328"/>
      <c r="F181" s="3318">
        <v>1277</v>
      </c>
      <c r="G181" s="3319"/>
      <c r="H181" s="3333" t="s">
        <v>5925</v>
      </c>
      <c r="I181" s="3334"/>
      <c r="J181" s="3305">
        <v>37.39</v>
      </c>
      <c r="K181" s="3306"/>
      <c r="L181" s="3208">
        <v>16.600000000000001</v>
      </c>
    </row>
    <row r="182" spans="1:12">
      <c r="A182" s="3318">
        <v>181</v>
      </c>
      <c r="B182" s="3319"/>
      <c r="C182" s="3207" t="s">
        <v>5924</v>
      </c>
      <c r="D182" s="3327"/>
      <c r="E182" s="3328"/>
      <c r="F182" s="3318">
        <v>1278</v>
      </c>
      <c r="G182" s="3319"/>
      <c r="H182" s="3333" t="s">
        <v>5925</v>
      </c>
      <c r="I182" s="3334"/>
      <c r="J182" s="3305">
        <v>37.39</v>
      </c>
      <c r="K182" s="3306"/>
      <c r="L182" s="3208">
        <v>16.600000000000001</v>
      </c>
    </row>
    <row r="183" spans="1:12">
      <c r="A183" s="3318">
        <v>182</v>
      </c>
      <c r="B183" s="3319"/>
      <c r="C183" s="3207" t="s">
        <v>5924</v>
      </c>
      <c r="D183" s="3327"/>
      <c r="E183" s="3328"/>
      <c r="F183" s="3318">
        <v>1279</v>
      </c>
      <c r="G183" s="3319"/>
      <c r="H183" s="3333" t="s">
        <v>5925</v>
      </c>
      <c r="I183" s="3334"/>
      <c r="J183" s="3305">
        <v>37.39</v>
      </c>
      <c r="K183" s="3306"/>
      <c r="L183" s="3208">
        <v>16.600000000000001</v>
      </c>
    </row>
    <row r="184" spans="1:12">
      <c r="A184" s="3318">
        <v>183</v>
      </c>
      <c r="B184" s="3319"/>
      <c r="C184" s="3207" t="s">
        <v>5924</v>
      </c>
      <c r="D184" s="3327"/>
      <c r="E184" s="3328"/>
      <c r="F184" s="3318">
        <v>1281</v>
      </c>
      <c r="G184" s="3319"/>
      <c r="H184" s="3333" t="s">
        <v>5925</v>
      </c>
      <c r="I184" s="3334"/>
      <c r="J184" s="3305">
        <v>37.39</v>
      </c>
      <c r="K184" s="3306"/>
      <c r="L184" s="3208">
        <v>16.600000000000001</v>
      </c>
    </row>
    <row r="185" spans="1:12">
      <c r="A185" s="3318">
        <v>184</v>
      </c>
      <c r="B185" s="3319"/>
      <c r="C185" s="3207" t="s">
        <v>5924</v>
      </c>
      <c r="D185" s="3327"/>
      <c r="E185" s="3328"/>
      <c r="F185" s="3318">
        <v>1283</v>
      </c>
      <c r="G185" s="3319"/>
      <c r="H185" s="3333" t="s">
        <v>5925</v>
      </c>
      <c r="I185" s="3334"/>
      <c r="J185" s="3305">
        <v>37.39</v>
      </c>
      <c r="K185" s="3306"/>
      <c r="L185" s="3208">
        <v>16.600000000000001</v>
      </c>
    </row>
    <row r="186" spans="1:12">
      <c r="A186" s="3318">
        <v>185</v>
      </c>
      <c r="B186" s="3319"/>
      <c r="C186" s="3207" t="s">
        <v>5924</v>
      </c>
      <c r="D186" s="3327"/>
      <c r="E186" s="3328"/>
      <c r="F186" s="3318">
        <v>1284</v>
      </c>
      <c r="G186" s="3319"/>
      <c r="H186" s="3333" t="s">
        <v>5925</v>
      </c>
      <c r="I186" s="3334"/>
      <c r="J186" s="3305">
        <v>37.39</v>
      </c>
      <c r="K186" s="3306"/>
      <c r="L186" s="3208">
        <v>16.600000000000001</v>
      </c>
    </row>
    <row r="187" spans="1:12">
      <c r="A187" s="3318">
        <v>186</v>
      </c>
      <c r="B187" s="3319"/>
      <c r="C187" s="3207" t="s">
        <v>5924</v>
      </c>
      <c r="D187" s="3327"/>
      <c r="E187" s="3328"/>
      <c r="F187" s="3318">
        <v>1287</v>
      </c>
      <c r="G187" s="3319"/>
      <c r="H187" s="3333" t="s">
        <v>5925</v>
      </c>
      <c r="I187" s="3334"/>
      <c r="J187" s="3305">
        <v>37.39</v>
      </c>
      <c r="K187" s="3306"/>
      <c r="L187" s="3208">
        <v>16.600000000000001</v>
      </c>
    </row>
    <row r="188" spans="1:12">
      <c r="A188" s="3318">
        <v>187</v>
      </c>
      <c r="B188" s="3319"/>
      <c r="C188" s="3207" t="s">
        <v>5924</v>
      </c>
      <c r="D188" s="3327"/>
      <c r="E188" s="3328"/>
      <c r="F188" s="3318">
        <v>1288</v>
      </c>
      <c r="G188" s="3319"/>
      <c r="H188" s="3333" t="s">
        <v>5925</v>
      </c>
      <c r="I188" s="3334"/>
      <c r="J188" s="3305">
        <v>37.39</v>
      </c>
      <c r="K188" s="3306"/>
      <c r="L188" s="3208">
        <v>16.600000000000001</v>
      </c>
    </row>
    <row r="189" spans="1:12">
      <c r="A189" s="3318">
        <v>188</v>
      </c>
      <c r="B189" s="3319"/>
      <c r="C189" s="3207" t="s">
        <v>5924</v>
      </c>
      <c r="D189" s="3327"/>
      <c r="E189" s="3328"/>
      <c r="F189" s="3318">
        <v>1293</v>
      </c>
      <c r="G189" s="3319"/>
      <c r="H189" s="3333" t="s">
        <v>5925</v>
      </c>
      <c r="I189" s="3334"/>
      <c r="J189" s="3305">
        <v>37.39</v>
      </c>
      <c r="K189" s="3306"/>
      <c r="L189" s="3208">
        <v>16.600000000000001</v>
      </c>
    </row>
    <row r="190" spans="1:12">
      <c r="A190" s="3318">
        <v>189</v>
      </c>
      <c r="B190" s="3319"/>
      <c r="C190" s="3207" t="s">
        <v>5924</v>
      </c>
      <c r="D190" s="3327"/>
      <c r="E190" s="3328"/>
      <c r="F190" s="3318">
        <v>1294</v>
      </c>
      <c r="G190" s="3319"/>
      <c r="H190" s="3333" t="s">
        <v>5925</v>
      </c>
      <c r="I190" s="3334"/>
      <c r="J190" s="3305">
        <v>37.39</v>
      </c>
      <c r="K190" s="3306"/>
      <c r="L190" s="3208">
        <v>16.600000000000001</v>
      </c>
    </row>
    <row r="191" spans="1:12">
      <c r="A191" s="3318">
        <v>190</v>
      </c>
      <c r="B191" s="3319"/>
      <c r="C191" s="3207" t="s">
        <v>5924</v>
      </c>
      <c r="D191" s="3327"/>
      <c r="E191" s="3328"/>
      <c r="F191" s="3318">
        <v>1295</v>
      </c>
      <c r="G191" s="3319"/>
      <c r="H191" s="3333" t="s">
        <v>5925</v>
      </c>
      <c r="I191" s="3334"/>
      <c r="J191" s="3305">
        <v>37.39</v>
      </c>
      <c r="K191" s="3306"/>
      <c r="L191" s="3208">
        <v>16.600000000000001</v>
      </c>
    </row>
    <row r="192" spans="1:12">
      <c r="A192" s="3318">
        <v>191</v>
      </c>
      <c r="B192" s="3319"/>
      <c r="C192" s="3207" t="s">
        <v>5924</v>
      </c>
      <c r="D192" s="3327"/>
      <c r="E192" s="3328"/>
      <c r="F192" s="3318">
        <v>1296</v>
      </c>
      <c r="G192" s="3319"/>
      <c r="H192" s="3333" t="s">
        <v>5925</v>
      </c>
      <c r="I192" s="3334"/>
      <c r="J192" s="3305">
        <v>37.39</v>
      </c>
      <c r="K192" s="3306"/>
      <c r="L192" s="3208">
        <v>16.600000000000001</v>
      </c>
    </row>
    <row r="193" spans="1:12">
      <c r="A193" s="3318">
        <v>192</v>
      </c>
      <c r="B193" s="3319"/>
      <c r="C193" s="3207" t="s">
        <v>5924</v>
      </c>
      <c r="D193" s="3327"/>
      <c r="E193" s="3328"/>
      <c r="F193" s="3318">
        <v>1297</v>
      </c>
      <c r="G193" s="3319"/>
      <c r="H193" s="3333" t="s">
        <v>5925</v>
      </c>
      <c r="I193" s="3334"/>
      <c r="J193" s="3305">
        <v>37.39</v>
      </c>
      <c r="K193" s="3306"/>
      <c r="L193" s="3208">
        <v>16.600000000000001</v>
      </c>
    </row>
    <row r="194" spans="1:12">
      <c r="A194" s="3318">
        <v>193</v>
      </c>
      <c r="B194" s="3319"/>
      <c r="C194" s="3207" t="s">
        <v>5924</v>
      </c>
      <c r="D194" s="3327"/>
      <c r="E194" s="3328"/>
      <c r="F194" s="3318">
        <v>1298</v>
      </c>
      <c r="G194" s="3319"/>
      <c r="H194" s="3333" t="s">
        <v>5925</v>
      </c>
      <c r="I194" s="3334"/>
      <c r="J194" s="3305">
        <v>37.39</v>
      </c>
      <c r="K194" s="3306"/>
      <c r="L194" s="3208">
        <v>16.600000000000001</v>
      </c>
    </row>
    <row r="195" spans="1:12">
      <c r="A195" s="3318">
        <v>194</v>
      </c>
      <c r="B195" s="3319"/>
      <c r="C195" s="3207" t="s">
        <v>5924</v>
      </c>
      <c r="D195" s="3327"/>
      <c r="E195" s="3328"/>
      <c r="F195" s="3318">
        <v>1299</v>
      </c>
      <c r="G195" s="3319"/>
      <c r="H195" s="3333" t="s">
        <v>5925</v>
      </c>
      <c r="I195" s="3334"/>
      <c r="J195" s="3305">
        <v>37.39</v>
      </c>
      <c r="K195" s="3306"/>
      <c r="L195" s="3208">
        <v>16.600000000000001</v>
      </c>
    </row>
    <row r="196" spans="1:12">
      <c r="A196" s="3318">
        <v>195</v>
      </c>
      <c r="B196" s="3319"/>
      <c r="C196" s="3207" t="s">
        <v>5924</v>
      </c>
      <c r="D196" s="3327"/>
      <c r="E196" s="3328"/>
      <c r="F196" s="3318">
        <v>1300</v>
      </c>
      <c r="G196" s="3319"/>
      <c r="H196" s="3333" t="s">
        <v>5925</v>
      </c>
      <c r="I196" s="3334"/>
      <c r="J196" s="3305">
        <v>37.39</v>
      </c>
      <c r="K196" s="3306"/>
      <c r="L196" s="3208">
        <v>16.600000000000001</v>
      </c>
    </row>
    <row r="197" spans="1:12">
      <c r="A197" s="3318">
        <v>196</v>
      </c>
      <c r="B197" s="3319"/>
      <c r="C197" s="3207" t="s">
        <v>5924</v>
      </c>
      <c r="D197" s="3327"/>
      <c r="E197" s="3328"/>
      <c r="F197" s="3318">
        <v>1301</v>
      </c>
      <c r="G197" s="3319"/>
      <c r="H197" s="3333" t="s">
        <v>5925</v>
      </c>
      <c r="I197" s="3334"/>
      <c r="J197" s="3305">
        <v>37.39</v>
      </c>
      <c r="K197" s="3306"/>
      <c r="L197" s="3208">
        <v>16.600000000000001</v>
      </c>
    </row>
    <row r="198" spans="1:12">
      <c r="A198" s="3318">
        <v>197</v>
      </c>
      <c r="B198" s="3319"/>
      <c r="C198" s="3207" t="s">
        <v>5924</v>
      </c>
      <c r="D198" s="3327"/>
      <c r="E198" s="3328"/>
      <c r="F198" s="3318">
        <v>1302</v>
      </c>
      <c r="G198" s="3319"/>
      <c r="H198" s="3333" t="s">
        <v>5925</v>
      </c>
      <c r="I198" s="3334"/>
      <c r="J198" s="3305">
        <v>37.39</v>
      </c>
      <c r="K198" s="3306"/>
      <c r="L198" s="3208">
        <v>16.600000000000001</v>
      </c>
    </row>
    <row r="199" spans="1:12">
      <c r="A199" s="3318">
        <v>198</v>
      </c>
      <c r="B199" s="3319"/>
      <c r="C199" s="3207" t="s">
        <v>5924</v>
      </c>
      <c r="D199" s="3327"/>
      <c r="E199" s="3328"/>
      <c r="F199" s="3318">
        <v>1303</v>
      </c>
      <c r="G199" s="3319"/>
      <c r="H199" s="3333" t="s">
        <v>5925</v>
      </c>
      <c r="I199" s="3334"/>
      <c r="J199" s="3305">
        <v>37.39</v>
      </c>
      <c r="K199" s="3306"/>
      <c r="L199" s="3208">
        <v>16.600000000000001</v>
      </c>
    </row>
    <row r="200" spans="1:12">
      <c r="A200" s="3318">
        <v>199</v>
      </c>
      <c r="B200" s="3319"/>
      <c r="C200" s="3207" t="s">
        <v>5924</v>
      </c>
      <c r="D200" s="3327"/>
      <c r="E200" s="3328"/>
      <c r="F200" s="3318">
        <v>1304</v>
      </c>
      <c r="G200" s="3319"/>
      <c r="H200" s="3333" t="s">
        <v>5925</v>
      </c>
      <c r="I200" s="3334"/>
      <c r="J200" s="3305">
        <v>55.34</v>
      </c>
      <c r="K200" s="3306"/>
      <c r="L200" s="3208">
        <v>24.58</v>
      </c>
    </row>
    <row r="201" spans="1:12">
      <c r="A201" s="3318">
        <v>200</v>
      </c>
      <c r="B201" s="3319"/>
      <c r="C201" s="3207" t="s">
        <v>5924</v>
      </c>
      <c r="D201" s="3327"/>
      <c r="E201" s="3328"/>
      <c r="F201" s="3318">
        <v>1305</v>
      </c>
      <c r="G201" s="3319"/>
      <c r="H201" s="3333" t="s">
        <v>5925</v>
      </c>
      <c r="I201" s="3334"/>
      <c r="J201" s="3305">
        <v>37.39</v>
      </c>
      <c r="K201" s="3306"/>
      <c r="L201" s="3208">
        <v>16.600000000000001</v>
      </c>
    </row>
    <row r="202" spans="1:12">
      <c r="A202" s="3318">
        <v>201</v>
      </c>
      <c r="B202" s="3319"/>
      <c r="C202" s="3207" t="s">
        <v>5924</v>
      </c>
      <c r="D202" s="3327"/>
      <c r="E202" s="3328"/>
      <c r="F202" s="3318">
        <v>1306</v>
      </c>
      <c r="G202" s="3319"/>
      <c r="H202" s="3333" t="s">
        <v>5925</v>
      </c>
      <c r="I202" s="3334"/>
      <c r="J202" s="3305">
        <v>37.39</v>
      </c>
      <c r="K202" s="3306"/>
      <c r="L202" s="3208">
        <v>16.600000000000001</v>
      </c>
    </row>
    <row r="203" spans="1:12">
      <c r="A203" s="3318">
        <v>202</v>
      </c>
      <c r="B203" s="3319"/>
      <c r="C203" s="3207" t="s">
        <v>5924</v>
      </c>
      <c r="D203" s="3327"/>
      <c r="E203" s="3328"/>
      <c r="F203" s="3318">
        <v>1309</v>
      </c>
      <c r="G203" s="3319"/>
      <c r="H203" s="3333" t="s">
        <v>5925</v>
      </c>
      <c r="I203" s="3334"/>
      <c r="J203" s="3305">
        <v>37.39</v>
      </c>
      <c r="K203" s="3306"/>
      <c r="L203" s="3208">
        <v>16.600000000000001</v>
      </c>
    </row>
    <row r="204" spans="1:12">
      <c r="A204" s="3318">
        <v>203</v>
      </c>
      <c r="B204" s="3319"/>
      <c r="C204" s="3207" t="s">
        <v>5924</v>
      </c>
      <c r="D204" s="3327"/>
      <c r="E204" s="3328"/>
      <c r="F204" s="3318">
        <v>1310</v>
      </c>
      <c r="G204" s="3319"/>
      <c r="H204" s="3333" t="s">
        <v>5925</v>
      </c>
      <c r="I204" s="3334"/>
      <c r="J204" s="3305">
        <v>37.39</v>
      </c>
      <c r="K204" s="3306"/>
      <c r="L204" s="3208">
        <v>16.600000000000001</v>
      </c>
    </row>
    <row r="205" spans="1:12">
      <c r="A205" s="3318">
        <v>204</v>
      </c>
      <c r="B205" s="3319"/>
      <c r="C205" s="3207" t="s">
        <v>5924</v>
      </c>
      <c r="D205" s="3327"/>
      <c r="E205" s="3328"/>
      <c r="F205" s="3318">
        <v>1311</v>
      </c>
      <c r="G205" s="3319"/>
      <c r="H205" s="3333" t="s">
        <v>5925</v>
      </c>
      <c r="I205" s="3334"/>
      <c r="J205" s="3305">
        <v>37.39</v>
      </c>
      <c r="K205" s="3306"/>
      <c r="L205" s="3208">
        <v>16.600000000000001</v>
      </c>
    </row>
    <row r="206" spans="1:12">
      <c r="A206" s="3318">
        <v>205</v>
      </c>
      <c r="B206" s="3319"/>
      <c r="C206" s="3207" t="s">
        <v>5924</v>
      </c>
      <c r="D206" s="3327"/>
      <c r="E206" s="3328"/>
      <c r="F206" s="3318">
        <v>1312</v>
      </c>
      <c r="G206" s="3319"/>
      <c r="H206" s="3333" t="s">
        <v>5925</v>
      </c>
      <c r="I206" s="3334"/>
      <c r="J206" s="3305">
        <v>37.39</v>
      </c>
      <c r="K206" s="3306"/>
      <c r="L206" s="3208">
        <v>16.600000000000001</v>
      </c>
    </row>
    <row r="207" spans="1:12">
      <c r="A207" s="3318">
        <v>206</v>
      </c>
      <c r="B207" s="3319"/>
      <c r="C207" s="3207" t="s">
        <v>5924</v>
      </c>
      <c r="D207" s="3327"/>
      <c r="E207" s="3328"/>
      <c r="F207" s="3318">
        <v>1313</v>
      </c>
      <c r="G207" s="3319"/>
      <c r="H207" s="3333" t="s">
        <v>5925</v>
      </c>
      <c r="I207" s="3334"/>
      <c r="J207" s="3305">
        <v>37.39</v>
      </c>
      <c r="K207" s="3306"/>
      <c r="L207" s="3208">
        <v>16.600000000000001</v>
      </c>
    </row>
    <row r="208" spans="1:12">
      <c r="A208" s="3318">
        <v>207</v>
      </c>
      <c r="B208" s="3319"/>
      <c r="C208" s="3207" t="s">
        <v>5924</v>
      </c>
      <c r="D208" s="3327"/>
      <c r="E208" s="3328"/>
      <c r="F208" s="3318">
        <v>1315</v>
      </c>
      <c r="G208" s="3319"/>
      <c r="H208" s="3333" t="s">
        <v>5925</v>
      </c>
      <c r="I208" s="3334"/>
      <c r="J208" s="3305">
        <v>37.39</v>
      </c>
      <c r="K208" s="3306"/>
      <c r="L208" s="3208">
        <v>16.600000000000001</v>
      </c>
    </row>
    <row r="209" spans="1:12">
      <c r="A209" s="3318">
        <v>208</v>
      </c>
      <c r="B209" s="3319"/>
      <c r="C209" s="3207" t="s">
        <v>5924</v>
      </c>
      <c r="D209" s="3327"/>
      <c r="E209" s="3328"/>
      <c r="F209" s="3318">
        <v>1316</v>
      </c>
      <c r="G209" s="3319"/>
      <c r="H209" s="3333" t="s">
        <v>5925</v>
      </c>
      <c r="I209" s="3334"/>
      <c r="J209" s="3305">
        <v>37.39</v>
      </c>
      <c r="K209" s="3306"/>
      <c r="L209" s="3208">
        <v>16.600000000000001</v>
      </c>
    </row>
    <row r="210" spans="1:12">
      <c r="A210" s="3318">
        <v>209</v>
      </c>
      <c r="B210" s="3319"/>
      <c r="C210" s="3207" t="s">
        <v>5924</v>
      </c>
      <c r="D210" s="3327"/>
      <c r="E210" s="3328"/>
      <c r="F210" s="3318">
        <v>1317</v>
      </c>
      <c r="G210" s="3319"/>
      <c r="H210" s="3333" t="s">
        <v>5925</v>
      </c>
      <c r="I210" s="3334"/>
      <c r="J210" s="3305">
        <v>37.39</v>
      </c>
      <c r="K210" s="3306"/>
      <c r="L210" s="3208">
        <v>16.600000000000001</v>
      </c>
    </row>
    <row r="211" spans="1:12">
      <c r="A211" s="3318">
        <v>210</v>
      </c>
      <c r="B211" s="3319"/>
      <c r="C211" s="3207" t="s">
        <v>5924</v>
      </c>
      <c r="D211" s="3327"/>
      <c r="E211" s="3328"/>
      <c r="F211" s="3318">
        <v>1318</v>
      </c>
      <c r="G211" s="3319"/>
      <c r="H211" s="3333" t="s">
        <v>5925</v>
      </c>
      <c r="I211" s="3334"/>
      <c r="J211" s="3305">
        <v>37.39</v>
      </c>
      <c r="K211" s="3306"/>
      <c r="L211" s="3208">
        <v>16.600000000000001</v>
      </c>
    </row>
    <row r="212" spans="1:12">
      <c r="A212" s="3318">
        <v>211</v>
      </c>
      <c r="B212" s="3319"/>
      <c r="C212" s="3207" t="s">
        <v>5924</v>
      </c>
      <c r="D212" s="3327"/>
      <c r="E212" s="3328"/>
      <c r="F212" s="3318">
        <v>1319</v>
      </c>
      <c r="G212" s="3319"/>
      <c r="H212" s="3333" t="s">
        <v>5925</v>
      </c>
      <c r="I212" s="3334"/>
      <c r="J212" s="3305">
        <v>37.39</v>
      </c>
      <c r="K212" s="3306"/>
      <c r="L212" s="3208">
        <v>16.600000000000001</v>
      </c>
    </row>
    <row r="213" spans="1:12">
      <c r="A213" s="3318">
        <v>212</v>
      </c>
      <c r="B213" s="3319"/>
      <c r="C213" s="3207" t="s">
        <v>5924</v>
      </c>
      <c r="D213" s="3327"/>
      <c r="E213" s="3328"/>
      <c r="F213" s="3318">
        <v>1320</v>
      </c>
      <c r="G213" s="3319"/>
      <c r="H213" s="3333" t="s">
        <v>5925</v>
      </c>
      <c r="I213" s="3334"/>
      <c r="J213" s="3305">
        <v>37.39</v>
      </c>
      <c r="K213" s="3306"/>
      <c r="L213" s="3208">
        <v>16.600000000000001</v>
      </c>
    </row>
    <row r="214" spans="1:12">
      <c r="A214" s="3318">
        <v>213</v>
      </c>
      <c r="B214" s="3319"/>
      <c r="C214" s="3207" t="s">
        <v>5924</v>
      </c>
      <c r="D214" s="3327"/>
      <c r="E214" s="3328"/>
      <c r="F214" s="3318">
        <v>1321</v>
      </c>
      <c r="G214" s="3319"/>
      <c r="H214" s="3333" t="s">
        <v>5925</v>
      </c>
      <c r="I214" s="3334"/>
      <c r="J214" s="3305">
        <v>37.39</v>
      </c>
      <c r="K214" s="3306"/>
      <c r="L214" s="3208">
        <v>16.600000000000001</v>
      </c>
    </row>
    <row r="215" spans="1:12">
      <c r="A215" s="3318">
        <v>214</v>
      </c>
      <c r="B215" s="3319"/>
      <c r="C215" s="3207" t="s">
        <v>5924</v>
      </c>
      <c r="D215" s="3327"/>
      <c r="E215" s="3328"/>
      <c r="F215" s="3318">
        <v>1322</v>
      </c>
      <c r="G215" s="3319"/>
      <c r="H215" s="3333" t="s">
        <v>5925</v>
      </c>
      <c r="I215" s="3334"/>
      <c r="J215" s="3305">
        <v>37.39</v>
      </c>
      <c r="K215" s="3306"/>
      <c r="L215" s="3208">
        <v>16.600000000000001</v>
      </c>
    </row>
    <row r="216" spans="1:12">
      <c r="A216" s="3318">
        <v>215</v>
      </c>
      <c r="B216" s="3319"/>
      <c r="C216" s="3207" t="s">
        <v>5924</v>
      </c>
      <c r="D216" s="3327"/>
      <c r="E216" s="3328"/>
      <c r="F216" s="3318">
        <v>1323</v>
      </c>
      <c r="G216" s="3319"/>
      <c r="H216" s="3333" t="s">
        <v>5925</v>
      </c>
      <c r="I216" s="3334"/>
      <c r="J216" s="3305">
        <v>37.39</v>
      </c>
      <c r="K216" s="3306"/>
      <c r="L216" s="3208">
        <v>16.600000000000001</v>
      </c>
    </row>
    <row r="217" spans="1:12">
      <c r="A217" s="3318">
        <v>216</v>
      </c>
      <c r="B217" s="3319"/>
      <c r="C217" s="3207" t="s">
        <v>5924</v>
      </c>
      <c r="D217" s="3327"/>
      <c r="E217" s="3328"/>
      <c r="F217" s="3318">
        <v>1324</v>
      </c>
      <c r="G217" s="3319"/>
      <c r="H217" s="3333" t="s">
        <v>5925</v>
      </c>
      <c r="I217" s="3334"/>
      <c r="J217" s="3305">
        <v>37.39</v>
      </c>
      <c r="K217" s="3306"/>
      <c r="L217" s="3208">
        <v>16.600000000000001</v>
      </c>
    </row>
    <row r="218" spans="1:12">
      <c r="A218" s="3318">
        <v>217</v>
      </c>
      <c r="B218" s="3319"/>
      <c r="C218" s="3207" t="s">
        <v>5924</v>
      </c>
      <c r="D218" s="3327"/>
      <c r="E218" s="3328"/>
      <c r="F218" s="3318">
        <v>1325</v>
      </c>
      <c r="G218" s="3319"/>
      <c r="H218" s="3333" t="s">
        <v>5925</v>
      </c>
      <c r="I218" s="3334"/>
      <c r="J218" s="3305">
        <v>37.39</v>
      </c>
      <c r="K218" s="3306"/>
      <c r="L218" s="3208">
        <v>16.600000000000001</v>
      </c>
    </row>
    <row r="219" spans="1:12">
      <c r="A219" s="3318">
        <v>218</v>
      </c>
      <c r="B219" s="3319"/>
      <c r="C219" s="3207" t="s">
        <v>5924</v>
      </c>
      <c r="D219" s="3327"/>
      <c r="E219" s="3328"/>
      <c r="F219" s="3318">
        <v>1326</v>
      </c>
      <c r="G219" s="3319"/>
      <c r="H219" s="3333" t="s">
        <v>5925</v>
      </c>
      <c r="I219" s="3334"/>
      <c r="J219" s="3305">
        <v>37.39</v>
      </c>
      <c r="K219" s="3306"/>
      <c r="L219" s="3208">
        <v>16.600000000000001</v>
      </c>
    </row>
    <row r="220" spans="1:12">
      <c r="A220" s="3318">
        <v>219</v>
      </c>
      <c r="B220" s="3319"/>
      <c r="C220" s="3207" t="s">
        <v>5924</v>
      </c>
      <c r="D220" s="3327"/>
      <c r="E220" s="3328"/>
      <c r="F220" s="3318">
        <v>1327</v>
      </c>
      <c r="G220" s="3319"/>
      <c r="H220" s="3333" t="s">
        <v>5925</v>
      </c>
      <c r="I220" s="3334"/>
      <c r="J220" s="3305">
        <v>37.39</v>
      </c>
      <c r="K220" s="3306"/>
      <c r="L220" s="3208">
        <v>16.600000000000001</v>
      </c>
    </row>
    <row r="221" spans="1:12">
      <c r="A221" s="3318">
        <v>220</v>
      </c>
      <c r="B221" s="3319"/>
      <c r="C221" s="3207" t="s">
        <v>5924</v>
      </c>
      <c r="D221" s="3327"/>
      <c r="E221" s="3328"/>
      <c r="F221" s="3318">
        <v>1329</v>
      </c>
      <c r="G221" s="3319"/>
      <c r="H221" s="3333" t="s">
        <v>5925</v>
      </c>
      <c r="I221" s="3334"/>
      <c r="J221" s="3305">
        <v>37.39</v>
      </c>
      <c r="K221" s="3306"/>
      <c r="L221" s="3208">
        <v>16.600000000000001</v>
      </c>
    </row>
    <row r="222" spans="1:12">
      <c r="A222" s="3318">
        <v>221</v>
      </c>
      <c r="B222" s="3319"/>
      <c r="C222" s="3207" t="s">
        <v>5924</v>
      </c>
      <c r="D222" s="3327"/>
      <c r="E222" s="3328"/>
      <c r="F222" s="3318">
        <v>1335</v>
      </c>
      <c r="G222" s="3319"/>
      <c r="H222" s="3333" t="s">
        <v>5925</v>
      </c>
      <c r="I222" s="3334"/>
      <c r="J222" s="3305">
        <v>37.39</v>
      </c>
      <c r="K222" s="3306"/>
      <c r="L222" s="3208">
        <v>16.600000000000001</v>
      </c>
    </row>
    <row r="223" spans="1:12">
      <c r="A223" s="3318">
        <v>222</v>
      </c>
      <c r="B223" s="3319"/>
      <c r="C223" s="3207" t="s">
        <v>5924</v>
      </c>
      <c r="D223" s="3327"/>
      <c r="E223" s="3328"/>
      <c r="F223" s="3318">
        <v>1336</v>
      </c>
      <c r="G223" s="3319"/>
      <c r="H223" s="3333" t="s">
        <v>5925</v>
      </c>
      <c r="I223" s="3334"/>
      <c r="J223" s="3305">
        <v>37.39</v>
      </c>
      <c r="K223" s="3306"/>
      <c r="L223" s="3208">
        <v>16.600000000000001</v>
      </c>
    </row>
    <row r="224" spans="1:12">
      <c r="A224" s="3318">
        <v>223</v>
      </c>
      <c r="B224" s="3319"/>
      <c r="C224" s="3207" t="s">
        <v>5924</v>
      </c>
      <c r="D224" s="3327"/>
      <c r="E224" s="3328"/>
      <c r="F224" s="3318">
        <v>1339</v>
      </c>
      <c r="G224" s="3319"/>
      <c r="H224" s="3333" t="s">
        <v>5925</v>
      </c>
      <c r="I224" s="3334"/>
      <c r="J224" s="3305">
        <v>37.39</v>
      </c>
      <c r="K224" s="3306"/>
      <c r="L224" s="3208">
        <v>16.600000000000001</v>
      </c>
    </row>
    <row r="225" spans="1:12">
      <c r="A225" s="3318">
        <v>224</v>
      </c>
      <c r="B225" s="3319"/>
      <c r="C225" s="3207" t="s">
        <v>5924</v>
      </c>
      <c r="D225" s="3327"/>
      <c r="E225" s="3328"/>
      <c r="F225" s="3318">
        <v>1340</v>
      </c>
      <c r="G225" s="3319"/>
      <c r="H225" s="3333" t="s">
        <v>5925</v>
      </c>
      <c r="I225" s="3334"/>
      <c r="J225" s="3305">
        <v>37.39</v>
      </c>
      <c r="K225" s="3306"/>
      <c r="L225" s="3208">
        <v>16.600000000000001</v>
      </c>
    </row>
    <row r="226" spans="1:12">
      <c r="A226" s="3318">
        <v>225</v>
      </c>
      <c r="B226" s="3319"/>
      <c r="C226" s="3207" t="s">
        <v>5924</v>
      </c>
      <c r="D226" s="3327"/>
      <c r="E226" s="3328"/>
      <c r="F226" s="3318">
        <v>1341</v>
      </c>
      <c r="G226" s="3319"/>
      <c r="H226" s="3333" t="s">
        <v>5925</v>
      </c>
      <c r="I226" s="3334"/>
      <c r="J226" s="3305">
        <v>37.39</v>
      </c>
      <c r="K226" s="3306"/>
      <c r="L226" s="3208">
        <v>16.600000000000001</v>
      </c>
    </row>
    <row r="227" spans="1:12">
      <c r="A227" s="3318">
        <v>226</v>
      </c>
      <c r="B227" s="3319"/>
      <c r="C227" s="3207" t="s">
        <v>5924</v>
      </c>
      <c r="D227" s="3327"/>
      <c r="E227" s="3328"/>
      <c r="F227" s="3318">
        <v>1342</v>
      </c>
      <c r="G227" s="3319"/>
      <c r="H227" s="3333" t="s">
        <v>5925</v>
      </c>
      <c r="I227" s="3334"/>
      <c r="J227" s="3305">
        <v>37.39</v>
      </c>
      <c r="K227" s="3306"/>
      <c r="L227" s="3208">
        <v>16.600000000000001</v>
      </c>
    </row>
    <row r="228" spans="1:12">
      <c r="A228" s="3318">
        <v>227</v>
      </c>
      <c r="B228" s="3319"/>
      <c r="C228" s="3207" t="s">
        <v>5924</v>
      </c>
      <c r="D228" s="3327"/>
      <c r="E228" s="3328"/>
      <c r="F228" s="3318">
        <v>1343</v>
      </c>
      <c r="G228" s="3319"/>
      <c r="H228" s="3333" t="s">
        <v>5925</v>
      </c>
      <c r="I228" s="3334"/>
      <c r="J228" s="3305">
        <v>37.39</v>
      </c>
      <c r="K228" s="3306"/>
      <c r="L228" s="3208">
        <v>16.600000000000001</v>
      </c>
    </row>
    <row r="229" spans="1:12">
      <c r="A229" s="3318">
        <v>228</v>
      </c>
      <c r="B229" s="3319"/>
      <c r="C229" s="3207" t="s">
        <v>5924</v>
      </c>
      <c r="D229" s="3327"/>
      <c r="E229" s="3328"/>
      <c r="F229" s="3318">
        <v>1344</v>
      </c>
      <c r="G229" s="3319"/>
      <c r="H229" s="3333" t="s">
        <v>5925</v>
      </c>
      <c r="I229" s="3334"/>
      <c r="J229" s="3305">
        <v>37.39</v>
      </c>
      <c r="K229" s="3306"/>
      <c r="L229" s="3208">
        <v>16.600000000000001</v>
      </c>
    </row>
    <row r="230" spans="1:12">
      <c r="A230" s="3318">
        <v>229</v>
      </c>
      <c r="B230" s="3319"/>
      <c r="C230" s="3207" t="s">
        <v>5924</v>
      </c>
      <c r="D230" s="3327"/>
      <c r="E230" s="3328"/>
      <c r="F230" s="3318">
        <v>1345</v>
      </c>
      <c r="G230" s="3319"/>
      <c r="H230" s="3333" t="s">
        <v>5925</v>
      </c>
      <c r="I230" s="3334"/>
      <c r="J230" s="3305">
        <v>37.39</v>
      </c>
      <c r="K230" s="3306"/>
      <c r="L230" s="3208">
        <v>16.600000000000001</v>
      </c>
    </row>
    <row r="231" spans="1:12">
      <c r="A231" s="3318">
        <v>230</v>
      </c>
      <c r="B231" s="3319"/>
      <c r="C231" s="3207" t="s">
        <v>5924</v>
      </c>
      <c r="D231" s="3327"/>
      <c r="E231" s="3328"/>
      <c r="F231" s="3318">
        <v>1346</v>
      </c>
      <c r="G231" s="3319"/>
      <c r="H231" s="3333" t="s">
        <v>5925</v>
      </c>
      <c r="I231" s="3334"/>
      <c r="J231" s="3305">
        <v>37.39</v>
      </c>
      <c r="K231" s="3306"/>
      <c r="L231" s="3208">
        <v>16.600000000000001</v>
      </c>
    </row>
    <row r="232" spans="1:12">
      <c r="A232" s="3318">
        <v>231</v>
      </c>
      <c r="B232" s="3319"/>
      <c r="C232" s="3207" t="s">
        <v>5924</v>
      </c>
      <c r="D232" s="3327"/>
      <c r="E232" s="3328"/>
      <c r="F232" s="3318">
        <v>1347</v>
      </c>
      <c r="G232" s="3319"/>
      <c r="H232" s="3333" t="s">
        <v>5925</v>
      </c>
      <c r="I232" s="3334"/>
      <c r="J232" s="3305">
        <v>37.39</v>
      </c>
      <c r="K232" s="3306"/>
      <c r="L232" s="3208">
        <v>16.600000000000001</v>
      </c>
    </row>
    <row r="233" spans="1:12">
      <c r="A233" s="3318">
        <v>232</v>
      </c>
      <c r="B233" s="3319"/>
      <c r="C233" s="3207" t="s">
        <v>5924</v>
      </c>
      <c r="D233" s="3327"/>
      <c r="E233" s="3328"/>
      <c r="F233" s="3318">
        <v>1348</v>
      </c>
      <c r="G233" s="3319"/>
      <c r="H233" s="3333" t="s">
        <v>5925</v>
      </c>
      <c r="I233" s="3334"/>
      <c r="J233" s="3305">
        <v>37.39</v>
      </c>
      <c r="K233" s="3306"/>
      <c r="L233" s="3208">
        <v>16.600000000000001</v>
      </c>
    </row>
    <row r="234" spans="1:12">
      <c r="A234" s="3318">
        <v>233</v>
      </c>
      <c r="B234" s="3319"/>
      <c r="C234" s="3207" t="s">
        <v>5924</v>
      </c>
      <c r="D234" s="3327"/>
      <c r="E234" s="3328"/>
      <c r="F234" s="3318">
        <v>1349</v>
      </c>
      <c r="G234" s="3319"/>
      <c r="H234" s="3333" t="s">
        <v>5925</v>
      </c>
      <c r="I234" s="3334"/>
      <c r="J234" s="3305">
        <v>37.39</v>
      </c>
      <c r="K234" s="3306"/>
      <c r="L234" s="3208">
        <v>16.600000000000001</v>
      </c>
    </row>
    <row r="235" spans="1:12">
      <c r="A235" s="3318">
        <v>234</v>
      </c>
      <c r="B235" s="3319"/>
      <c r="C235" s="3207" t="s">
        <v>5924</v>
      </c>
      <c r="D235" s="3327"/>
      <c r="E235" s="3328"/>
      <c r="F235" s="3318">
        <v>1350</v>
      </c>
      <c r="G235" s="3319"/>
      <c r="H235" s="3333" t="s">
        <v>5925</v>
      </c>
      <c r="I235" s="3334"/>
      <c r="J235" s="3305">
        <v>37.39</v>
      </c>
      <c r="K235" s="3306"/>
      <c r="L235" s="3208">
        <v>16.600000000000001</v>
      </c>
    </row>
    <row r="236" spans="1:12">
      <c r="A236" s="3318">
        <v>235</v>
      </c>
      <c r="B236" s="3319"/>
      <c r="C236" s="3207" t="s">
        <v>5924</v>
      </c>
      <c r="D236" s="3327"/>
      <c r="E236" s="3328"/>
      <c r="F236" s="3318">
        <v>1351</v>
      </c>
      <c r="G236" s="3319"/>
      <c r="H236" s="3333" t="s">
        <v>5925</v>
      </c>
      <c r="I236" s="3334"/>
      <c r="J236" s="3305">
        <v>37.39</v>
      </c>
      <c r="K236" s="3306"/>
      <c r="L236" s="3208">
        <v>16.600000000000001</v>
      </c>
    </row>
    <row r="237" spans="1:12">
      <c r="A237" s="3318">
        <v>236</v>
      </c>
      <c r="B237" s="3319"/>
      <c r="C237" s="3207" t="s">
        <v>5924</v>
      </c>
      <c r="D237" s="3327"/>
      <c r="E237" s="3328"/>
      <c r="F237" s="3318">
        <v>1352</v>
      </c>
      <c r="G237" s="3319"/>
      <c r="H237" s="3333" t="s">
        <v>5925</v>
      </c>
      <c r="I237" s="3334"/>
      <c r="J237" s="3305">
        <v>37.39</v>
      </c>
      <c r="K237" s="3306"/>
      <c r="L237" s="3208">
        <v>16.600000000000001</v>
      </c>
    </row>
    <row r="238" spans="1:12">
      <c r="A238" s="3318">
        <v>237</v>
      </c>
      <c r="B238" s="3319"/>
      <c r="C238" s="3207" t="s">
        <v>5924</v>
      </c>
      <c r="D238" s="3327"/>
      <c r="E238" s="3328"/>
      <c r="F238" s="3318">
        <v>1353</v>
      </c>
      <c r="G238" s="3319"/>
      <c r="H238" s="3333" t="s">
        <v>5925</v>
      </c>
      <c r="I238" s="3334"/>
      <c r="J238" s="3305">
        <v>37.39</v>
      </c>
      <c r="K238" s="3306"/>
      <c r="L238" s="3208">
        <v>16.600000000000001</v>
      </c>
    </row>
    <row r="239" spans="1:12">
      <c r="A239" s="3318">
        <v>238</v>
      </c>
      <c r="B239" s="3319"/>
      <c r="C239" s="3207" t="s">
        <v>5924</v>
      </c>
      <c r="D239" s="3327"/>
      <c r="E239" s="3328"/>
      <c r="F239" s="3318">
        <v>1354</v>
      </c>
      <c r="G239" s="3319"/>
      <c r="H239" s="3333" t="s">
        <v>5925</v>
      </c>
      <c r="I239" s="3334"/>
      <c r="J239" s="3305">
        <v>37.39</v>
      </c>
      <c r="K239" s="3306"/>
      <c r="L239" s="3208">
        <v>16.600000000000001</v>
      </c>
    </row>
    <row r="240" spans="1:12">
      <c r="A240" s="3318">
        <v>239</v>
      </c>
      <c r="B240" s="3319"/>
      <c r="C240" s="3207" t="s">
        <v>5924</v>
      </c>
      <c r="D240" s="3327"/>
      <c r="E240" s="3328"/>
      <c r="F240" s="3318">
        <v>1355</v>
      </c>
      <c r="G240" s="3319"/>
      <c r="H240" s="3333" t="s">
        <v>5925</v>
      </c>
      <c r="I240" s="3334"/>
      <c r="J240" s="3305">
        <v>37.39</v>
      </c>
      <c r="K240" s="3306"/>
      <c r="L240" s="3208">
        <v>16.600000000000001</v>
      </c>
    </row>
    <row r="241" spans="1:12">
      <c r="A241" s="3318">
        <v>240</v>
      </c>
      <c r="B241" s="3319"/>
      <c r="C241" s="3207" t="s">
        <v>5924</v>
      </c>
      <c r="D241" s="3327"/>
      <c r="E241" s="3328"/>
      <c r="F241" s="3318">
        <v>1361</v>
      </c>
      <c r="G241" s="3319"/>
      <c r="H241" s="3333" t="s">
        <v>5925</v>
      </c>
      <c r="I241" s="3334"/>
      <c r="J241" s="3305">
        <v>37.39</v>
      </c>
      <c r="K241" s="3306"/>
      <c r="L241" s="3208">
        <v>16.600000000000001</v>
      </c>
    </row>
    <row r="242" spans="1:12">
      <c r="A242" s="3318">
        <v>241</v>
      </c>
      <c r="B242" s="3319"/>
      <c r="C242" s="3207" t="s">
        <v>5924</v>
      </c>
      <c r="D242" s="3327"/>
      <c r="E242" s="3328"/>
      <c r="F242" s="3318">
        <v>1362</v>
      </c>
      <c r="G242" s="3319"/>
      <c r="H242" s="3333" t="s">
        <v>5925</v>
      </c>
      <c r="I242" s="3334"/>
      <c r="J242" s="3305">
        <v>37.39</v>
      </c>
      <c r="K242" s="3306"/>
      <c r="L242" s="3208">
        <v>16.600000000000001</v>
      </c>
    </row>
    <row r="243" spans="1:12">
      <c r="A243" s="3318">
        <v>242</v>
      </c>
      <c r="B243" s="3319"/>
      <c r="C243" s="3207" t="s">
        <v>5924</v>
      </c>
      <c r="D243" s="3327"/>
      <c r="E243" s="3328"/>
      <c r="F243" s="3318">
        <v>1378</v>
      </c>
      <c r="G243" s="3319"/>
      <c r="H243" s="3333" t="s">
        <v>5925</v>
      </c>
      <c r="I243" s="3334"/>
      <c r="J243" s="3305">
        <v>37.39</v>
      </c>
      <c r="K243" s="3306"/>
      <c r="L243" s="3208">
        <v>16.600000000000001</v>
      </c>
    </row>
    <row r="244" spans="1:12">
      <c r="A244" s="3318">
        <v>243</v>
      </c>
      <c r="B244" s="3319"/>
      <c r="C244" s="3207" t="s">
        <v>5924</v>
      </c>
      <c r="D244" s="3327"/>
      <c r="E244" s="3328"/>
      <c r="F244" s="3318">
        <v>1379</v>
      </c>
      <c r="G244" s="3319"/>
      <c r="H244" s="3333" t="s">
        <v>5925</v>
      </c>
      <c r="I244" s="3334"/>
      <c r="J244" s="3305">
        <v>37.39</v>
      </c>
      <c r="K244" s="3306"/>
      <c r="L244" s="3208">
        <v>16.600000000000001</v>
      </c>
    </row>
    <row r="245" spans="1:12">
      <c r="A245" s="3318">
        <v>244</v>
      </c>
      <c r="B245" s="3319"/>
      <c r="C245" s="3207" t="s">
        <v>5924</v>
      </c>
      <c r="D245" s="3327"/>
      <c r="E245" s="3328"/>
      <c r="F245" s="3318">
        <v>1380</v>
      </c>
      <c r="G245" s="3319"/>
      <c r="H245" s="3333" t="s">
        <v>5925</v>
      </c>
      <c r="I245" s="3334"/>
      <c r="J245" s="3305">
        <v>37.39</v>
      </c>
      <c r="K245" s="3306"/>
      <c r="L245" s="3208">
        <v>16.600000000000001</v>
      </c>
    </row>
    <row r="246" spans="1:12">
      <c r="A246" s="3318">
        <v>245</v>
      </c>
      <c r="B246" s="3319"/>
      <c r="C246" s="3207" t="s">
        <v>5924</v>
      </c>
      <c r="D246" s="3327"/>
      <c r="E246" s="3328"/>
      <c r="F246" s="3318">
        <v>1381</v>
      </c>
      <c r="G246" s="3319"/>
      <c r="H246" s="3333" t="s">
        <v>5925</v>
      </c>
      <c r="I246" s="3334"/>
      <c r="J246" s="3305">
        <v>37.39</v>
      </c>
      <c r="K246" s="3306"/>
      <c r="L246" s="3208">
        <v>16.600000000000001</v>
      </c>
    </row>
    <row r="247" spans="1:12">
      <c r="A247" s="3318">
        <v>246</v>
      </c>
      <c r="B247" s="3319"/>
      <c r="C247" s="3207" t="s">
        <v>5924</v>
      </c>
      <c r="D247" s="3327"/>
      <c r="E247" s="3328"/>
      <c r="F247" s="3318">
        <v>1382</v>
      </c>
      <c r="G247" s="3319"/>
      <c r="H247" s="3333" t="s">
        <v>5925</v>
      </c>
      <c r="I247" s="3334"/>
      <c r="J247" s="3305">
        <v>37.39</v>
      </c>
      <c r="K247" s="3306"/>
      <c r="L247" s="3208">
        <v>16.600000000000001</v>
      </c>
    </row>
    <row r="248" spans="1:12">
      <c r="A248" s="3318">
        <v>247</v>
      </c>
      <c r="B248" s="3319"/>
      <c r="C248" s="3207" t="s">
        <v>5924</v>
      </c>
      <c r="D248" s="3327"/>
      <c r="E248" s="3328"/>
      <c r="F248" s="3318">
        <v>1385</v>
      </c>
      <c r="G248" s="3319"/>
      <c r="H248" s="3333" t="s">
        <v>5925</v>
      </c>
      <c r="I248" s="3334"/>
      <c r="J248" s="3305">
        <v>37.39</v>
      </c>
      <c r="K248" s="3306"/>
      <c r="L248" s="3208">
        <v>16.600000000000001</v>
      </c>
    </row>
    <row r="249" spans="1:12">
      <c r="A249" s="3318">
        <v>248</v>
      </c>
      <c r="B249" s="3319"/>
      <c r="C249" s="3207" t="s">
        <v>5924</v>
      </c>
      <c r="D249" s="3327"/>
      <c r="E249" s="3328"/>
      <c r="F249" s="3318">
        <v>1390</v>
      </c>
      <c r="G249" s="3319"/>
      <c r="H249" s="3333" t="s">
        <v>5925</v>
      </c>
      <c r="I249" s="3334"/>
      <c r="J249" s="3305">
        <v>37.39</v>
      </c>
      <c r="K249" s="3306"/>
      <c r="L249" s="3208">
        <v>16.600000000000001</v>
      </c>
    </row>
    <row r="250" spans="1:12">
      <c r="A250" s="3318">
        <v>249</v>
      </c>
      <c r="B250" s="3319"/>
      <c r="C250" s="3207" t="s">
        <v>5924</v>
      </c>
      <c r="D250" s="3327"/>
      <c r="E250" s="3328"/>
      <c r="F250" s="3318">
        <v>1391</v>
      </c>
      <c r="G250" s="3319"/>
      <c r="H250" s="3333" t="s">
        <v>5925</v>
      </c>
      <c r="I250" s="3334"/>
      <c r="J250" s="3305">
        <v>37.39</v>
      </c>
      <c r="K250" s="3306"/>
      <c r="L250" s="3208">
        <v>16.600000000000001</v>
      </c>
    </row>
    <row r="251" spans="1:12">
      <c r="A251" s="3318">
        <v>250</v>
      </c>
      <c r="B251" s="3319"/>
      <c r="C251" s="3207" t="s">
        <v>5924</v>
      </c>
      <c r="D251" s="3327"/>
      <c r="E251" s="3328"/>
      <c r="F251" s="3318">
        <v>1394</v>
      </c>
      <c r="G251" s="3319"/>
      <c r="H251" s="3333" t="s">
        <v>5925</v>
      </c>
      <c r="I251" s="3334"/>
      <c r="J251" s="3305">
        <v>37.39</v>
      </c>
      <c r="K251" s="3306"/>
      <c r="L251" s="3208">
        <v>16.600000000000001</v>
      </c>
    </row>
    <row r="252" spans="1:12">
      <c r="A252" s="3318">
        <v>251</v>
      </c>
      <c r="B252" s="3319"/>
      <c r="C252" s="3207" t="s">
        <v>5924</v>
      </c>
      <c r="D252" s="3327"/>
      <c r="E252" s="3328"/>
      <c r="F252" s="3318">
        <v>1395</v>
      </c>
      <c r="G252" s="3319"/>
      <c r="H252" s="3333" t="s">
        <v>5925</v>
      </c>
      <c r="I252" s="3334"/>
      <c r="J252" s="3305">
        <v>37.39</v>
      </c>
      <c r="K252" s="3306"/>
      <c r="L252" s="3208">
        <v>16.600000000000001</v>
      </c>
    </row>
    <row r="253" spans="1:12">
      <c r="A253" s="3318">
        <v>252</v>
      </c>
      <c r="B253" s="3319"/>
      <c r="C253" s="3207" t="s">
        <v>5924</v>
      </c>
      <c r="D253" s="3327"/>
      <c r="E253" s="3328"/>
      <c r="F253" s="3318">
        <v>1396</v>
      </c>
      <c r="G253" s="3319"/>
      <c r="H253" s="3333" t="s">
        <v>5925</v>
      </c>
      <c r="I253" s="3334"/>
      <c r="J253" s="3305">
        <v>37.39</v>
      </c>
      <c r="K253" s="3306"/>
      <c r="L253" s="3208">
        <v>16.600000000000001</v>
      </c>
    </row>
    <row r="254" spans="1:12">
      <c r="A254" s="3318">
        <v>253</v>
      </c>
      <c r="B254" s="3319"/>
      <c r="C254" s="3207" t="s">
        <v>5924</v>
      </c>
      <c r="D254" s="3327"/>
      <c r="E254" s="3328"/>
      <c r="F254" s="3318">
        <v>1397</v>
      </c>
      <c r="G254" s="3319"/>
      <c r="H254" s="3333" t="s">
        <v>5925</v>
      </c>
      <c r="I254" s="3334"/>
      <c r="J254" s="3305">
        <v>37.39</v>
      </c>
      <c r="K254" s="3306"/>
      <c r="L254" s="3208">
        <v>16.600000000000001</v>
      </c>
    </row>
    <row r="255" spans="1:12">
      <c r="A255" s="3318">
        <v>254</v>
      </c>
      <c r="B255" s="3319"/>
      <c r="C255" s="3207" t="s">
        <v>5924</v>
      </c>
      <c r="D255" s="3327"/>
      <c r="E255" s="3328"/>
      <c r="F255" s="3318">
        <v>1398</v>
      </c>
      <c r="G255" s="3319"/>
      <c r="H255" s="3333" t="s">
        <v>5925</v>
      </c>
      <c r="I255" s="3334"/>
      <c r="J255" s="3305">
        <v>37.39</v>
      </c>
      <c r="K255" s="3306"/>
      <c r="L255" s="3208">
        <v>16.600000000000001</v>
      </c>
    </row>
    <row r="256" spans="1:12">
      <c r="A256" s="3318">
        <v>255</v>
      </c>
      <c r="B256" s="3319"/>
      <c r="C256" s="3207" t="s">
        <v>5924</v>
      </c>
      <c r="D256" s="3327"/>
      <c r="E256" s="3328"/>
      <c r="F256" s="3318">
        <v>1399</v>
      </c>
      <c r="G256" s="3319"/>
      <c r="H256" s="3333" t="s">
        <v>5925</v>
      </c>
      <c r="I256" s="3334"/>
      <c r="J256" s="3305">
        <v>37.39</v>
      </c>
      <c r="K256" s="3306"/>
      <c r="L256" s="3208">
        <v>16.600000000000001</v>
      </c>
    </row>
    <row r="257" spans="1:12">
      <c r="A257" s="3318">
        <v>256</v>
      </c>
      <c r="B257" s="3319"/>
      <c r="C257" s="3207" t="s">
        <v>5924</v>
      </c>
      <c r="D257" s="3327"/>
      <c r="E257" s="3328"/>
      <c r="F257" s="3318">
        <v>1401</v>
      </c>
      <c r="G257" s="3319"/>
      <c r="H257" s="3333" t="s">
        <v>5925</v>
      </c>
      <c r="I257" s="3334"/>
      <c r="J257" s="3305">
        <v>37.39</v>
      </c>
      <c r="K257" s="3306"/>
      <c r="L257" s="3208">
        <v>16.600000000000001</v>
      </c>
    </row>
    <row r="258" spans="1:12">
      <c r="A258" s="3318">
        <v>257</v>
      </c>
      <c r="B258" s="3319"/>
      <c r="C258" s="3207" t="s">
        <v>5924</v>
      </c>
      <c r="D258" s="3327"/>
      <c r="E258" s="3328"/>
      <c r="F258" s="3318">
        <v>1402</v>
      </c>
      <c r="G258" s="3319"/>
      <c r="H258" s="3333" t="s">
        <v>5925</v>
      </c>
      <c r="I258" s="3334"/>
      <c r="J258" s="3305">
        <v>37.39</v>
      </c>
      <c r="K258" s="3306"/>
      <c r="L258" s="3208">
        <v>16.600000000000001</v>
      </c>
    </row>
    <row r="259" spans="1:12">
      <c r="A259" s="3318">
        <v>258</v>
      </c>
      <c r="B259" s="3319"/>
      <c r="C259" s="3207" t="s">
        <v>5924</v>
      </c>
      <c r="D259" s="3327"/>
      <c r="E259" s="3328"/>
      <c r="F259" s="3318">
        <v>1403</v>
      </c>
      <c r="G259" s="3319"/>
      <c r="H259" s="3333" t="s">
        <v>5925</v>
      </c>
      <c r="I259" s="3334"/>
      <c r="J259" s="3305">
        <v>37.39</v>
      </c>
      <c r="K259" s="3306"/>
      <c r="L259" s="3208">
        <v>16.600000000000001</v>
      </c>
    </row>
    <row r="260" spans="1:12">
      <c r="A260" s="3318">
        <v>259</v>
      </c>
      <c r="B260" s="3319"/>
      <c r="C260" s="3207" t="s">
        <v>5924</v>
      </c>
      <c r="D260" s="3327"/>
      <c r="E260" s="3328"/>
      <c r="F260" s="3318">
        <v>1404</v>
      </c>
      <c r="G260" s="3319"/>
      <c r="H260" s="3333" t="s">
        <v>5925</v>
      </c>
      <c r="I260" s="3334"/>
      <c r="J260" s="3305">
        <v>37.39</v>
      </c>
      <c r="K260" s="3306"/>
      <c r="L260" s="3208">
        <v>16.600000000000001</v>
      </c>
    </row>
    <row r="261" spans="1:12">
      <c r="A261" s="3318">
        <v>260</v>
      </c>
      <c r="B261" s="3319"/>
      <c r="C261" s="3207" t="s">
        <v>5924</v>
      </c>
      <c r="D261" s="3327"/>
      <c r="E261" s="3328"/>
      <c r="F261" s="3318">
        <v>1405</v>
      </c>
      <c r="G261" s="3319"/>
      <c r="H261" s="3333" t="s">
        <v>5925</v>
      </c>
      <c r="I261" s="3334"/>
      <c r="J261" s="3305">
        <v>37.39</v>
      </c>
      <c r="K261" s="3306"/>
      <c r="L261" s="3208">
        <v>16.600000000000001</v>
      </c>
    </row>
    <row r="262" spans="1:12">
      <c r="A262" s="3318">
        <v>261</v>
      </c>
      <c r="B262" s="3319"/>
      <c r="C262" s="3207" t="s">
        <v>5924</v>
      </c>
      <c r="D262" s="3327"/>
      <c r="E262" s="3328"/>
      <c r="F262" s="3318">
        <v>1406</v>
      </c>
      <c r="G262" s="3319"/>
      <c r="H262" s="3333" t="s">
        <v>5925</v>
      </c>
      <c r="I262" s="3334"/>
      <c r="J262" s="3305">
        <v>37.39</v>
      </c>
      <c r="K262" s="3306"/>
      <c r="L262" s="3208">
        <v>16.600000000000001</v>
      </c>
    </row>
    <row r="263" spans="1:12">
      <c r="A263" s="3318">
        <v>262</v>
      </c>
      <c r="B263" s="3319"/>
      <c r="C263" s="3207" t="s">
        <v>5924</v>
      </c>
      <c r="D263" s="3327"/>
      <c r="E263" s="3328"/>
      <c r="F263" s="3318">
        <v>1407</v>
      </c>
      <c r="G263" s="3319"/>
      <c r="H263" s="3333" t="s">
        <v>5925</v>
      </c>
      <c r="I263" s="3334"/>
      <c r="J263" s="3305">
        <v>37.39</v>
      </c>
      <c r="K263" s="3306"/>
      <c r="L263" s="3208">
        <v>16.600000000000001</v>
      </c>
    </row>
    <row r="264" spans="1:12">
      <c r="A264" s="3318">
        <v>263</v>
      </c>
      <c r="B264" s="3319"/>
      <c r="C264" s="3207" t="s">
        <v>5924</v>
      </c>
      <c r="D264" s="3327"/>
      <c r="E264" s="3328"/>
      <c r="F264" s="3318">
        <v>1408</v>
      </c>
      <c r="G264" s="3319"/>
      <c r="H264" s="3333" t="s">
        <v>5925</v>
      </c>
      <c r="I264" s="3334"/>
      <c r="J264" s="3305">
        <v>37.39</v>
      </c>
      <c r="K264" s="3306"/>
      <c r="L264" s="3208">
        <v>16.600000000000001</v>
      </c>
    </row>
    <row r="265" spans="1:12">
      <c r="A265" s="3318">
        <v>264</v>
      </c>
      <c r="B265" s="3319"/>
      <c r="C265" s="3207" t="s">
        <v>5924</v>
      </c>
      <c r="D265" s="3327"/>
      <c r="E265" s="3328"/>
      <c r="F265" s="3318">
        <v>1409</v>
      </c>
      <c r="G265" s="3319"/>
      <c r="H265" s="3333" t="s">
        <v>5925</v>
      </c>
      <c r="I265" s="3334"/>
      <c r="J265" s="3305">
        <v>37.39</v>
      </c>
      <c r="K265" s="3306"/>
      <c r="L265" s="3208">
        <v>16.600000000000001</v>
      </c>
    </row>
    <row r="266" spans="1:12">
      <c r="A266" s="3318">
        <v>265</v>
      </c>
      <c r="B266" s="3319"/>
      <c r="C266" s="3207" t="s">
        <v>5924</v>
      </c>
      <c r="D266" s="3327"/>
      <c r="E266" s="3328"/>
      <c r="F266" s="3318">
        <v>1413</v>
      </c>
      <c r="G266" s="3319"/>
      <c r="H266" s="3333" t="s">
        <v>5925</v>
      </c>
      <c r="I266" s="3334"/>
      <c r="J266" s="3305">
        <v>37.39</v>
      </c>
      <c r="K266" s="3306"/>
      <c r="L266" s="3208">
        <v>16.600000000000001</v>
      </c>
    </row>
    <row r="267" spans="1:12">
      <c r="A267" s="3318">
        <v>266</v>
      </c>
      <c r="B267" s="3319"/>
      <c r="C267" s="3207" t="s">
        <v>5924</v>
      </c>
      <c r="D267" s="3327"/>
      <c r="E267" s="3328"/>
      <c r="F267" s="3318">
        <v>1414</v>
      </c>
      <c r="G267" s="3319"/>
      <c r="H267" s="3333" t="s">
        <v>5925</v>
      </c>
      <c r="I267" s="3334"/>
      <c r="J267" s="3305">
        <v>37.39</v>
      </c>
      <c r="K267" s="3306"/>
      <c r="L267" s="3208">
        <v>16.600000000000001</v>
      </c>
    </row>
    <row r="268" spans="1:12">
      <c r="A268" s="3318">
        <v>267</v>
      </c>
      <c r="B268" s="3319"/>
      <c r="C268" s="3207" t="s">
        <v>5924</v>
      </c>
      <c r="D268" s="3327"/>
      <c r="E268" s="3328"/>
      <c r="F268" s="3318">
        <v>1415</v>
      </c>
      <c r="G268" s="3319"/>
      <c r="H268" s="3333" t="s">
        <v>5925</v>
      </c>
      <c r="I268" s="3334"/>
      <c r="J268" s="3305">
        <v>37.39</v>
      </c>
      <c r="K268" s="3306"/>
      <c r="L268" s="3208">
        <v>16.600000000000001</v>
      </c>
    </row>
    <row r="269" spans="1:12">
      <c r="A269" s="3318">
        <v>268</v>
      </c>
      <c r="B269" s="3319"/>
      <c r="C269" s="3207" t="s">
        <v>5924</v>
      </c>
      <c r="D269" s="3327"/>
      <c r="E269" s="3328"/>
      <c r="F269" s="3318">
        <v>1417</v>
      </c>
      <c r="G269" s="3319"/>
      <c r="H269" s="3333" t="s">
        <v>5925</v>
      </c>
      <c r="I269" s="3334"/>
      <c r="J269" s="3305">
        <v>37.39</v>
      </c>
      <c r="K269" s="3306"/>
      <c r="L269" s="3208">
        <v>16.600000000000001</v>
      </c>
    </row>
    <row r="270" spans="1:12">
      <c r="A270" s="3318">
        <v>269</v>
      </c>
      <c r="B270" s="3319"/>
      <c r="C270" s="3207" t="s">
        <v>5924</v>
      </c>
      <c r="D270" s="3327"/>
      <c r="E270" s="3328"/>
      <c r="F270" s="3318">
        <v>1418</v>
      </c>
      <c r="G270" s="3319"/>
      <c r="H270" s="3333" t="s">
        <v>5925</v>
      </c>
      <c r="I270" s="3334"/>
      <c r="J270" s="3305">
        <v>37.39</v>
      </c>
      <c r="K270" s="3306"/>
      <c r="L270" s="3208">
        <v>16.600000000000001</v>
      </c>
    </row>
    <row r="271" spans="1:12">
      <c r="A271" s="3318">
        <v>270</v>
      </c>
      <c r="B271" s="3319"/>
      <c r="C271" s="3207" t="s">
        <v>5924</v>
      </c>
      <c r="D271" s="3327"/>
      <c r="E271" s="3328"/>
      <c r="F271" s="3318">
        <v>1419</v>
      </c>
      <c r="G271" s="3319"/>
      <c r="H271" s="3333" t="s">
        <v>5925</v>
      </c>
      <c r="I271" s="3334"/>
      <c r="J271" s="3305">
        <v>37.39</v>
      </c>
      <c r="K271" s="3306"/>
      <c r="L271" s="3208">
        <v>16.600000000000001</v>
      </c>
    </row>
    <row r="272" spans="1:12">
      <c r="A272" s="3318">
        <v>271</v>
      </c>
      <c r="B272" s="3319"/>
      <c r="C272" s="3207" t="s">
        <v>5924</v>
      </c>
      <c r="D272" s="3327"/>
      <c r="E272" s="3328"/>
      <c r="F272" s="3318">
        <v>1420</v>
      </c>
      <c r="G272" s="3319"/>
      <c r="H272" s="3333" t="s">
        <v>5925</v>
      </c>
      <c r="I272" s="3334"/>
      <c r="J272" s="3305">
        <v>37.39</v>
      </c>
      <c r="K272" s="3306"/>
      <c r="L272" s="3208">
        <v>16.600000000000001</v>
      </c>
    </row>
    <row r="273" spans="1:12">
      <c r="A273" s="3318">
        <v>272</v>
      </c>
      <c r="B273" s="3319"/>
      <c r="C273" s="3207" t="s">
        <v>5924</v>
      </c>
      <c r="D273" s="3327"/>
      <c r="E273" s="3328"/>
      <c r="F273" s="3318">
        <v>1421</v>
      </c>
      <c r="G273" s="3319"/>
      <c r="H273" s="3333" t="s">
        <v>5925</v>
      </c>
      <c r="I273" s="3334"/>
      <c r="J273" s="3305">
        <v>37.39</v>
      </c>
      <c r="K273" s="3306"/>
      <c r="L273" s="3208">
        <v>16.600000000000001</v>
      </c>
    </row>
    <row r="274" spans="1:12">
      <c r="A274" s="3318">
        <v>273</v>
      </c>
      <c r="B274" s="3319"/>
      <c r="C274" s="3207" t="s">
        <v>5924</v>
      </c>
      <c r="D274" s="3327"/>
      <c r="E274" s="3328"/>
      <c r="F274" s="3318">
        <v>1422</v>
      </c>
      <c r="G274" s="3319"/>
      <c r="H274" s="3333" t="s">
        <v>5925</v>
      </c>
      <c r="I274" s="3334"/>
      <c r="J274" s="3305">
        <v>37.39</v>
      </c>
      <c r="K274" s="3306"/>
      <c r="L274" s="3208">
        <v>16.600000000000001</v>
      </c>
    </row>
    <row r="275" spans="1:12">
      <c r="A275" s="3318">
        <v>274</v>
      </c>
      <c r="B275" s="3319"/>
      <c r="C275" s="3207" t="s">
        <v>5924</v>
      </c>
      <c r="D275" s="3327"/>
      <c r="E275" s="3328"/>
      <c r="F275" s="3318">
        <v>1423</v>
      </c>
      <c r="G275" s="3319"/>
      <c r="H275" s="3333" t="s">
        <v>5925</v>
      </c>
      <c r="I275" s="3334"/>
      <c r="J275" s="3305">
        <v>37.39</v>
      </c>
      <c r="K275" s="3306"/>
      <c r="L275" s="3208">
        <v>16.600000000000001</v>
      </c>
    </row>
    <row r="276" spans="1:12">
      <c r="A276" s="3318">
        <v>275</v>
      </c>
      <c r="B276" s="3319"/>
      <c r="C276" s="3207" t="s">
        <v>5924</v>
      </c>
      <c r="D276" s="3327"/>
      <c r="E276" s="3328"/>
      <c r="F276" s="3318">
        <v>1424</v>
      </c>
      <c r="G276" s="3319"/>
      <c r="H276" s="3333" t="s">
        <v>5925</v>
      </c>
      <c r="I276" s="3334"/>
      <c r="J276" s="3305">
        <v>37.39</v>
      </c>
      <c r="K276" s="3306"/>
      <c r="L276" s="3208">
        <v>16.600000000000001</v>
      </c>
    </row>
    <row r="277" spans="1:12">
      <c r="A277" s="3318">
        <v>276</v>
      </c>
      <c r="B277" s="3319"/>
      <c r="C277" s="3207" t="s">
        <v>5924</v>
      </c>
      <c r="D277" s="3327"/>
      <c r="E277" s="3328"/>
      <c r="F277" s="3318">
        <v>1425</v>
      </c>
      <c r="G277" s="3319"/>
      <c r="H277" s="3333" t="s">
        <v>5925</v>
      </c>
      <c r="I277" s="3334"/>
      <c r="J277" s="3305">
        <v>37.39</v>
      </c>
      <c r="K277" s="3306"/>
      <c r="L277" s="3208">
        <v>16.600000000000001</v>
      </c>
    </row>
    <row r="278" spans="1:12">
      <c r="A278" s="3318">
        <v>277</v>
      </c>
      <c r="B278" s="3319"/>
      <c r="C278" s="3207" t="s">
        <v>5924</v>
      </c>
      <c r="D278" s="3327"/>
      <c r="E278" s="3328"/>
      <c r="F278" s="3318">
        <v>1427</v>
      </c>
      <c r="G278" s="3319"/>
      <c r="H278" s="3333" t="s">
        <v>5925</v>
      </c>
      <c r="I278" s="3334"/>
      <c r="J278" s="3305">
        <v>37.39</v>
      </c>
      <c r="K278" s="3306"/>
      <c r="L278" s="3208">
        <v>16.600000000000001</v>
      </c>
    </row>
    <row r="279" spans="1:12">
      <c r="A279" s="3318">
        <v>278</v>
      </c>
      <c r="B279" s="3319"/>
      <c r="C279" s="3207" t="s">
        <v>5924</v>
      </c>
      <c r="D279" s="3327"/>
      <c r="E279" s="3328"/>
      <c r="F279" s="3318">
        <v>1432</v>
      </c>
      <c r="G279" s="3319"/>
      <c r="H279" s="3333" t="s">
        <v>5925</v>
      </c>
      <c r="I279" s="3334"/>
      <c r="J279" s="3305">
        <v>37.39</v>
      </c>
      <c r="K279" s="3306"/>
      <c r="L279" s="3208">
        <v>16.600000000000001</v>
      </c>
    </row>
    <row r="280" spans="1:12">
      <c r="A280" s="3318">
        <v>279</v>
      </c>
      <c r="B280" s="3319"/>
      <c r="C280" s="3207" t="s">
        <v>5924</v>
      </c>
      <c r="D280" s="3327"/>
      <c r="E280" s="3328"/>
      <c r="F280" s="3318">
        <v>1437</v>
      </c>
      <c r="G280" s="3319"/>
      <c r="H280" s="3333" t="s">
        <v>5925</v>
      </c>
      <c r="I280" s="3334"/>
      <c r="J280" s="3305">
        <v>37.39</v>
      </c>
      <c r="K280" s="3306"/>
      <c r="L280" s="3208">
        <v>16.600000000000001</v>
      </c>
    </row>
    <row r="281" spans="1:12">
      <c r="A281" s="3318">
        <v>280</v>
      </c>
      <c r="B281" s="3319"/>
      <c r="C281" s="3207" t="s">
        <v>5924</v>
      </c>
      <c r="D281" s="3327"/>
      <c r="E281" s="3328"/>
      <c r="F281" s="3318">
        <v>1438</v>
      </c>
      <c r="G281" s="3319"/>
      <c r="H281" s="3333" t="s">
        <v>5925</v>
      </c>
      <c r="I281" s="3334"/>
      <c r="J281" s="3305">
        <v>37.39</v>
      </c>
      <c r="K281" s="3306"/>
      <c r="L281" s="3208">
        <v>16.600000000000001</v>
      </c>
    </row>
    <row r="282" spans="1:12">
      <c r="A282" s="3318">
        <v>281</v>
      </c>
      <c r="B282" s="3319"/>
      <c r="C282" s="3207" t="s">
        <v>5924</v>
      </c>
      <c r="D282" s="3327"/>
      <c r="E282" s="3328"/>
      <c r="F282" s="3318">
        <v>1439</v>
      </c>
      <c r="G282" s="3319"/>
      <c r="H282" s="3333" t="s">
        <v>5925</v>
      </c>
      <c r="I282" s="3334"/>
      <c r="J282" s="3305">
        <v>37.39</v>
      </c>
      <c r="K282" s="3306"/>
      <c r="L282" s="3208">
        <v>16.600000000000001</v>
      </c>
    </row>
    <row r="283" spans="1:12">
      <c r="A283" s="3318">
        <v>282</v>
      </c>
      <c r="B283" s="3319"/>
      <c r="C283" s="3207" t="s">
        <v>5924</v>
      </c>
      <c r="D283" s="3327"/>
      <c r="E283" s="3328"/>
      <c r="F283" s="3318">
        <v>1440</v>
      </c>
      <c r="G283" s="3319"/>
      <c r="H283" s="3333" t="s">
        <v>5925</v>
      </c>
      <c r="I283" s="3334"/>
      <c r="J283" s="3305">
        <v>37.39</v>
      </c>
      <c r="K283" s="3306"/>
      <c r="L283" s="3208">
        <v>16.600000000000001</v>
      </c>
    </row>
    <row r="284" spans="1:12">
      <c r="A284" s="3318">
        <v>283</v>
      </c>
      <c r="B284" s="3319"/>
      <c r="C284" s="3207" t="s">
        <v>5924</v>
      </c>
      <c r="D284" s="3327"/>
      <c r="E284" s="3328"/>
      <c r="F284" s="3318">
        <v>1441</v>
      </c>
      <c r="G284" s="3319"/>
      <c r="H284" s="3333" t="s">
        <v>5925</v>
      </c>
      <c r="I284" s="3334"/>
      <c r="J284" s="3305">
        <v>37.39</v>
      </c>
      <c r="K284" s="3306"/>
      <c r="L284" s="3208">
        <v>16.600000000000001</v>
      </c>
    </row>
    <row r="285" spans="1:12">
      <c r="A285" s="3318">
        <v>284</v>
      </c>
      <c r="B285" s="3319"/>
      <c r="C285" s="3207" t="s">
        <v>5924</v>
      </c>
      <c r="D285" s="3327"/>
      <c r="E285" s="3328"/>
      <c r="F285" s="3318">
        <v>1442</v>
      </c>
      <c r="G285" s="3319"/>
      <c r="H285" s="3333" t="s">
        <v>5925</v>
      </c>
      <c r="I285" s="3334"/>
      <c r="J285" s="3305">
        <v>37.39</v>
      </c>
      <c r="K285" s="3306"/>
      <c r="L285" s="3208">
        <v>16.600000000000001</v>
      </c>
    </row>
    <row r="286" spans="1:12">
      <c r="A286" s="3318">
        <v>285</v>
      </c>
      <c r="B286" s="3319"/>
      <c r="C286" s="3207" t="s">
        <v>5924</v>
      </c>
      <c r="D286" s="3327"/>
      <c r="E286" s="3328"/>
      <c r="F286" s="3318">
        <v>1443</v>
      </c>
      <c r="G286" s="3319"/>
      <c r="H286" s="3333" t="s">
        <v>5925</v>
      </c>
      <c r="I286" s="3334"/>
      <c r="J286" s="3305">
        <v>37.39</v>
      </c>
      <c r="K286" s="3306"/>
      <c r="L286" s="3208">
        <v>16.600000000000001</v>
      </c>
    </row>
    <row r="287" spans="1:12">
      <c r="A287" s="3318">
        <v>286</v>
      </c>
      <c r="B287" s="3319"/>
      <c r="C287" s="3207" t="s">
        <v>5924</v>
      </c>
      <c r="D287" s="3327"/>
      <c r="E287" s="3328"/>
      <c r="F287" s="3318">
        <v>1444</v>
      </c>
      <c r="G287" s="3319"/>
      <c r="H287" s="3333" t="s">
        <v>5925</v>
      </c>
      <c r="I287" s="3334"/>
      <c r="J287" s="3305">
        <v>37.39</v>
      </c>
      <c r="K287" s="3306"/>
      <c r="L287" s="3208">
        <v>16.600000000000001</v>
      </c>
    </row>
    <row r="288" spans="1:12">
      <c r="A288" s="3318">
        <v>287</v>
      </c>
      <c r="B288" s="3319"/>
      <c r="C288" s="3207" t="s">
        <v>5924</v>
      </c>
      <c r="D288" s="3327"/>
      <c r="E288" s="3328"/>
      <c r="F288" s="3318">
        <v>1445</v>
      </c>
      <c r="G288" s="3319"/>
      <c r="H288" s="3333" t="s">
        <v>5925</v>
      </c>
      <c r="I288" s="3334"/>
      <c r="J288" s="3305">
        <v>37.39</v>
      </c>
      <c r="K288" s="3306"/>
      <c r="L288" s="3208">
        <v>16.600000000000001</v>
      </c>
    </row>
    <row r="289" spans="1:12">
      <c r="A289" s="3318">
        <v>288</v>
      </c>
      <c r="B289" s="3319"/>
      <c r="C289" s="3207" t="s">
        <v>5924</v>
      </c>
      <c r="D289" s="3327"/>
      <c r="E289" s="3328"/>
      <c r="F289" s="3318">
        <v>1446</v>
      </c>
      <c r="G289" s="3319"/>
      <c r="H289" s="3333" t="s">
        <v>5925</v>
      </c>
      <c r="I289" s="3334"/>
      <c r="J289" s="3305">
        <v>37.39</v>
      </c>
      <c r="K289" s="3306"/>
      <c r="L289" s="3208">
        <v>16.600000000000001</v>
      </c>
    </row>
    <row r="290" spans="1:12">
      <c r="A290" s="3318">
        <v>289</v>
      </c>
      <c r="B290" s="3319"/>
      <c r="C290" s="3207" t="s">
        <v>5924</v>
      </c>
      <c r="D290" s="3327"/>
      <c r="E290" s="3328"/>
      <c r="F290" s="3318">
        <v>1449</v>
      </c>
      <c r="G290" s="3319"/>
      <c r="H290" s="3333" t="s">
        <v>5925</v>
      </c>
      <c r="I290" s="3334"/>
      <c r="J290" s="3305">
        <v>37.39</v>
      </c>
      <c r="K290" s="3306"/>
      <c r="L290" s="3208">
        <v>16.600000000000001</v>
      </c>
    </row>
    <row r="291" spans="1:12">
      <c r="A291" s="3318">
        <v>290</v>
      </c>
      <c r="B291" s="3319"/>
      <c r="C291" s="3207" t="s">
        <v>5924</v>
      </c>
      <c r="D291" s="3327"/>
      <c r="E291" s="3328"/>
      <c r="F291" s="3318">
        <v>1450</v>
      </c>
      <c r="G291" s="3319"/>
      <c r="H291" s="3333" t="s">
        <v>5925</v>
      </c>
      <c r="I291" s="3334"/>
      <c r="J291" s="3305">
        <v>37.39</v>
      </c>
      <c r="K291" s="3306"/>
      <c r="L291" s="3208">
        <v>16.600000000000001</v>
      </c>
    </row>
    <row r="292" spans="1:12">
      <c r="A292" s="3318">
        <v>291</v>
      </c>
      <c r="B292" s="3319"/>
      <c r="C292" s="3207" t="s">
        <v>5924</v>
      </c>
      <c r="D292" s="3327"/>
      <c r="E292" s="3328"/>
      <c r="F292" s="3318">
        <v>1451</v>
      </c>
      <c r="G292" s="3319"/>
      <c r="H292" s="3333" t="s">
        <v>5925</v>
      </c>
      <c r="I292" s="3334"/>
      <c r="J292" s="3305">
        <v>37.39</v>
      </c>
      <c r="K292" s="3306"/>
      <c r="L292" s="3208">
        <v>16.600000000000001</v>
      </c>
    </row>
    <row r="293" spans="1:12">
      <c r="A293" s="3318">
        <v>292</v>
      </c>
      <c r="B293" s="3319"/>
      <c r="C293" s="3207" t="s">
        <v>5924</v>
      </c>
      <c r="D293" s="3327"/>
      <c r="E293" s="3328"/>
      <c r="F293" s="3318">
        <v>1453</v>
      </c>
      <c r="G293" s="3319"/>
      <c r="H293" s="3333" t="s">
        <v>5925</v>
      </c>
      <c r="I293" s="3334"/>
      <c r="J293" s="3305">
        <v>37.39</v>
      </c>
      <c r="K293" s="3306"/>
      <c r="L293" s="3208">
        <v>16.600000000000001</v>
      </c>
    </row>
    <row r="294" spans="1:12">
      <c r="A294" s="3318">
        <v>293</v>
      </c>
      <c r="B294" s="3319"/>
      <c r="C294" s="3207" t="s">
        <v>5924</v>
      </c>
      <c r="D294" s="3327"/>
      <c r="E294" s="3328"/>
      <c r="F294" s="3318">
        <v>1454</v>
      </c>
      <c r="G294" s="3319"/>
      <c r="H294" s="3333" t="s">
        <v>5925</v>
      </c>
      <c r="I294" s="3334"/>
      <c r="J294" s="3305">
        <v>37.39</v>
      </c>
      <c r="K294" s="3306"/>
      <c r="L294" s="3208">
        <v>16.600000000000001</v>
      </c>
    </row>
    <row r="295" spans="1:12">
      <c r="A295" s="3318">
        <v>294</v>
      </c>
      <c r="B295" s="3319"/>
      <c r="C295" s="3207" t="s">
        <v>5924</v>
      </c>
      <c r="D295" s="3327"/>
      <c r="E295" s="3328"/>
      <c r="F295" s="3318">
        <v>1459</v>
      </c>
      <c r="G295" s="3319"/>
      <c r="H295" s="3333" t="s">
        <v>5925</v>
      </c>
      <c r="I295" s="3334"/>
      <c r="J295" s="3305">
        <v>37.39</v>
      </c>
      <c r="K295" s="3306"/>
      <c r="L295" s="3208">
        <v>16.600000000000001</v>
      </c>
    </row>
    <row r="296" spans="1:12">
      <c r="A296" s="3318">
        <v>295</v>
      </c>
      <c r="B296" s="3319"/>
      <c r="C296" s="3207" t="s">
        <v>5924</v>
      </c>
      <c r="D296" s="3327"/>
      <c r="E296" s="3328"/>
      <c r="F296" s="3318">
        <v>1460</v>
      </c>
      <c r="G296" s="3319"/>
      <c r="H296" s="3333" t="s">
        <v>5925</v>
      </c>
      <c r="I296" s="3334"/>
      <c r="J296" s="3305">
        <v>37.39</v>
      </c>
      <c r="K296" s="3306"/>
      <c r="L296" s="3208">
        <v>16.600000000000001</v>
      </c>
    </row>
    <row r="297" spans="1:12">
      <c r="A297" s="3318">
        <v>296</v>
      </c>
      <c r="B297" s="3319"/>
      <c r="C297" s="3207" t="s">
        <v>5924</v>
      </c>
      <c r="D297" s="3327"/>
      <c r="E297" s="3328"/>
      <c r="F297" s="3318">
        <v>1463</v>
      </c>
      <c r="G297" s="3319"/>
      <c r="H297" s="3333" t="s">
        <v>5925</v>
      </c>
      <c r="I297" s="3334"/>
      <c r="J297" s="3305">
        <v>37.39</v>
      </c>
      <c r="K297" s="3306"/>
      <c r="L297" s="3208">
        <v>16.600000000000001</v>
      </c>
    </row>
    <row r="298" spans="1:12">
      <c r="A298" s="3318">
        <v>297</v>
      </c>
      <c r="B298" s="3319"/>
      <c r="C298" s="3207" t="s">
        <v>5924</v>
      </c>
      <c r="D298" s="3327"/>
      <c r="E298" s="3328"/>
      <c r="F298" s="3318">
        <v>1464</v>
      </c>
      <c r="G298" s="3319"/>
      <c r="H298" s="3333" t="s">
        <v>5925</v>
      </c>
      <c r="I298" s="3334"/>
      <c r="J298" s="3305">
        <v>37.39</v>
      </c>
      <c r="K298" s="3306"/>
      <c r="L298" s="3208">
        <v>16.600000000000001</v>
      </c>
    </row>
    <row r="299" spans="1:12">
      <c r="A299" s="3318">
        <v>298</v>
      </c>
      <c r="B299" s="3319"/>
      <c r="C299" s="3207" t="s">
        <v>5924</v>
      </c>
      <c r="D299" s="3327"/>
      <c r="E299" s="3328"/>
      <c r="F299" s="3318">
        <v>1465</v>
      </c>
      <c r="G299" s="3319"/>
      <c r="H299" s="3333" t="s">
        <v>5925</v>
      </c>
      <c r="I299" s="3334"/>
      <c r="J299" s="3305">
        <v>37.39</v>
      </c>
      <c r="K299" s="3306"/>
      <c r="L299" s="3208">
        <v>16.600000000000001</v>
      </c>
    </row>
    <row r="300" spans="1:12">
      <c r="A300" s="3318">
        <v>299</v>
      </c>
      <c r="B300" s="3319"/>
      <c r="C300" s="3207" t="s">
        <v>5924</v>
      </c>
      <c r="D300" s="3327"/>
      <c r="E300" s="3328"/>
      <c r="F300" s="3318">
        <v>1471</v>
      </c>
      <c r="G300" s="3319"/>
      <c r="H300" s="3333" t="s">
        <v>5925</v>
      </c>
      <c r="I300" s="3334"/>
      <c r="J300" s="3305">
        <v>37.39</v>
      </c>
      <c r="K300" s="3306"/>
      <c r="L300" s="3208">
        <v>16.600000000000001</v>
      </c>
    </row>
    <row r="301" spans="1:12">
      <c r="A301" s="3318">
        <v>300</v>
      </c>
      <c r="B301" s="3319"/>
      <c r="C301" s="3207" t="s">
        <v>5924</v>
      </c>
      <c r="D301" s="3327"/>
      <c r="E301" s="3328"/>
      <c r="F301" s="3318">
        <v>1479</v>
      </c>
      <c r="G301" s="3319"/>
      <c r="H301" s="3333" t="s">
        <v>5925</v>
      </c>
      <c r="I301" s="3334"/>
      <c r="J301" s="3305">
        <v>37.39</v>
      </c>
      <c r="K301" s="3306"/>
      <c r="L301" s="3208">
        <v>16.600000000000001</v>
      </c>
    </row>
    <row r="302" spans="1:12">
      <c r="A302" s="3318">
        <v>301</v>
      </c>
      <c r="B302" s="3319"/>
      <c r="C302" s="3207" t="s">
        <v>5924</v>
      </c>
      <c r="D302" s="3327"/>
      <c r="E302" s="3328"/>
      <c r="F302" s="3318">
        <v>1480</v>
      </c>
      <c r="G302" s="3319"/>
      <c r="H302" s="3333" t="s">
        <v>5925</v>
      </c>
      <c r="I302" s="3334"/>
      <c r="J302" s="3305">
        <v>37.39</v>
      </c>
      <c r="K302" s="3306"/>
      <c r="L302" s="3208">
        <v>16.600000000000001</v>
      </c>
    </row>
    <row r="303" spans="1:12">
      <c r="A303" s="3318">
        <v>302</v>
      </c>
      <c r="B303" s="3319"/>
      <c r="C303" s="3207" t="s">
        <v>5924</v>
      </c>
      <c r="D303" s="3327"/>
      <c r="E303" s="3328"/>
      <c r="F303" s="3318">
        <v>1482</v>
      </c>
      <c r="G303" s="3319"/>
      <c r="H303" s="3333" t="s">
        <v>5925</v>
      </c>
      <c r="I303" s="3334"/>
      <c r="J303" s="3305">
        <v>37.39</v>
      </c>
      <c r="K303" s="3306"/>
      <c r="L303" s="3208">
        <v>16.600000000000001</v>
      </c>
    </row>
    <row r="304" spans="1:12">
      <c r="A304" s="3318">
        <v>303</v>
      </c>
      <c r="B304" s="3319"/>
      <c r="C304" s="3207" t="s">
        <v>5924</v>
      </c>
      <c r="D304" s="3327"/>
      <c r="E304" s="3328"/>
      <c r="F304" s="3318">
        <v>1483</v>
      </c>
      <c r="G304" s="3319"/>
      <c r="H304" s="3333" t="s">
        <v>5925</v>
      </c>
      <c r="I304" s="3334"/>
      <c r="J304" s="3305">
        <v>55.34</v>
      </c>
      <c r="K304" s="3306"/>
      <c r="L304" s="3208">
        <v>24.58</v>
      </c>
    </row>
    <row r="305" spans="1:12">
      <c r="A305" s="3318">
        <v>304</v>
      </c>
      <c r="B305" s="3319"/>
      <c r="C305" s="3207" t="s">
        <v>5924</v>
      </c>
      <c r="D305" s="3327"/>
      <c r="E305" s="3328"/>
      <c r="F305" s="3318">
        <v>1484</v>
      </c>
      <c r="G305" s="3319"/>
      <c r="H305" s="3333" t="s">
        <v>5925</v>
      </c>
      <c r="I305" s="3334"/>
      <c r="J305" s="3305">
        <v>37.39</v>
      </c>
      <c r="K305" s="3306"/>
      <c r="L305" s="3208">
        <v>16.600000000000001</v>
      </c>
    </row>
    <row r="306" spans="1:12">
      <c r="A306" s="3318">
        <v>305</v>
      </c>
      <c r="B306" s="3319"/>
      <c r="C306" s="3207" t="s">
        <v>5924</v>
      </c>
      <c r="D306" s="3327"/>
      <c r="E306" s="3328"/>
      <c r="F306" s="3318">
        <v>1485</v>
      </c>
      <c r="G306" s="3319"/>
      <c r="H306" s="3333" t="s">
        <v>5925</v>
      </c>
      <c r="I306" s="3334"/>
      <c r="J306" s="3305">
        <v>37.39</v>
      </c>
      <c r="K306" s="3306"/>
      <c r="L306" s="3208">
        <v>16.600000000000001</v>
      </c>
    </row>
    <row r="307" spans="1:12">
      <c r="A307" s="3318">
        <v>306</v>
      </c>
      <c r="B307" s="3319"/>
      <c r="C307" s="3207" t="s">
        <v>5924</v>
      </c>
      <c r="D307" s="3327"/>
      <c r="E307" s="3328"/>
      <c r="F307" s="3318">
        <v>1487</v>
      </c>
      <c r="G307" s="3319"/>
      <c r="H307" s="3333" t="s">
        <v>5925</v>
      </c>
      <c r="I307" s="3334"/>
      <c r="J307" s="3305">
        <v>37.39</v>
      </c>
      <c r="K307" s="3306"/>
      <c r="L307" s="3208">
        <v>16.600000000000001</v>
      </c>
    </row>
    <row r="308" spans="1:12">
      <c r="A308" s="3318">
        <v>307</v>
      </c>
      <c r="B308" s="3319"/>
      <c r="C308" s="3207" t="s">
        <v>5924</v>
      </c>
      <c r="D308" s="3327"/>
      <c r="E308" s="3328"/>
      <c r="F308" s="3318">
        <v>1494</v>
      </c>
      <c r="G308" s="3319"/>
      <c r="H308" s="3333" t="s">
        <v>5925</v>
      </c>
      <c r="I308" s="3334"/>
      <c r="J308" s="3305">
        <v>37.39</v>
      </c>
      <c r="K308" s="3306"/>
      <c r="L308" s="3208">
        <v>16.600000000000001</v>
      </c>
    </row>
    <row r="309" spans="1:12">
      <c r="A309" s="3318">
        <v>308</v>
      </c>
      <c r="B309" s="3319"/>
      <c r="C309" s="3207" t="s">
        <v>5924</v>
      </c>
      <c r="D309" s="3327"/>
      <c r="E309" s="3328"/>
      <c r="F309" s="3318">
        <v>1495</v>
      </c>
      <c r="G309" s="3319"/>
      <c r="H309" s="3333" t="s">
        <v>5925</v>
      </c>
      <c r="I309" s="3334"/>
      <c r="J309" s="3305">
        <v>37.39</v>
      </c>
      <c r="K309" s="3306"/>
      <c r="L309" s="3208">
        <v>16.600000000000001</v>
      </c>
    </row>
    <row r="310" spans="1:12">
      <c r="A310" s="3318">
        <v>309</v>
      </c>
      <c r="B310" s="3319"/>
      <c r="C310" s="3207" t="s">
        <v>5924</v>
      </c>
      <c r="D310" s="3327"/>
      <c r="E310" s="3328"/>
      <c r="F310" s="3318">
        <v>1500</v>
      </c>
      <c r="G310" s="3319"/>
      <c r="H310" s="3333" t="s">
        <v>5925</v>
      </c>
      <c r="I310" s="3334"/>
      <c r="J310" s="3305">
        <v>37.39</v>
      </c>
      <c r="K310" s="3306"/>
      <c r="L310" s="3208">
        <v>16.600000000000001</v>
      </c>
    </row>
    <row r="311" spans="1:12">
      <c r="A311" s="3318">
        <v>310</v>
      </c>
      <c r="B311" s="3319"/>
      <c r="C311" s="3207" t="s">
        <v>5924</v>
      </c>
      <c r="D311" s="3327"/>
      <c r="E311" s="3328"/>
      <c r="F311" s="3318">
        <v>1501</v>
      </c>
      <c r="G311" s="3319"/>
      <c r="H311" s="3333" t="s">
        <v>5925</v>
      </c>
      <c r="I311" s="3334"/>
      <c r="J311" s="3305">
        <v>37.39</v>
      </c>
      <c r="K311" s="3306"/>
      <c r="L311" s="3208">
        <v>16.600000000000001</v>
      </c>
    </row>
    <row r="312" spans="1:12">
      <c r="A312" s="3318">
        <v>311</v>
      </c>
      <c r="B312" s="3319"/>
      <c r="C312" s="3207" t="s">
        <v>5924</v>
      </c>
      <c r="D312" s="3327"/>
      <c r="E312" s="3328"/>
      <c r="F312" s="3318">
        <v>1502</v>
      </c>
      <c r="G312" s="3319"/>
      <c r="H312" s="3333" t="s">
        <v>5925</v>
      </c>
      <c r="I312" s="3334"/>
      <c r="J312" s="3305">
        <v>37.39</v>
      </c>
      <c r="K312" s="3306"/>
      <c r="L312" s="3208">
        <v>16.600000000000001</v>
      </c>
    </row>
    <row r="313" spans="1:12">
      <c r="A313" s="3318">
        <v>312</v>
      </c>
      <c r="B313" s="3319"/>
      <c r="C313" s="3207" t="s">
        <v>5924</v>
      </c>
      <c r="D313" s="3327"/>
      <c r="E313" s="3328"/>
      <c r="F313" s="3318">
        <v>1503</v>
      </c>
      <c r="G313" s="3319"/>
      <c r="H313" s="3333" t="s">
        <v>5925</v>
      </c>
      <c r="I313" s="3334"/>
      <c r="J313" s="3305">
        <v>37.39</v>
      </c>
      <c r="K313" s="3306"/>
      <c r="L313" s="3208">
        <v>16.600000000000001</v>
      </c>
    </row>
    <row r="314" spans="1:12">
      <c r="A314" s="3318">
        <v>313</v>
      </c>
      <c r="B314" s="3319"/>
      <c r="C314" s="3207" t="s">
        <v>5924</v>
      </c>
      <c r="D314" s="3327"/>
      <c r="E314" s="3328"/>
      <c r="F314" s="3318">
        <v>1504</v>
      </c>
      <c r="G314" s="3319"/>
      <c r="H314" s="3333" t="s">
        <v>5925</v>
      </c>
      <c r="I314" s="3334"/>
      <c r="J314" s="3305">
        <v>37.39</v>
      </c>
      <c r="K314" s="3306"/>
      <c r="L314" s="3208">
        <v>16.600000000000001</v>
      </c>
    </row>
    <row r="315" spans="1:12">
      <c r="A315" s="3318">
        <v>314</v>
      </c>
      <c r="B315" s="3319"/>
      <c r="C315" s="3207" t="s">
        <v>5924</v>
      </c>
      <c r="D315" s="3327"/>
      <c r="E315" s="3328"/>
      <c r="F315" s="3318">
        <v>1505</v>
      </c>
      <c r="G315" s="3319"/>
      <c r="H315" s="3333" t="s">
        <v>5925</v>
      </c>
      <c r="I315" s="3334"/>
      <c r="J315" s="3305">
        <v>37.39</v>
      </c>
      <c r="K315" s="3306"/>
      <c r="L315" s="3208">
        <v>16.600000000000001</v>
      </c>
    </row>
    <row r="316" spans="1:12">
      <c r="A316" s="3318">
        <v>315</v>
      </c>
      <c r="B316" s="3319"/>
      <c r="C316" s="3207" t="s">
        <v>5924</v>
      </c>
      <c r="D316" s="3327"/>
      <c r="E316" s="3328"/>
      <c r="F316" s="3318">
        <v>1506</v>
      </c>
      <c r="G316" s="3319"/>
      <c r="H316" s="3333" t="s">
        <v>5925</v>
      </c>
      <c r="I316" s="3334"/>
      <c r="J316" s="3305">
        <v>37.39</v>
      </c>
      <c r="K316" s="3306"/>
      <c r="L316" s="3208">
        <v>16.600000000000001</v>
      </c>
    </row>
    <row r="317" spans="1:12">
      <c r="A317" s="3318">
        <v>316</v>
      </c>
      <c r="B317" s="3319"/>
      <c r="C317" s="3207" t="s">
        <v>5924</v>
      </c>
      <c r="D317" s="3327"/>
      <c r="E317" s="3328"/>
      <c r="F317" s="3318">
        <v>1507</v>
      </c>
      <c r="G317" s="3319"/>
      <c r="H317" s="3333" t="s">
        <v>5925</v>
      </c>
      <c r="I317" s="3334"/>
      <c r="J317" s="3305">
        <v>37.39</v>
      </c>
      <c r="K317" s="3306"/>
      <c r="L317" s="3208">
        <v>16.600000000000001</v>
      </c>
    </row>
    <row r="318" spans="1:12">
      <c r="A318" s="3318">
        <v>317</v>
      </c>
      <c r="B318" s="3319"/>
      <c r="C318" s="3207" t="s">
        <v>5924</v>
      </c>
      <c r="D318" s="3327"/>
      <c r="E318" s="3328"/>
      <c r="F318" s="3318">
        <v>1508</v>
      </c>
      <c r="G318" s="3319"/>
      <c r="H318" s="3333" t="s">
        <v>5925</v>
      </c>
      <c r="I318" s="3334"/>
      <c r="J318" s="3305">
        <v>37.39</v>
      </c>
      <c r="K318" s="3306"/>
      <c r="L318" s="3208">
        <v>16.600000000000001</v>
      </c>
    </row>
    <row r="319" spans="1:12">
      <c r="A319" s="3318">
        <v>318</v>
      </c>
      <c r="B319" s="3319"/>
      <c r="C319" s="3207" t="s">
        <v>5924</v>
      </c>
      <c r="D319" s="3327"/>
      <c r="E319" s="3328"/>
      <c r="F319" s="3318">
        <v>1509</v>
      </c>
      <c r="G319" s="3319"/>
      <c r="H319" s="3333" t="s">
        <v>5925</v>
      </c>
      <c r="I319" s="3334"/>
      <c r="J319" s="3305">
        <v>37.39</v>
      </c>
      <c r="K319" s="3306"/>
      <c r="L319" s="3208">
        <v>16.600000000000001</v>
      </c>
    </row>
    <row r="320" spans="1:12">
      <c r="A320" s="3318">
        <v>319</v>
      </c>
      <c r="B320" s="3319"/>
      <c r="C320" s="3207" t="s">
        <v>5924</v>
      </c>
      <c r="D320" s="3327"/>
      <c r="E320" s="3328"/>
      <c r="F320" s="3318">
        <v>1515</v>
      </c>
      <c r="G320" s="3319"/>
      <c r="H320" s="3333" t="s">
        <v>5925</v>
      </c>
      <c r="I320" s="3334"/>
      <c r="J320" s="3305">
        <v>37.39</v>
      </c>
      <c r="K320" s="3306"/>
      <c r="L320" s="3208">
        <v>16.600000000000001</v>
      </c>
    </row>
    <row r="321" spans="1:12">
      <c r="A321" s="3318">
        <v>320</v>
      </c>
      <c r="B321" s="3319"/>
      <c r="C321" s="3207" t="s">
        <v>5924</v>
      </c>
      <c r="D321" s="3327"/>
      <c r="E321" s="3328"/>
      <c r="F321" s="3318">
        <v>1520</v>
      </c>
      <c r="G321" s="3319"/>
      <c r="H321" s="3333" t="s">
        <v>5925</v>
      </c>
      <c r="I321" s="3334"/>
      <c r="J321" s="3305">
        <v>37.39</v>
      </c>
      <c r="K321" s="3306"/>
      <c r="L321" s="3208">
        <v>16.600000000000001</v>
      </c>
    </row>
    <row r="322" spans="1:12">
      <c r="A322" s="3318">
        <v>321</v>
      </c>
      <c r="B322" s="3319"/>
      <c r="C322" s="3207" t="s">
        <v>5924</v>
      </c>
      <c r="D322" s="3327"/>
      <c r="E322" s="3328"/>
      <c r="F322" s="3318">
        <v>1521</v>
      </c>
      <c r="G322" s="3319"/>
      <c r="H322" s="3333" t="s">
        <v>5925</v>
      </c>
      <c r="I322" s="3334"/>
      <c r="J322" s="3305">
        <v>37.39</v>
      </c>
      <c r="K322" s="3306"/>
      <c r="L322" s="3208">
        <v>16.600000000000001</v>
      </c>
    </row>
    <row r="323" spans="1:12">
      <c r="A323" s="3318">
        <v>322</v>
      </c>
      <c r="B323" s="3319"/>
      <c r="C323" s="3207" t="s">
        <v>5924</v>
      </c>
      <c r="D323" s="3327"/>
      <c r="E323" s="3328"/>
      <c r="F323" s="3318">
        <v>1523</v>
      </c>
      <c r="G323" s="3319"/>
      <c r="H323" s="3333" t="s">
        <v>5925</v>
      </c>
      <c r="I323" s="3334"/>
      <c r="J323" s="3305">
        <v>37.39</v>
      </c>
      <c r="K323" s="3306"/>
      <c r="L323" s="3208">
        <v>16.600000000000001</v>
      </c>
    </row>
    <row r="324" spans="1:12">
      <c r="A324" s="3318">
        <v>323</v>
      </c>
      <c r="B324" s="3319"/>
      <c r="C324" s="3207" t="s">
        <v>5924</v>
      </c>
      <c r="D324" s="3327"/>
      <c r="E324" s="3328"/>
      <c r="F324" s="3318">
        <v>1524</v>
      </c>
      <c r="G324" s="3319"/>
      <c r="H324" s="3333" t="s">
        <v>5925</v>
      </c>
      <c r="I324" s="3334"/>
      <c r="J324" s="3305">
        <v>37.39</v>
      </c>
      <c r="K324" s="3306"/>
      <c r="L324" s="3208">
        <v>16.600000000000001</v>
      </c>
    </row>
    <row r="325" spans="1:12">
      <c r="A325" s="3318">
        <v>324</v>
      </c>
      <c r="B325" s="3319"/>
      <c r="C325" s="3207" t="s">
        <v>5924</v>
      </c>
      <c r="D325" s="3327"/>
      <c r="E325" s="3328"/>
      <c r="F325" s="3318">
        <v>1525</v>
      </c>
      <c r="G325" s="3319"/>
      <c r="H325" s="3333" t="s">
        <v>5925</v>
      </c>
      <c r="I325" s="3334"/>
      <c r="J325" s="3305">
        <v>37.39</v>
      </c>
      <c r="K325" s="3306"/>
      <c r="L325" s="3208">
        <v>16.600000000000001</v>
      </c>
    </row>
    <row r="326" spans="1:12">
      <c r="A326" s="3318">
        <v>325</v>
      </c>
      <c r="B326" s="3319"/>
      <c r="C326" s="3207" t="s">
        <v>5924</v>
      </c>
      <c r="D326" s="3327"/>
      <c r="E326" s="3328"/>
      <c r="F326" s="3318">
        <v>1527</v>
      </c>
      <c r="G326" s="3319"/>
      <c r="H326" s="3333" t="s">
        <v>5925</v>
      </c>
      <c r="I326" s="3334"/>
      <c r="J326" s="3305">
        <v>37.39</v>
      </c>
      <c r="K326" s="3306"/>
      <c r="L326" s="3208">
        <v>16.600000000000001</v>
      </c>
    </row>
    <row r="327" spans="1:12">
      <c r="A327" s="3318">
        <v>326</v>
      </c>
      <c r="B327" s="3319"/>
      <c r="C327" s="3207" t="s">
        <v>5924</v>
      </c>
      <c r="D327" s="3327"/>
      <c r="E327" s="3328"/>
      <c r="F327" s="3318">
        <v>1530</v>
      </c>
      <c r="G327" s="3319"/>
      <c r="H327" s="3333" t="s">
        <v>5925</v>
      </c>
      <c r="I327" s="3334"/>
      <c r="J327" s="3305">
        <v>37.39</v>
      </c>
      <c r="K327" s="3306"/>
      <c r="L327" s="3208">
        <v>16.600000000000001</v>
      </c>
    </row>
    <row r="328" spans="1:12">
      <c r="A328" s="3318">
        <v>327</v>
      </c>
      <c r="B328" s="3319"/>
      <c r="C328" s="3207" t="s">
        <v>5924</v>
      </c>
      <c r="D328" s="3327"/>
      <c r="E328" s="3328"/>
      <c r="F328" s="3318">
        <v>1531</v>
      </c>
      <c r="G328" s="3319"/>
      <c r="H328" s="3333" t="s">
        <v>5925</v>
      </c>
      <c r="I328" s="3334"/>
      <c r="J328" s="3305">
        <v>37.39</v>
      </c>
      <c r="K328" s="3306"/>
      <c r="L328" s="3208">
        <v>16.600000000000001</v>
      </c>
    </row>
    <row r="329" spans="1:12">
      <c r="A329" s="3318">
        <v>328</v>
      </c>
      <c r="B329" s="3319"/>
      <c r="C329" s="3207" t="s">
        <v>5924</v>
      </c>
      <c r="D329" s="3327"/>
      <c r="E329" s="3328"/>
      <c r="F329" s="3318">
        <v>1533</v>
      </c>
      <c r="G329" s="3319"/>
      <c r="H329" s="3333" t="s">
        <v>5925</v>
      </c>
      <c r="I329" s="3334"/>
      <c r="J329" s="3305">
        <v>37.39</v>
      </c>
      <c r="K329" s="3306"/>
      <c r="L329" s="3208">
        <v>16.600000000000001</v>
      </c>
    </row>
    <row r="330" spans="1:12">
      <c r="A330" s="3318">
        <v>329</v>
      </c>
      <c r="B330" s="3319"/>
      <c r="C330" s="3207" t="s">
        <v>5924</v>
      </c>
      <c r="D330" s="3327"/>
      <c r="E330" s="3328"/>
      <c r="F330" s="3318">
        <v>1537</v>
      </c>
      <c r="G330" s="3319"/>
      <c r="H330" s="3333" t="s">
        <v>5925</v>
      </c>
      <c r="I330" s="3334"/>
      <c r="J330" s="3305">
        <v>37.39</v>
      </c>
      <c r="K330" s="3306"/>
      <c r="L330" s="3208">
        <v>16.600000000000001</v>
      </c>
    </row>
    <row r="331" spans="1:12">
      <c r="A331" s="3318">
        <v>330</v>
      </c>
      <c r="B331" s="3319"/>
      <c r="C331" s="3207" t="s">
        <v>5924</v>
      </c>
      <c r="D331" s="3327"/>
      <c r="E331" s="3328"/>
      <c r="F331" s="3318">
        <v>1540</v>
      </c>
      <c r="G331" s="3319"/>
      <c r="H331" s="3333" t="s">
        <v>5925</v>
      </c>
      <c r="I331" s="3334"/>
      <c r="J331" s="3305">
        <v>37.39</v>
      </c>
      <c r="K331" s="3306"/>
      <c r="L331" s="3208">
        <v>16.600000000000001</v>
      </c>
    </row>
    <row r="332" spans="1:12">
      <c r="A332" s="3318">
        <v>331</v>
      </c>
      <c r="B332" s="3319"/>
      <c r="C332" s="3207" t="s">
        <v>5924</v>
      </c>
      <c r="D332" s="3327"/>
      <c r="E332" s="3328"/>
      <c r="F332" s="3318">
        <v>1541</v>
      </c>
      <c r="G332" s="3319"/>
      <c r="H332" s="3333" t="s">
        <v>5925</v>
      </c>
      <c r="I332" s="3334"/>
      <c r="J332" s="3305">
        <v>37.39</v>
      </c>
      <c r="K332" s="3306"/>
      <c r="L332" s="3208">
        <v>16.600000000000001</v>
      </c>
    </row>
    <row r="333" spans="1:12">
      <c r="A333" s="3318">
        <v>332</v>
      </c>
      <c r="B333" s="3319"/>
      <c r="C333" s="3207" t="s">
        <v>5924</v>
      </c>
      <c r="D333" s="3327"/>
      <c r="E333" s="3328"/>
      <c r="F333" s="3318">
        <v>1543</v>
      </c>
      <c r="G333" s="3319"/>
      <c r="H333" s="3333" t="s">
        <v>5925</v>
      </c>
      <c r="I333" s="3334"/>
      <c r="J333" s="3305">
        <v>37.39</v>
      </c>
      <c r="K333" s="3306"/>
      <c r="L333" s="3208">
        <v>16.600000000000001</v>
      </c>
    </row>
    <row r="334" spans="1:12">
      <c r="A334" s="3318">
        <v>333</v>
      </c>
      <c r="B334" s="3319"/>
      <c r="C334" s="3207" t="s">
        <v>5924</v>
      </c>
      <c r="D334" s="3327"/>
      <c r="E334" s="3328"/>
      <c r="F334" s="3318">
        <v>1544</v>
      </c>
      <c r="G334" s="3319"/>
      <c r="H334" s="3333" t="s">
        <v>5925</v>
      </c>
      <c r="I334" s="3334"/>
      <c r="J334" s="3305">
        <v>37.39</v>
      </c>
      <c r="K334" s="3306"/>
      <c r="L334" s="3208">
        <v>16.600000000000001</v>
      </c>
    </row>
    <row r="335" spans="1:12">
      <c r="A335" s="3318">
        <v>334</v>
      </c>
      <c r="B335" s="3319"/>
      <c r="C335" s="3207" t="s">
        <v>5924</v>
      </c>
      <c r="D335" s="3327"/>
      <c r="E335" s="3328"/>
      <c r="F335" s="3318">
        <v>1545</v>
      </c>
      <c r="G335" s="3319"/>
      <c r="H335" s="3333" t="s">
        <v>5925</v>
      </c>
      <c r="I335" s="3334"/>
      <c r="J335" s="3305">
        <v>37.39</v>
      </c>
      <c r="K335" s="3306"/>
      <c r="L335" s="3208">
        <v>16.600000000000001</v>
      </c>
    </row>
    <row r="336" spans="1:12">
      <c r="A336" s="3318">
        <v>335</v>
      </c>
      <c r="B336" s="3319"/>
      <c r="C336" s="3207" t="s">
        <v>5924</v>
      </c>
      <c r="D336" s="3327"/>
      <c r="E336" s="3328"/>
      <c r="F336" s="3318">
        <v>1546</v>
      </c>
      <c r="G336" s="3319"/>
      <c r="H336" s="3333" t="s">
        <v>5925</v>
      </c>
      <c r="I336" s="3334"/>
      <c r="J336" s="3305">
        <v>37.39</v>
      </c>
      <c r="K336" s="3306"/>
      <c r="L336" s="3208">
        <v>16.600000000000001</v>
      </c>
    </row>
    <row r="337" spans="1:12">
      <c r="A337" s="3318">
        <v>336</v>
      </c>
      <c r="B337" s="3319"/>
      <c r="C337" s="3207" t="s">
        <v>5924</v>
      </c>
      <c r="D337" s="3327"/>
      <c r="E337" s="3328"/>
      <c r="F337" s="3318">
        <v>1547</v>
      </c>
      <c r="G337" s="3319"/>
      <c r="H337" s="3333" t="s">
        <v>5925</v>
      </c>
      <c r="I337" s="3334"/>
      <c r="J337" s="3305">
        <v>37.39</v>
      </c>
      <c r="K337" s="3306"/>
      <c r="L337" s="3208">
        <v>16.600000000000001</v>
      </c>
    </row>
    <row r="338" spans="1:12">
      <c r="A338" s="3318">
        <v>337</v>
      </c>
      <c r="B338" s="3319"/>
      <c r="C338" s="3207" t="s">
        <v>5924</v>
      </c>
      <c r="D338" s="3327"/>
      <c r="E338" s="3328"/>
      <c r="F338" s="3318">
        <v>1548</v>
      </c>
      <c r="G338" s="3319"/>
      <c r="H338" s="3333" t="s">
        <v>5925</v>
      </c>
      <c r="I338" s="3334"/>
      <c r="J338" s="3305">
        <v>55.34</v>
      </c>
      <c r="K338" s="3306"/>
      <c r="L338" s="3208">
        <v>24.58</v>
      </c>
    </row>
    <row r="339" spans="1:12">
      <c r="A339" s="3318">
        <v>338</v>
      </c>
      <c r="B339" s="3319"/>
      <c r="C339" s="3207" t="s">
        <v>5924</v>
      </c>
      <c r="D339" s="3327"/>
      <c r="E339" s="3328"/>
      <c r="F339" s="3318">
        <v>1549</v>
      </c>
      <c r="G339" s="3319"/>
      <c r="H339" s="3333" t="s">
        <v>5925</v>
      </c>
      <c r="I339" s="3334"/>
      <c r="J339" s="3305">
        <v>37.39</v>
      </c>
      <c r="K339" s="3306"/>
      <c r="L339" s="3208">
        <v>16.600000000000001</v>
      </c>
    </row>
    <row r="340" spans="1:12">
      <c r="A340" s="3318">
        <v>339</v>
      </c>
      <c r="B340" s="3319"/>
      <c r="C340" s="3207" t="s">
        <v>5924</v>
      </c>
      <c r="D340" s="3327"/>
      <c r="E340" s="3328"/>
      <c r="F340" s="3318">
        <v>1553</v>
      </c>
      <c r="G340" s="3319"/>
      <c r="H340" s="3333" t="s">
        <v>5925</v>
      </c>
      <c r="I340" s="3334"/>
      <c r="J340" s="3305">
        <v>37.39</v>
      </c>
      <c r="K340" s="3306"/>
      <c r="L340" s="3208">
        <v>16.600000000000001</v>
      </c>
    </row>
    <row r="341" spans="1:12">
      <c r="A341" s="3318">
        <v>340</v>
      </c>
      <c r="B341" s="3319"/>
      <c r="C341" s="3207" t="s">
        <v>5924</v>
      </c>
      <c r="D341" s="3327"/>
      <c r="E341" s="3328"/>
      <c r="F341" s="3318">
        <v>1554</v>
      </c>
      <c r="G341" s="3319"/>
      <c r="H341" s="3333" t="s">
        <v>5925</v>
      </c>
      <c r="I341" s="3334"/>
      <c r="J341" s="3305">
        <v>37.39</v>
      </c>
      <c r="K341" s="3306"/>
      <c r="L341" s="3208">
        <v>16.600000000000001</v>
      </c>
    </row>
    <row r="342" spans="1:12">
      <c r="A342" s="3318">
        <v>341</v>
      </c>
      <c r="B342" s="3319"/>
      <c r="C342" s="3207" t="s">
        <v>5924</v>
      </c>
      <c r="D342" s="3327"/>
      <c r="E342" s="3328"/>
      <c r="F342" s="3318">
        <v>1555</v>
      </c>
      <c r="G342" s="3319"/>
      <c r="H342" s="3333" t="s">
        <v>5925</v>
      </c>
      <c r="I342" s="3334"/>
      <c r="J342" s="3305">
        <v>37.39</v>
      </c>
      <c r="K342" s="3306"/>
      <c r="L342" s="3208">
        <v>16.600000000000001</v>
      </c>
    </row>
    <row r="343" spans="1:12">
      <c r="A343" s="3318">
        <v>342</v>
      </c>
      <c r="B343" s="3319"/>
      <c r="C343" s="3207" t="s">
        <v>5924</v>
      </c>
      <c r="D343" s="3327"/>
      <c r="E343" s="3328"/>
      <c r="F343" s="3318">
        <v>1556</v>
      </c>
      <c r="G343" s="3319"/>
      <c r="H343" s="3333" t="s">
        <v>5925</v>
      </c>
      <c r="I343" s="3334"/>
      <c r="J343" s="3305">
        <v>37.39</v>
      </c>
      <c r="K343" s="3306"/>
      <c r="L343" s="3208">
        <v>16.600000000000001</v>
      </c>
    </row>
    <row r="344" spans="1:12">
      <c r="A344" s="3318">
        <v>343</v>
      </c>
      <c r="B344" s="3319"/>
      <c r="C344" s="3207" t="s">
        <v>5924</v>
      </c>
      <c r="D344" s="3327"/>
      <c r="E344" s="3328"/>
      <c r="F344" s="3318">
        <v>1557</v>
      </c>
      <c r="G344" s="3319"/>
      <c r="H344" s="3333" t="s">
        <v>5925</v>
      </c>
      <c r="I344" s="3334"/>
      <c r="J344" s="3305">
        <v>37.39</v>
      </c>
      <c r="K344" s="3306"/>
      <c r="L344" s="3208">
        <v>16.600000000000001</v>
      </c>
    </row>
    <row r="345" spans="1:12">
      <c r="A345" s="3318">
        <v>344</v>
      </c>
      <c r="B345" s="3319"/>
      <c r="C345" s="3207" t="s">
        <v>5924</v>
      </c>
      <c r="D345" s="3327"/>
      <c r="E345" s="3328"/>
      <c r="F345" s="3318">
        <v>1558</v>
      </c>
      <c r="G345" s="3319"/>
      <c r="H345" s="3333" t="s">
        <v>5925</v>
      </c>
      <c r="I345" s="3334"/>
      <c r="J345" s="3305">
        <v>37.39</v>
      </c>
      <c r="K345" s="3306"/>
      <c r="L345" s="3208">
        <v>16.600000000000001</v>
      </c>
    </row>
    <row r="346" spans="1:12">
      <c r="A346" s="3318">
        <v>345</v>
      </c>
      <c r="B346" s="3319"/>
      <c r="C346" s="3207" t="s">
        <v>5924</v>
      </c>
      <c r="D346" s="3327"/>
      <c r="E346" s="3328"/>
      <c r="F346" s="3318">
        <v>1559</v>
      </c>
      <c r="G346" s="3319"/>
      <c r="H346" s="3333" t="s">
        <v>5925</v>
      </c>
      <c r="I346" s="3334"/>
      <c r="J346" s="3305">
        <v>37.39</v>
      </c>
      <c r="K346" s="3306"/>
      <c r="L346" s="3208">
        <v>16.600000000000001</v>
      </c>
    </row>
    <row r="347" spans="1:12">
      <c r="A347" s="3318">
        <v>346</v>
      </c>
      <c r="B347" s="3319"/>
      <c r="C347" s="3207" t="s">
        <v>5924</v>
      </c>
      <c r="D347" s="3327"/>
      <c r="E347" s="3328"/>
      <c r="F347" s="3318">
        <v>1560</v>
      </c>
      <c r="G347" s="3319"/>
      <c r="H347" s="3333" t="s">
        <v>5925</v>
      </c>
      <c r="I347" s="3334"/>
      <c r="J347" s="3305">
        <v>37.39</v>
      </c>
      <c r="K347" s="3306"/>
      <c r="L347" s="3208">
        <v>16.600000000000001</v>
      </c>
    </row>
    <row r="348" spans="1:12">
      <c r="A348" s="3318">
        <v>347</v>
      </c>
      <c r="B348" s="3319"/>
      <c r="C348" s="3207" t="s">
        <v>5924</v>
      </c>
      <c r="D348" s="3327"/>
      <c r="E348" s="3328"/>
      <c r="F348" s="3318">
        <v>1566</v>
      </c>
      <c r="G348" s="3319"/>
      <c r="H348" s="3333" t="s">
        <v>5925</v>
      </c>
      <c r="I348" s="3334"/>
      <c r="J348" s="3305">
        <v>37.39</v>
      </c>
      <c r="K348" s="3306"/>
      <c r="L348" s="3208">
        <v>16.600000000000001</v>
      </c>
    </row>
    <row r="349" spans="1:12">
      <c r="A349" s="3318">
        <v>348</v>
      </c>
      <c r="B349" s="3319"/>
      <c r="C349" s="3207" t="s">
        <v>5924</v>
      </c>
      <c r="D349" s="3327"/>
      <c r="E349" s="3328"/>
      <c r="F349" s="3318">
        <v>1568</v>
      </c>
      <c r="G349" s="3319"/>
      <c r="H349" s="3333" t="s">
        <v>5925</v>
      </c>
      <c r="I349" s="3334"/>
      <c r="J349" s="3305">
        <v>37.39</v>
      </c>
      <c r="K349" s="3306"/>
      <c r="L349" s="3208">
        <v>16.600000000000001</v>
      </c>
    </row>
    <row r="350" spans="1:12">
      <c r="A350" s="3318">
        <v>349</v>
      </c>
      <c r="B350" s="3319"/>
      <c r="C350" s="3207" t="s">
        <v>5924</v>
      </c>
      <c r="D350" s="3327"/>
      <c r="E350" s="3328"/>
      <c r="F350" s="3318">
        <v>1569</v>
      </c>
      <c r="G350" s="3319"/>
      <c r="H350" s="3333" t="s">
        <v>5925</v>
      </c>
      <c r="I350" s="3334"/>
      <c r="J350" s="3305">
        <v>37.39</v>
      </c>
      <c r="K350" s="3306"/>
      <c r="L350" s="3208">
        <v>16.600000000000001</v>
      </c>
    </row>
    <row r="351" spans="1:12">
      <c r="A351" s="3318">
        <v>350</v>
      </c>
      <c r="B351" s="3319"/>
      <c r="C351" s="3207" t="s">
        <v>5924</v>
      </c>
      <c r="D351" s="3327"/>
      <c r="E351" s="3328"/>
      <c r="F351" s="3318">
        <v>1574</v>
      </c>
      <c r="G351" s="3319"/>
      <c r="H351" s="3333" t="s">
        <v>5925</v>
      </c>
      <c r="I351" s="3334"/>
      <c r="J351" s="3305">
        <v>37.39</v>
      </c>
      <c r="K351" s="3306"/>
      <c r="L351" s="3208">
        <v>16.600000000000001</v>
      </c>
    </row>
    <row r="352" spans="1:12">
      <c r="A352" s="3318">
        <v>351</v>
      </c>
      <c r="B352" s="3319"/>
      <c r="C352" s="3207" t="s">
        <v>5924</v>
      </c>
      <c r="D352" s="3327"/>
      <c r="E352" s="3328"/>
      <c r="F352" s="3318">
        <v>1575</v>
      </c>
      <c r="G352" s="3319"/>
      <c r="H352" s="3333" t="s">
        <v>5925</v>
      </c>
      <c r="I352" s="3334"/>
      <c r="J352" s="3305">
        <v>37.39</v>
      </c>
      <c r="K352" s="3306"/>
      <c r="L352" s="3208">
        <v>16.600000000000001</v>
      </c>
    </row>
    <row r="353" spans="1:12">
      <c r="A353" s="3318">
        <v>352</v>
      </c>
      <c r="B353" s="3319"/>
      <c r="C353" s="3207" t="s">
        <v>5924</v>
      </c>
      <c r="D353" s="3327"/>
      <c r="E353" s="3328"/>
      <c r="F353" s="3318">
        <v>1576</v>
      </c>
      <c r="G353" s="3319"/>
      <c r="H353" s="3333" t="s">
        <v>5925</v>
      </c>
      <c r="I353" s="3334"/>
      <c r="J353" s="3305">
        <v>37.39</v>
      </c>
      <c r="K353" s="3306"/>
      <c r="L353" s="3208">
        <v>16.600000000000001</v>
      </c>
    </row>
    <row r="354" spans="1:12">
      <c r="A354" s="3318">
        <v>353</v>
      </c>
      <c r="B354" s="3319"/>
      <c r="C354" s="3207" t="s">
        <v>5924</v>
      </c>
      <c r="D354" s="3327"/>
      <c r="E354" s="3328"/>
      <c r="F354" s="3318">
        <v>1577</v>
      </c>
      <c r="G354" s="3319"/>
      <c r="H354" s="3333" t="s">
        <v>5925</v>
      </c>
      <c r="I354" s="3334"/>
      <c r="J354" s="3305">
        <v>37.39</v>
      </c>
      <c r="K354" s="3306"/>
      <c r="L354" s="3208">
        <v>16.600000000000001</v>
      </c>
    </row>
    <row r="355" spans="1:12">
      <c r="A355" s="3318">
        <v>354</v>
      </c>
      <c r="B355" s="3319"/>
      <c r="C355" s="3207" t="s">
        <v>5924</v>
      </c>
      <c r="D355" s="3327"/>
      <c r="E355" s="3328"/>
      <c r="F355" s="3318">
        <v>1578</v>
      </c>
      <c r="G355" s="3319"/>
      <c r="H355" s="3333" t="s">
        <v>5925</v>
      </c>
      <c r="I355" s="3334"/>
      <c r="J355" s="3305">
        <v>37.39</v>
      </c>
      <c r="K355" s="3306"/>
      <c r="L355" s="3208">
        <v>16.600000000000001</v>
      </c>
    </row>
    <row r="356" spans="1:12">
      <c r="A356" s="3318">
        <v>355</v>
      </c>
      <c r="B356" s="3319"/>
      <c r="C356" s="3207" t="s">
        <v>5924</v>
      </c>
      <c r="D356" s="3327"/>
      <c r="E356" s="3328"/>
      <c r="F356" s="3318">
        <v>1580</v>
      </c>
      <c r="G356" s="3319"/>
      <c r="H356" s="3333" t="s">
        <v>5925</v>
      </c>
      <c r="I356" s="3334"/>
      <c r="J356" s="3305">
        <v>37.39</v>
      </c>
      <c r="K356" s="3306"/>
      <c r="L356" s="3208">
        <v>16.600000000000001</v>
      </c>
    </row>
    <row r="357" spans="1:12">
      <c r="A357" s="3318">
        <v>356</v>
      </c>
      <c r="B357" s="3319"/>
      <c r="C357" s="3207" t="s">
        <v>5924</v>
      </c>
      <c r="D357" s="3327"/>
      <c r="E357" s="3328"/>
      <c r="F357" s="3318">
        <v>1581</v>
      </c>
      <c r="G357" s="3319"/>
      <c r="H357" s="3333" t="s">
        <v>5925</v>
      </c>
      <c r="I357" s="3334"/>
      <c r="J357" s="3305">
        <v>37.39</v>
      </c>
      <c r="K357" s="3306"/>
      <c r="L357" s="3208">
        <v>16.600000000000001</v>
      </c>
    </row>
    <row r="358" spans="1:12">
      <c r="A358" s="3318">
        <v>357</v>
      </c>
      <c r="B358" s="3319"/>
      <c r="C358" s="3207" t="s">
        <v>5924</v>
      </c>
      <c r="D358" s="3327"/>
      <c r="E358" s="3328"/>
      <c r="F358" s="3318">
        <v>1582</v>
      </c>
      <c r="G358" s="3319"/>
      <c r="H358" s="3333" t="s">
        <v>5925</v>
      </c>
      <c r="I358" s="3334"/>
      <c r="J358" s="3305">
        <v>37.39</v>
      </c>
      <c r="K358" s="3306"/>
      <c r="L358" s="3208">
        <v>16.600000000000001</v>
      </c>
    </row>
    <row r="359" spans="1:12">
      <c r="A359" s="3318">
        <v>358</v>
      </c>
      <c r="B359" s="3319"/>
      <c r="C359" s="3207" t="s">
        <v>5924</v>
      </c>
      <c r="D359" s="3327"/>
      <c r="E359" s="3328"/>
      <c r="F359" s="3318">
        <v>1584</v>
      </c>
      <c r="G359" s="3319"/>
      <c r="H359" s="3333" t="s">
        <v>5925</v>
      </c>
      <c r="I359" s="3334"/>
      <c r="J359" s="3305">
        <v>37.39</v>
      </c>
      <c r="K359" s="3306"/>
      <c r="L359" s="3208">
        <v>16.600000000000001</v>
      </c>
    </row>
    <row r="360" spans="1:12">
      <c r="A360" s="3318">
        <v>359</v>
      </c>
      <c r="B360" s="3319"/>
      <c r="C360" s="3207" t="s">
        <v>5924</v>
      </c>
      <c r="D360" s="3327"/>
      <c r="E360" s="3328"/>
      <c r="F360" s="3318">
        <v>1586</v>
      </c>
      <c r="G360" s="3319"/>
      <c r="H360" s="3333" t="s">
        <v>5925</v>
      </c>
      <c r="I360" s="3334"/>
      <c r="J360" s="3305">
        <v>37.39</v>
      </c>
      <c r="K360" s="3306"/>
      <c r="L360" s="3208">
        <v>16.600000000000001</v>
      </c>
    </row>
    <row r="361" spans="1:12">
      <c r="A361" s="3318">
        <v>360</v>
      </c>
      <c r="B361" s="3319"/>
      <c r="C361" s="3207" t="s">
        <v>5924</v>
      </c>
      <c r="D361" s="3327"/>
      <c r="E361" s="3328"/>
      <c r="F361" s="3318">
        <v>1587</v>
      </c>
      <c r="G361" s="3319"/>
      <c r="H361" s="3333" t="s">
        <v>5925</v>
      </c>
      <c r="I361" s="3334"/>
      <c r="J361" s="3305">
        <v>37.39</v>
      </c>
      <c r="K361" s="3306"/>
      <c r="L361" s="3208">
        <v>16.600000000000001</v>
      </c>
    </row>
    <row r="362" spans="1:12">
      <c r="A362" s="3318">
        <v>361</v>
      </c>
      <c r="B362" s="3319"/>
      <c r="C362" s="3207" t="s">
        <v>5924</v>
      </c>
      <c r="D362" s="3327"/>
      <c r="E362" s="3328"/>
      <c r="F362" s="3318">
        <v>1589</v>
      </c>
      <c r="G362" s="3319"/>
      <c r="H362" s="3333" t="s">
        <v>5925</v>
      </c>
      <c r="I362" s="3334"/>
      <c r="J362" s="3314">
        <v>35.9</v>
      </c>
      <c r="K362" s="3315"/>
      <c r="L362" s="3208">
        <v>15.94</v>
      </c>
    </row>
    <row r="363" spans="1:12">
      <c r="A363" s="3318">
        <v>362</v>
      </c>
      <c r="B363" s="3319"/>
      <c r="C363" s="3207" t="s">
        <v>5924</v>
      </c>
      <c r="D363" s="3327"/>
      <c r="E363" s="3328"/>
      <c r="F363" s="3318">
        <v>1590</v>
      </c>
      <c r="G363" s="3319"/>
      <c r="H363" s="3333" t="s">
        <v>5925</v>
      </c>
      <c r="I363" s="3334"/>
      <c r="J363" s="3305">
        <v>37.39</v>
      </c>
      <c r="K363" s="3306"/>
      <c r="L363" s="3208">
        <v>16.600000000000001</v>
      </c>
    </row>
    <row r="364" spans="1:12">
      <c r="A364" s="3318">
        <v>363</v>
      </c>
      <c r="B364" s="3319"/>
      <c r="C364" s="3207" t="s">
        <v>5924</v>
      </c>
      <c r="D364" s="3327"/>
      <c r="E364" s="3328"/>
      <c r="F364" s="3318">
        <v>1591</v>
      </c>
      <c r="G364" s="3319"/>
      <c r="H364" s="3333" t="s">
        <v>5925</v>
      </c>
      <c r="I364" s="3334"/>
      <c r="J364" s="3305">
        <v>37.39</v>
      </c>
      <c r="K364" s="3306"/>
      <c r="L364" s="3208">
        <v>16.600000000000001</v>
      </c>
    </row>
    <row r="365" spans="1:12">
      <c r="A365" s="3318">
        <v>364</v>
      </c>
      <c r="B365" s="3319"/>
      <c r="C365" s="3207" t="s">
        <v>5924</v>
      </c>
      <c r="D365" s="3327"/>
      <c r="E365" s="3328"/>
      <c r="F365" s="3318">
        <v>1592</v>
      </c>
      <c r="G365" s="3319"/>
      <c r="H365" s="3333" t="s">
        <v>5925</v>
      </c>
      <c r="I365" s="3334"/>
      <c r="J365" s="3305">
        <v>37.39</v>
      </c>
      <c r="K365" s="3306"/>
      <c r="L365" s="3208">
        <v>16.600000000000001</v>
      </c>
    </row>
    <row r="366" spans="1:12">
      <c r="A366" s="3318">
        <v>365</v>
      </c>
      <c r="B366" s="3319"/>
      <c r="C366" s="3207" t="s">
        <v>5924</v>
      </c>
      <c r="D366" s="3327"/>
      <c r="E366" s="3328"/>
      <c r="F366" s="3318">
        <v>1593</v>
      </c>
      <c r="G366" s="3319"/>
      <c r="H366" s="3333" t="s">
        <v>5925</v>
      </c>
      <c r="I366" s="3334"/>
      <c r="J366" s="3305">
        <v>37.39</v>
      </c>
      <c r="K366" s="3306"/>
      <c r="L366" s="3208">
        <v>16.600000000000001</v>
      </c>
    </row>
    <row r="367" spans="1:12">
      <c r="A367" s="3318">
        <v>366</v>
      </c>
      <c r="B367" s="3319"/>
      <c r="C367" s="3207" t="s">
        <v>5924</v>
      </c>
      <c r="D367" s="3327"/>
      <c r="E367" s="3328"/>
      <c r="F367" s="3318">
        <v>1594</v>
      </c>
      <c r="G367" s="3319"/>
      <c r="H367" s="3333" t="s">
        <v>5925</v>
      </c>
      <c r="I367" s="3334"/>
      <c r="J367" s="3305">
        <v>37.39</v>
      </c>
      <c r="K367" s="3306"/>
      <c r="L367" s="3208">
        <v>16.600000000000001</v>
      </c>
    </row>
    <row r="368" spans="1:12">
      <c r="A368" s="3318">
        <v>367</v>
      </c>
      <c r="B368" s="3319"/>
      <c r="C368" s="3207" t="s">
        <v>5924</v>
      </c>
      <c r="D368" s="3327"/>
      <c r="E368" s="3328"/>
      <c r="F368" s="3318">
        <v>1595</v>
      </c>
      <c r="G368" s="3319"/>
      <c r="H368" s="3333" t="s">
        <v>5925</v>
      </c>
      <c r="I368" s="3334"/>
      <c r="J368" s="3305">
        <v>37.39</v>
      </c>
      <c r="K368" s="3306"/>
      <c r="L368" s="3208">
        <v>16.600000000000001</v>
      </c>
    </row>
    <row r="369" spans="1:12">
      <c r="A369" s="3318">
        <v>368</v>
      </c>
      <c r="B369" s="3319"/>
      <c r="C369" s="3207" t="s">
        <v>5924</v>
      </c>
      <c r="D369" s="3327"/>
      <c r="E369" s="3328"/>
      <c r="F369" s="3318">
        <v>1596</v>
      </c>
      <c r="G369" s="3319"/>
      <c r="H369" s="3333" t="s">
        <v>5925</v>
      </c>
      <c r="I369" s="3334"/>
      <c r="J369" s="3305">
        <v>37.39</v>
      </c>
      <c r="K369" s="3306"/>
      <c r="L369" s="3208">
        <v>16.600000000000001</v>
      </c>
    </row>
    <row r="370" spans="1:12">
      <c r="A370" s="3318">
        <v>369</v>
      </c>
      <c r="B370" s="3319"/>
      <c r="C370" s="3207" t="s">
        <v>5924</v>
      </c>
      <c r="D370" s="3327"/>
      <c r="E370" s="3328"/>
      <c r="F370" s="3318">
        <v>1597</v>
      </c>
      <c r="G370" s="3319"/>
      <c r="H370" s="3333" t="s">
        <v>5925</v>
      </c>
      <c r="I370" s="3334"/>
      <c r="J370" s="3305">
        <v>37.39</v>
      </c>
      <c r="K370" s="3306"/>
      <c r="L370" s="3208">
        <v>16.600000000000001</v>
      </c>
    </row>
    <row r="371" spans="1:12">
      <c r="A371" s="3318">
        <v>370</v>
      </c>
      <c r="B371" s="3319"/>
      <c r="C371" s="3207" t="s">
        <v>5924</v>
      </c>
      <c r="D371" s="3327"/>
      <c r="E371" s="3328"/>
      <c r="F371" s="3318">
        <v>1603</v>
      </c>
      <c r="G371" s="3319"/>
      <c r="H371" s="3333" t="s">
        <v>5925</v>
      </c>
      <c r="I371" s="3334"/>
      <c r="J371" s="3305">
        <v>37.39</v>
      </c>
      <c r="K371" s="3306"/>
      <c r="L371" s="3208">
        <v>16.600000000000001</v>
      </c>
    </row>
    <row r="372" spans="1:12">
      <c r="A372" s="3318">
        <v>371</v>
      </c>
      <c r="B372" s="3319"/>
      <c r="C372" s="3207" t="s">
        <v>5924</v>
      </c>
      <c r="D372" s="3327"/>
      <c r="E372" s="3328"/>
      <c r="F372" s="3318">
        <v>1604</v>
      </c>
      <c r="G372" s="3319"/>
      <c r="H372" s="3333" t="s">
        <v>5925</v>
      </c>
      <c r="I372" s="3334"/>
      <c r="J372" s="3305">
        <v>37.39</v>
      </c>
      <c r="K372" s="3306"/>
      <c r="L372" s="3208">
        <v>16.600000000000001</v>
      </c>
    </row>
    <row r="373" spans="1:12">
      <c r="A373" s="3318">
        <v>372</v>
      </c>
      <c r="B373" s="3319"/>
      <c r="C373" s="3207" t="s">
        <v>5924</v>
      </c>
      <c r="D373" s="3327"/>
      <c r="E373" s="3328"/>
      <c r="F373" s="3318">
        <v>1607</v>
      </c>
      <c r="G373" s="3319"/>
      <c r="H373" s="3333" t="s">
        <v>5925</v>
      </c>
      <c r="I373" s="3334"/>
      <c r="J373" s="3305">
        <v>37.39</v>
      </c>
      <c r="K373" s="3306"/>
      <c r="L373" s="3208">
        <v>16.600000000000001</v>
      </c>
    </row>
    <row r="374" spans="1:12">
      <c r="A374" s="3318">
        <v>373</v>
      </c>
      <c r="B374" s="3319"/>
      <c r="C374" s="3207" t="s">
        <v>5924</v>
      </c>
      <c r="D374" s="3327"/>
      <c r="E374" s="3328"/>
      <c r="F374" s="3318">
        <v>1608</v>
      </c>
      <c r="G374" s="3319"/>
      <c r="H374" s="3333" t="s">
        <v>5925</v>
      </c>
      <c r="I374" s="3334"/>
      <c r="J374" s="3305">
        <v>37.39</v>
      </c>
      <c r="K374" s="3306"/>
      <c r="L374" s="3208">
        <v>16.600000000000001</v>
      </c>
    </row>
    <row r="375" spans="1:12">
      <c r="A375" s="3318">
        <v>374</v>
      </c>
      <c r="B375" s="3319"/>
      <c r="C375" s="3207" t="s">
        <v>5924</v>
      </c>
      <c r="D375" s="3327"/>
      <c r="E375" s="3328"/>
      <c r="F375" s="3318">
        <v>1609</v>
      </c>
      <c r="G375" s="3319"/>
      <c r="H375" s="3333" t="s">
        <v>5925</v>
      </c>
      <c r="I375" s="3334"/>
      <c r="J375" s="3305">
        <v>37.39</v>
      </c>
      <c r="K375" s="3306"/>
      <c r="L375" s="3208">
        <v>16.600000000000001</v>
      </c>
    </row>
    <row r="376" spans="1:12">
      <c r="A376" s="3318">
        <v>375</v>
      </c>
      <c r="B376" s="3319"/>
      <c r="C376" s="3207" t="s">
        <v>5924</v>
      </c>
      <c r="D376" s="3327"/>
      <c r="E376" s="3328"/>
      <c r="F376" s="3318">
        <v>1610</v>
      </c>
      <c r="G376" s="3319"/>
      <c r="H376" s="3333" t="s">
        <v>5925</v>
      </c>
      <c r="I376" s="3334"/>
      <c r="J376" s="3305">
        <v>37.39</v>
      </c>
      <c r="K376" s="3306"/>
      <c r="L376" s="3208">
        <v>16.600000000000001</v>
      </c>
    </row>
    <row r="377" spans="1:12">
      <c r="A377" s="3318">
        <v>376</v>
      </c>
      <c r="B377" s="3319"/>
      <c r="C377" s="3207" t="s">
        <v>5924</v>
      </c>
      <c r="D377" s="3327"/>
      <c r="E377" s="3328"/>
      <c r="F377" s="3318">
        <v>1611</v>
      </c>
      <c r="G377" s="3319"/>
      <c r="H377" s="3333" t="s">
        <v>5925</v>
      </c>
      <c r="I377" s="3334"/>
      <c r="J377" s="3305">
        <v>37.39</v>
      </c>
      <c r="K377" s="3306"/>
      <c r="L377" s="3208">
        <v>16.600000000000001</v>
      </c>
    </row>
    <row r="378" spans="1:12">
      <c r="A378" s="3318">
        <v>377</v>
      </c>
      <c r="B378" s="3319"/>
      <c r="C378" s="3207" t="s">
        <v>5924</v>
      </c>
      <c r="D378" s="3327"/>
      <c r="E378" s="3328"/>
      <c r="F378" s="3318">
        <v>1612</v>
      </c>
      <c r="G378" s="3319"/>
      <c r="H378" s="3333" t="s">
        <v>5925</v>
      </c>
      <c r="I378" s="3334"/>
      <c r="J378" s="3305">
        <v>37.39</v>
      </c>
      <c r="K378" s="3306"/>
      <c r="L378" s="3208">
        <v>16.600000000000001</v>
      </c>
    </row>
    <row r="379" spans="1:12">
      <c r="A379" s="3318">
        <v>378</v>
      </c>
      <c r="B379" s="3319"/>
      <c r="C379" s="3207" t="s">
        <v>5924</v>
      </c>
      <c r="D379" s="3327"/>
      <c r="E379" s="3328"/>
      <c r="F379" s="3318">
        <v>1613</v>
      </c>
      <c r="G379" s="3319"/>
      <c r="H379" s="3333" t="s">
        <v>5925</v>
      </c>
      <c r="I379" s="3334"/>
      <c r="J379" s="3305">
        <v>37.39</v>
      </c>
      <c r="K379" s="3306"/>
      <c r="L379" s="3208">
        <v>16.600000000000001</v>
      </c>
    </row>
    <row r="380" spans="1:12">
      <c r="A380" s="3318">
        <v>379</v>
      </c>
      <c r="B380" s="3319"/>
      <c r="C380" s="3207" t="s">
        <v>5924</v>
      </c>
      <c r="D380" s="3327"/>
      <c r="E380" s="3328"/>
      <c r="F380" s="3318">
        <v>1614</v>
      </c>
      <c r="G380" s="3319"/>
      <c r="H380" s="3333" t="s">
        <v>5925</v>
      </c>
      <c r="I380" s="3334"/>
      <c r="J380" s="3305">
        <v>37.39</v>
      </c>
      <c r="K380" s="3306"/>
      <c r="L380" s="3208">
        <v>16.600000000000001</v>
      </c>
    </row>
    <row r="381" spans="1:12">
      <c r="A381" s="3318">
        <v>380</v>
      </c>
      <c r="B381" s="3319"/>
      <c r="C381" s="3207" t="s">
        <v>5924</v>
      </c>
      <c r="D381" s="3327"/>
      <c r="E381" s="3328"/>
      <c r="F381" s="3318">
        <v>1615</v>
      </c>
      <c r="G381" s="3319"/>
      <c r="H381" s="3333" t="s">
        <v>5925</v>
      </c>
      <c r="I381" s="3334"/>
      <c r="J381" s="3305">
        <v>37.39</v>
      </c>
      <c r="K381" s="3306"/>
      <c r="L381" s="3208">
        <v>16.600000000000001</v>
      </c>
    </row>
    <row r="382" spans="1:12">
      <c r="A382" s="3318">
        <v>381</v>
      </c>
      <c r="B382" s="3319"/>
      <c r="C382" s="3207" t="s">
        <v>5924</v>
      </c>
      <c r="D382" s="3327"/>
      <c r="E382" s="3328"/>
      <c r="F382" s="3318">
        <v>1616</v>
      </c>
      <c r="G382" s="3319"/>
      <c r="H382" s="3333" t="s">
        <v>5925</v>
      </c>
      <c r="I382" s="3334"/>
      <c r="J382" s="3305">
        <v>37.39</v>
      </c>
      <c r="K382" s="3306"/>
      <c r="L382" s="3208">
        <v>16.600000000000001</v>
      </c>
    </row>
    <row r="383" spans="1:12">
      <c r="A383" s="3318">
        <v>382</v>
      </c>
      <c r="B383" s="3319"/>
      <c r="C383" s="3207" t="s">
        <v>5924</v>
      </c>
      <c r="D383" s="3327"/>
      <c r="E383" s="3328"/>
      <c r="F383" s="3318">
        <v>1617</v>
      </c>
      <c r="G383" s="3319"/>
      <c r="H383" s="3333" t="s">
        <v>5925</v>
      </c>
      <c r="I383" s="3334"/>
      <c r="J383" s="3305">
        <v>37.39</v>
      </c>
      <c r="K383" s="3306"/>
      <c r="L383" s="3208">
        <v>16.600000000000001</v>
      </c>
    </row>
    <row r="384" spans="1:12">
      <c r="A384" s="3318">
        <v>383</v>
      </c>
      <c r="B384" s="3319"/>
      <c r="C384" s="3207" t="s">
        <v>5924</v>
      </c>
      <c r="D384" s="3327"/>
      <c r="E384" s="3328"/>
      <c r="F384" s="3318">
        <v>1618</v>
      </c>
      <c r="G384" s="3319"/>
      <c r="H384" s="3333" t="s">
        <v>5925</v>
      </c>
      <c r="I384" s="3334"/>
      <c r="J384" s="3305">
        <v>37.39</v>
      </c>
      <c r="K384" s="3306"/>
      <c r="L384" s="3208">
        <v>16.600000000000001</v>
      </c>
    </row>
    <row r="385" spans="1:12">
      <c r="A385" s="3318">
        <v>384</v>
      </c>
      <c r="B385" s="3319"/>
      <c r="C385" s="3207" t="s">
        <v>5924</v>
      </c>
      <c r="D385" s="3327"/>
      <c r="E385" s="3328"/>
      <c r="F385" s="3318">
        <v>1619</v>
      </c>
      <c r="G385" s="3319"/>
      <c r="H385" s="3333" t="s">
        <v>5925</v>
      </c>
      <c r="I385" s="3334"/>
      <c r="J385" s="3305">
        <v>37.39</v>
      </c>
      <c r="K385" s="3306"/>
      <c r="L385" s="3208">
        <v>16.600000000000001</v>
      </c>
    </row>
    <row r="386" spans="1:12">
      <c r="A386" s="3318">
        <v>385</v>
      </c>
      <c r="B386" s="3319"/>
      <c r="C386" s="3207" t="s">
        <v>5924</v>
      </c>
      <c r="D386" s="3327"/>
      <c r="E386" s="3328"/>
      <c r="F386" s="3318">
        <v>1620</v>
      </c>
      <c r="G386" s="3319"/>
      <c r="H386" s="3333" t="s">
        <v>5925</v>
      </c>
      <c r="I386" s="3334"/>
      <c r="J386" s="3305">
        <v>37.39</v>
      </c>
      <c r="K386" s="3306"/>
      <c r="L386" s="3208">
        <v>16.600000000000001</v>
      </c>
    </row>
    <row r="387" spans="1:12">
      <c r="A387" s="3318">
        <v>386</v>
      </c>
      <c r="B387" s="3319"/>
      <c r="C387" s="3207" t="s">
        <v>5924</v>
      </c>
      <c r="D387" s="3327"/>
      <c r="E387" s="3328"/>
      <c r="F387" s="3318">
        <v>1621</v>
      </c>
      <c r="G387" s="3319"/>
      <c r="H387" s="3333" t="s">
        <v>5925</v>
      </c>
      <c r="I387" s="3334"/>
      <c r="J387" s="3305">
        <v>37.39</v>
      </c>
      <c r="K387" s="3306"/>
      <c r="L387" s="3208">
        <v>16.600000000000001</v>
      </c>
    </row>
    <row r="388" spans="1:12">
      <c r="A388" s="3318">
        <v>387</v>
      </c>
      <c r="B388" s="3319"/>
      <c r="C388" s="3207" t="s">
        <v>5924</v>
      </c>
      <c r="D388" s="3327"/>
      <c r="E388" s="3328"/>
      <c r="F388" s="3318">
        <v>1623</v>
      </c>
      <c r="G388" s="3319"/>
      <c r="H388" s="3333" t="s">
        <v>5925</v>
      </c>
      <c r="I388" s="3334"/>
      <c r="J388" s="3305">
        <v>37.39</v>
      </c>
      <c r="K388" s="3306"/>
      <c r="L388" s="3208">
        <v>16.600000000000001</v>
      </c>
    </row>
    <row r="389" spans="1:12">
      <c r="A389" s="3318">
        <v>388</v>
      </c>
      <c r="B389" s="3319"/>
      <c r="C389" s="3207" t="s">
        <v>5924</v>
      </c>
      <c r="D389" s="3327"/>
      <c r="E389" s="3328"/>
      <c r="F389" s="3318">
        <v>1624</v>
      </c>
      <c r="G389" s="3319"/>
      <c r="H389" s="3333" t="s">
        <v>5925</v>
      </c>
      <c r="I389" s="3334"/>
      <c r="J389" s="3305">
        <v>37.39</v>
      </c>
      <c r="K389" s="3306"/>
      <c r="L389" s="3208">
        <v>16.600000000000001</v>
      </c>
    </row>
    <row r="390" spans="1:12">
      <c r="A390" s="3318">
        <v>389</v>
      </c>
      <c r="B390" s="3319"/>
      <c r="C390" s="3207" t="s">
        <v>5924</v>
      </c>
      <c r="D390" s="3327"/>
      <c r="E390" s="3328"/>
      <c r="F390" s="3318">
        <v>1625</v>
      </c>
      <c r="G390" s="3319"/>
      <c r="H390" s="3333" t="s">
        <v>5925</v>
      </c>
      <c r="I390" s="3334"/>
      <c r="J390" s="3305">
        <v>37.39</v>
      </c>
      <c r="K390" s="3306"/>
      <c r="L390" s="3208">
        <v>16.600000000000001</v>
      </c>
    </row>
    <row r="391" spans="1:12">
      <c r="A391" s="3318">
        <v>390</v>
      </c>
      <c r="B391" s="3319"/>
      <c r="C391" s="3207" t="s">
        <v>5924</v>
      </c>
      <c r="D391" s="3327"/>
      <c r="E391" s="3328"/>
      <c r="F391" s="3318">
        <v>1628</v>
      </c>
      <c r="G391" s="3319"/>
      <c r="H391" s="3333" t="s">
        <v>5925</v>
      </c>
      <c r="I391" s="3334"/>
      <c r="J391" s="3305">
        <v>37.39</v>
      </c>
      <c r="K391" s="3306"/>
      <c r="L391" s="3208">
        <v>16.600000000000001</v>
      </c>
    </row>
    <row r="392" spans="1:12">
      <c r="A392" s="3318">
        <v>391</v>
      </c>
      <c r="B392" s="3319"/>
      <c r="C392" s="3207" t="s">
        <v>5924</v>
      </c>
      <c r="D392" s="3327"/>
      <c r="E392" s="3328"/>
      <c r="F392" s="3318">
        <v>1630</v>
      </c>
      <c r="G392" s="3319"/>
      <c r="H392" s="3333" t="s">
        <v>5925</v>
      </c>
      <c r="I392" s="3334"/>
      <c r="J392" s="3305">
        <v>37.39</v>
      </c>
      <c r="K392" s="3306"/>
      <c r="L392" s="3208">
        <v>16.600000000000001</v>
      </c>
    </row>
    <row r="393" spans="1:12">
      <c r="A393" s="3318">
        <v>392</v>
      </c>
      <c r="B393" s="3319"/>
      <c r="C393" s="3207" t="s">
        <v>5924</v>
      </c>
      <c r="D393" s="3327"/>
      <c r="E393" s="3328"/>
      <c r="F393" s="3318">
        <v>1632</v>
      </c>
      <c r="G393" s="3319"/>
      <c r="H393" s="3333" t="s">
        <v>5925</v>
      </c>
      <c r="I393" s="3334"/>
      <c r="J393" s="3305">
        <v>37.39</v>
      </c>
      <c r="K393" s="3306"/>
      <c r="L393" s="3208">
        <v>16.600000000000001</v>
      </c>
    </row>
    <row r="394" spans="1:12">
      <c r="A394" s="3318">
        <v>393</v>
      </c>
      <c r="B394" s="3319"/>
      <c r="C394" s="3207" t="s">
        <v>5924</v>
      </c>
      <c r="D394" s="3327"/>
      <c r="E394" s="3328"/>
      <c r="F394" s="3318">
        <v>1633</v>
      </c>
      <c r="G394" s="3319"/>
      <c r="H394" s="3333" t="s">
        <v>5925</v>
      </c>
      <c r="I394" s="3334"/>
      <c r="J394" s="3305">
        <v>37.39</v>
      </c>
      <c r="K394" s="3306"/>
      <c r="L394" s="3208">
        <v>16.600000000000001</v>
      </c>
    </row>
    <row r="395" spans="1:12">
      <c r="A395" s="3318">
        <v>394</v>
      </c>
      <c r="B395" s="3319"/>
      <c r="C395" s="3207" t="s">
        <v>5924</v>
      </c>
      <c r="D395" s="3327"/>
      <c r="E395" s="3328"/>
      <c r="F395" s="3318">
        <v>1638</v>
      </c>
      <c r="G395" s="3319"/>
      <c r="H395" s="3333" t="s">
        <v>5925</v>
      </c>
      <c r="I395" s="3334"/>
      <c r="J395" s="3305">
        <v>37.39</v>
      </c>
      <c r="K395" s="3306"/>
      <c r="L395" s="3208">
        <v>16.600000000000001</v>
      </c>
    </row>
    <row r="396" spans="1:12">
      <c r="A396" s="3318">
        <v>395</v>
      </c>
      <c r="B396" s="3319"/>
      <c r="C396" s="3207" t="s">
        <v>5924</v>
      </c>
      <c r="D396" s="3327"/>
      <c r="E396" s="3328"/>
      <c r="F396" s="3318">
        <v>1640</v>
      </c>
      <c r="G396" s="3319"/>
      <c r="H396" s="3333" t="s">
        <v>5925</v>
      </c>
      <c r="I396" s="3334"/>
      <c r="J396" s="3305">
        <v>37.39</v>
      </c>
      <c r="K396" s="3306"/>
      <c r="L396" s="3208">
        <v>16.600000000000001</v>
      </c>
    </row>
    <row r="397" spans="1:12">
      <c r="A397" s="3318">
        <v>396</v>
      </c>
      <c r="B397" s="3319"/>
      <c r="C397" s="3207" t="s">
        <v>5924</v>
      </c>
      <c r="D397" s="3327"/>
      <c r="E397" s="3328"/>
      <c r="F397" s="3318">
        <v>1641</v>
      </c>
      <c r="G397" s="3319"/>
      <c r="H397" s="3333" t="s">
        <v>5925</v>
      </c>
      <c r="I397" s="3334"/>
      <c r="J397" s="3305">
        <v>37.39</v>
      </c>
      <c r="K397" s="3306"/>
      <c r="L397" s="3208">
        <v>16.600000000000001</v>
      </c>
    </row>
    <row r="398" spans="1:12">
      <c r="A398" s="3318">
        <v>397</v>
      </c>
      <c r="B398" s="3319"/>
      <c r="C398" s="3207" t="s">
        <v>5924</v>
      </c>
      <c r="D398" s="3327"/>
      <c r="E398" s="3328"/>
      <c r="F398" s="3318">
        <v>1648</v>
      </c>
      <c r="G398" s="3319"/>
      <c r="H398" s="3333" t="s">
        <v>5925</v>
      </c>
      <c r="I398" s="3334"/>
      <c r="J398" s="3305">
        <v>37.39</v>
      </c>
      <c r="K398" s="3306"/>
      <c r="L398" s="3208">
        <v>16.600000000000001</v>
      </c>
    </row>
    <row r="399" spans="1:12">
      <c r="A399" s="3318">
        <v>398</v>
      </c>
      <c r="B399" s="3319"/>
      <c r="C399" s="3207" t="s">
        <v>5924</v>
      </c>
      <c r="D399" s="3327"/>
      <c r="E399" s="3328"/>
      <c r="F399" s="3318">
        <v>1663</v>
      </c>
      <c r="G399" s="3319"/>
      <c r="H399" s="3333" t="s">
        <v>5925</v>
      </c>
      <c r="I399" s="3334"/>
      <c r="J399" s="3305">
        <v>37.39</v>
      </c>
      <c r="K399" s="3306"/>
      <c r="L399" s="3208">
        <v>16.600000000000001</v>
      </c>
    </row>
    <row r="400" spans="1:12">
      <c r="A400" s="3318">
        <v>399</v>
      </c>
      <c r="B400" s="3319"/>
      <c r="C400" s="3207" t="s">
        <v>5924</v>
      </c>
      <c r="D400" s="3327"/>
      <c r="E400" s="3328"/>
      <c r="F400" s="3318">
        <v>1664</v>
      </c>
      <c r="G400" s="3319"/>
      <c r="H400" s="3333" t="s">
        <v>5925</v>
      </c>
      <c r="I400" s="3334"/>
      <c r="J400" s="3305">
        <v>37.39</v>
      </c>
      <c r="K400" s="3306"/>
      <c r="L400" s="3208">
        <v>16.600000000000001</v>
      </c>
    </row>
    <row r="401" spans="1:12">
      <c r="A401" s="3318">
        <v>400</v>
      </c>
      <c r="B401" s="3319"/>
      <c r="C401" s="3207" t="s">
        <v>5924</v>
      </c>
      <c r="D401" s="3327"/>
      <c r="E401" s="3328"/>
      <c r="F401" s="3318">
        <v>1665</v>
      </c>
      <c r="G401" s="3319"/>
      <c r="H401" s="3333" t="s">
        <v>5925</v>
      </c>
      <c r="I401" s="3334"/>
      <c r="J401" s="3305">
        <v>37.39</v>
      </c>
      <c r="K401" s="3306"/>
      <c r="L401" s="3208">
        <v>16.600000000000001</v>
      </c>
    </row>
    <row r="402" spans="1:12">
      <c r="A402" s="3318">
        <v>401</v>
      </c>
      <c r="B402" s="3319"/>
      <c r="C402" s="3207" t="s">
        <v>5924</v>
      </c>
      <c r="D402" s="3327"/>
      <c r="E402" s="3328"/>
      <c r="F402" s="3318">
        <v>1666</v>
      </c>
      <c r="G402" s="3319"/>
      <c r="H402" s="3333" t="s">
        <v>5925</v>
      </c>
      <c r="I402" s="3334"/>
      <c r="J402" s="3305">
        <v>37.39</v>
      </c>
      <c r="K402" s="3306"/>
      <c r="L402" s="3208">
        <v>16.600000000000001</v>
      </c>
    </row>
    <row r="403" spans="1:12">
      <c r="A403" s="3318">
        <v>402</v>
      </c>
      <c r="B403" s="3319"/>
      <c r="C403" s="3207" t="s">
        <v>5924</v>
      </c>
      <c r="D403" s="3327"/>
      <c r="E403" s="3328"/>
      <c r="F403" s="3318">
        <v>1667</v>
      </c>
      <c r="G403" s="3319"/>
      <c r="H403" s="3333" t="s">
        <v>5925</v>
      </c>
      <c r="I403" s="3334"/>
      <c r="J403" s="3305">
        <v>37.39</v>
      </c>
      <c r="K403" s="3306"/>
      <c r="L403" s="3208">
        <v>16.600000000000001</v>
      </c>
    </row>
    <row r="404" spans="1:12">
      <c r="A404" s="3318">
        <v>403</v>
      </c>
      <c r="B404" s="3319"/>
      <c r="C404" s="3207" t="s">
        <v>5924</v>
      </c>
      <c r="D404" s="3327"/>
      <c r="E404" s="3328"/>
      <c r="F404" s="3318">
        <v>1668</v>
      </c>
      <c r="G404" s="3319"/>
      <c r="H404" s="3333" t="s">
        <v>5925</v>
      </c>
      <c r="I404" s="3334"/>
      <c r="J404" s="3305">
        <v>37.39</v>
      </c>
      <c r="K404" s="3306"/>
      <c r="L404" s="3208">
        <v>16.600000000000001</v>
      </c>
    </row>
    <row r="405" spans="1:12">
      <c r="A405" s="3318">
        <v>404</v>
      </c>
      <c r="B405" s="3319"/>
      <c r="C405" s="3207" t="s">
        <v>5924</v>
      </c>
      <c r="D405" s="3327"/>
      <c r="E405" s="3328"/>
      <c r="F405" s="3318">
        <v>1669</v>
      </c>
      <c r="G405" s="3319"/>
      <c r="H405" s="3333" t="s">
        <v>5925</v>
      </c>
      <c r="I405" s="3334"/>
      <c r="J405" s="3314">
        <v>35.9</v>
      </c>
      <c r="K405" s="3315"/>
      <c r="L405" s="3208">
        <v>15.94</v>
      </c>
    </row>
    <row r="406" spans="1:12">
      <c r="A406" s="3318">
        <v>405</v>
      </c>
      <c r="B406" s="3319"/>
      <c r="C406" s="3207" t="s">
        <v>5924</v>
      </c>
      <c r="D406" s="3327"/>
      <c r="E406" s="3328"/>
      <c r="F406" s="3318">
        <v>1671</v>
      </c>
      <c r="G406" s="3319"/>
      <c r="H406" s="3333" t="s">
        <v>5925</v>
      </c>
      <c r="I406" s="3334"/>
      <c r="J406" s="3305">
        <v>37.39</v>
      </c>
      <c r="K406" s="3306"/>
      <c r="L406" s="3208">
        <v>16.600000000000001</v>
      </c>
    </row>
    <row r="407" spans="1:12">
      <c r="A407" s="3318">
        <v>406</v>
      </c>
      <c r="B407" s="3319"/>
      <c r="C407" s="3207" t="s">
        <v>5924</v>
      </c>
      <c r="D407" s="3327"/>
      <c r="E407" s="3328"/>
      <c r="F407" s="3318">
        <v>1672</v>
      </c>
      <c r="G407" s="3319"/>
      <c r="H407" s="3333" t="s">
        <v>5925</v>
      </c>
      <c r="I407" s="3334"/>
      <c r="J407" s="3305">
        <v>37.39</v>
      </c>
      <c r="K407" s="3306"/>
      <c r="L407" s="3208">
        <v>16.600000000000001</v>
      </c>
    </row>
    <row r="408" spans="1:12">
      <c r="A408" s="3318">
        <v>407</v>
      </c>
      <c r="B408" s="3319"/>
      <c r="C408" s="3207" t="s">
        <v>5924</v>
      </c>
      <c r="D408" s="3327"/>
      <c r="E408" s="3328"/>
      <c r="F408" s="3318">
        <v>1674</v>
      </c>
      <c r="G408" s="3319"/>
      <c r="H408" s="3333" t="s">
        <v>5925</v>
      </c>
      <c r="I408" s="3334"/>
      <c r="J408" s="3305">
        <v>37.39</v>
      </c>
      <c r="K408" s="3306"/>
      <c r="L408" s="3208">
        <v>16.600000000000001</v>
      </c>
    </row>
    <row r="409" spans="1:12">
      <c r="A409" s="3318">
        <v>408</v>
      </c>
      <c r="B409" s="3319"/>
      <c r="C409" s="3207" t="s">
        <v>5924</v>
      </c>
      <c r="D409" s="3327"/>
      <c r="E409" s="3328"/>
      <c r="F409" s="3318">
        <v>1677</v>
      </c>
      <c r="G409" s="3319"/>
      <c r="H409" s="3333" t="s">
        <v>5925</v>
      </c>
      <c r="I409" s="3334"/>
      <c r="J409" s="3305">
        <v>37.39</v>
      </c>
      <c r="K409" s="3306"/>
      <c r="L409" s="3208">
        <v>16.600000000000001</v>
      </c>
    </row>
    <row r="410" spans="1:12">
      <c r="A410" s="3318">
        <v>409</v>
      </c>
      <c r="B410" s="3319"/>
      <c r="C410" s="3207" t="s">
        <v>5924</v>
      </c>
      <c r="D410" s="3327"/>
      <c r="E410" s="3328"/>
      <c r="F410" s="3318">
        <v>1678</v>
      </c>
      <c r="G410" s="3319"/>
      <c r="H410" s="3333" t="s">
        <v>5925</v>
      </c>
      <c r="I410" s="3334"/>
      <c r="J410" s="3305">
        <v>37.39</v>
      </c>
      <c r="K410" s="3306"/>
      <c r="L410" s="3208">
        <v>16.600000000000001</v>
      </c>
    </row>
    <row r="411" spans="1:12">
      <c r="A411" s="3318">
        <v>410</v>
      </c>
      <c r="B411" s="3319"/>
      <c r="C411" s="3207" t="s">
        <v>5924</v>
      </c>
      <c r="D411" s="3327"/>
      <c r="E411" s="3328"/>
      <c r="F411" s="3318">
        <v>1683</v>
      </c>
      <c r="G411" s="3319"/>
      <c r="H411" s="3333" t="s">
        <v>5925</v>
      </c>
      <c r="I411" s="3334"/>
      <c r="J411" s="3305">
        <v>37.39</v>
      </c>
      <c r="K411" s="3306"/>
      <c r="L411" s="3208">
        <v>16.600000000000001</v>
      </c>
    </row>
    <row r="412" spans="1:12">
      <c r="A412" s="3318">
        <v>411</v>
      </c>
      <c r="B412" s="3319"/>
      <c r="C412" s="3207" t="s">
        <v>5924</v>
      </c>
      <c r="D412" s="3327"/>
      <c r="E412" s="3328"/>
      <c r="F412" s="3318">
        <v>1684</v>
      </c>
      <c r="G412" s="3319"/>
      <c r="H412" s="3333" t="s">
        <v>5925</v>
      </c>
      <c r="I412" s="3334"/>
      <c r="J412" s="3305">
        <v>37.39</v>
      </c>
      <c r="K412" s="3306"/>
      <c r="L412" s="3208">
        <v>16.600000000000001</v>
      </c>
    </row>
    <row r="413" spans="1:12">
      <c r="A413" s="3318">
        <v>412</v>
      </c>
      <c r="B413" s="3319"/>
      <c r="C413" s="3207" t="s">
        <v>5924</v>
      </c>
      <c r="D413" s="3327"/>
      <c r="E413" s="3328"/>
      <c r="F413" s="3318">
        <v>1688</v>
      </c>
      <c r="G413" s="3319"/>
      <c r="H413" s="3333" t="s">
        <v>5925</v>
      </c>
      <c r="I413" s="3334"/>
      <c r="J413" s="3305">
        <v>37.39</v>
      </c>
      <c r="K413" s="3306"/>
      <c r="L413" s="3208">
        <v>16.600000000000001</v>
      </c>
    </row>
    <row r="414" spans="1:12">
      <c r="A414" s="3318">
        <v>413</v>
      </c>
      <c r="B414" s="3319"/>
      <c r="C414" s="3207" t="s">
        <v>5924</v>
      </c>
      <c r="D414" s="3327"/>
      <c r="E414" s="3328"/>
      <c r="F414" s="3318">
        <v>1689</v>
      </c>
      <c r="G414" s="3319"/>
      <c r="H414" s="3333" t="s">
        <v>5925</v>
      </c>
      <c r="I414" s="3334"/>
      <c r="J414" s="3305">
        <v>37.39</v>
      </c>
      <c r="K414" s="3306"/>
      <c r="L414" s="3208">
        <v>16.600000000000001</v>
      </c>
    </row>
    <row r="415" spans="1:12">
      <c r="A415" s="3318">
        <v>414</v>
      </c>
      <c r="B415" s="3319"/>
      <c r="C415" s="3207" t="s">
        <v>5924</v>
      </c>
      <c r="D415" s="3327"/>
      <c r="E415" s="3328"/>
      <c r="F415" s="3318">
        <v>1690</v>
      </c>
      <c r="G415" s="3319"/>
      <c r="H415" s="3333" t="s">
        <v>5925</v>
      </c>
      <c r="I415" s="3334"/>
      <c r="J415" s="3305">
        <v>37.39</v>
      </c>
      <c r="K415" s="3306"/>
      <c r="L415" s="3208">
        <v>16.600000000000001</v>
      </c>
    </row>
    <row r="416" spans="1:12">
      <c r="A416" s="3318">
        <v>415</v>
      </c>
      <c r="B416" s="3319"/>
      <c r="C416" s="3207" t="s">
        <v>5924</v>
      </c>
      <c r="D416" s="3327"/>
      <c r="E416" s="3328"/>
      <c r="F416" s="3318">
        <v>1692</v>
      </c>
      <c r="G416" s="3319"/>
      <c r="H416" s="3333" t="s">
        <v>5925</v>
      </c>
      <c r="I416" s="3334"/>
      <c r="J416" s="3305">
        <v>37.39</v>
      </c>
      <c r="K416" s="3306"/>
      <c r="L416" s="3208">
        <v>16.600000000000001</v>
      </c>
    </row>
    <row r="417" spans="1:12">
      <c r="A417" s="3318">
        <v>416</v>
      </c>
      <c r="B417" s="3319"/>
      <c r="C417" s="3207" t="s">
        <v>5924</v>
      </c>
      <c r="D417" s="3327"/>
      <c r="E417" s="3328"/>
      <c r="F417" s="3318">
        <v>1693</v>
      </c>
      <c r="G417" s="3319"/>
      <c r="H417" s="3333" t="s">
        <v>5925</v>
      </c>
      <c r="I417" s="3334"/>
      <c r="J417" s="3305">
        <v>37.39</v>
      </c>
      <c r="K417" s="3306"/>
      <c r="L417" s="3208">
        <v>16.600000000000001</v>
      </c>
    </row>
    <row r="418" spans="1:12">
      <c r="A418" s="3318">
        <v>417</v>
      </c>
      <c r="B418" s="3319"/>
      <c r="C418" s="3207" t="s">
        <v>5924</v>
      </c>
      <c r="D418" s="3327"/>
      <c r="E418" s="3328"/>
      <c r="F418" s="3318">
        <v>1694</v>
      </c>
      <c r="G418" s="3319"/>
      <c r="H418" s="3333" t="s">
        <v>5925</v>
      </c>
      <c r="I418" s="3334"/>
      <c r="J418" s="3305">
        <v>37.39</v>
      </c>
      <c r="K418" s="3306"/>
      <c r="L418" s="3208">
        <v>16.600000000000001</v>
      </c>
    </row>
    <row r="419" spans="1:12">
      <c r="A419" s="3318">
        <v>418</v>
      </c>
      <c r="B419" s="3319"/>
      <c r="C419" s="3207" t="s">
        <v>5924</v>
      </c>
      <c r="D419" s="3327"/>
      <c r="E419" s="3328"/>
      <c r="F419" s="3318">
        <v>1696</v>
      </c>
      <c r="G419" s="3319"/>
      <c r="H419" s="3333" t="s">
        <v>5925</v>
      </c>
      <c r="I419" s="3334"/>
      <c r="J419" s="3305">
        <v>37.39</v>
      </c>
      <c r="K419" s="3306"/>
      <c r="L419" s="3208">
        <v>16.600000000000001</v>
      </c>
    </row>
    <row r="420" spans="1:12">
      <c r="A420" s="3318">
        <v>419</v>
      </c>
      <c r="B420" s="3319"/>
      <c r="C420" s="3207" t="s">
        <v>5924</v>
      </c>
      <c r="D420" s="3327"/>
      <c r="E420" s="3328"/>
      <c r="F420" s="3318">
        <v>1697</v>
      </c>
      <c r="G420" s="3319"/>
      <c r="H420" s="3333" t="s">
        <v>5925</v>
      </c>
      <c r="I420" s="3334"/>
      <c r="J420" s="3305">
        <v>37.39</v>
      </c>
      <c r="K420" s="3306"/>
      <c r="L420" s="3208">
        <v>16.600000000000001</v>
      </c>
    </row>
    <row r="421" spans="1:12">
      <c r="A421" s="3318">
        <v>420</v>
      </c>
      <c r="B421" s="3319"/>
      <c r="C421" s="3207" t="s">
        <v>5924</v>
      </c>
      <c r="D421" s="3327"/>
      <c r="E421" s="3328"/>
      <c r="F421" s="3318">
        <v>1699</v>
      </c>
      <c r="G421" s="3319"/>
      <c r="H421" s="3333" t="s">
        <v>5925</v>
      </c>
      <c r="I421" s="3334"/>
      <c r="J421" s="3305">
        <v>37.39</v>
      </c>
      <c r="K421" s="3306"/>
      <c r="L421" s="3208">
        <v>16.600000000000001</v>
      </c>
    </row>
    <row r="422" spans="1:12">
      <c r="A422" s="3318">
        <v>421</v>
      </c>
      <c r="B422" s="3319"/>
      <c r="C422" s="3207" t="s">
        <v>5924</v>
      </c>
      <c r="D422" s="3327"/>
      <c r="E422" s="3328"/>
      <c r="F422" s="3318">
        <v>1700</v>
      </c>
      <c r="G422" s="3319"/>
      <c r="H422" s="3333" t="s">
        <v>5925</v>
      </c>
      <c r="I422" s="3334"/>
      <c r="J422" s="3314">
        <v>35.9</v>
      </c>
      <c r="K422" s="3315"/>
      <c r="L422" s="3208">
        <v>15.94</v>
      </c>
    </row>
    <row r="423" spans="1:12">
      <c r="A423" s="3318">
        <v>422</v>
      </c>
      <c r="B423" s="3319"/>
      <c r="C423" s="3207" t="s">
        <v>5924</v>
      </c>
      <c r="D423" s="3327"/>
      <c r="E423" s="3328"/>
      <c r="F423" s="3318">
        <v>1703</v>
      </c>
      <c r="G423" s="3319"/>
      <c r="H423" s="3333" t="s">
        <v>5925</v>
      </c>
      <c r="I423" s="3334"/>
      <c r="J423" s="3305">
        <v>37.39</v>
      </c>
      <c r="K423" s="3306"/>
      <c r="L423" s="3208">
        <v>16.600000000000001</v>
      </c>
    </row>
    <row r="424" spans="1:12">
      <c r="A424" s="3318">
        <v>423</v>
      </c>
      <c r="B424" s="3319"/>
      <c r="C424" s="3207" t="s">
        <v>5924</v>
      </c>
      <c r="D424" s="3327"/>
      <c r="E424" s="3328"/>
      <c r="F424" s="3318">
        <v>1704</v>
      </c>
      <c r="G424" s="3319"/>
      <c r="H424" s="3333" t="s">
        <v>5925</v>
      </c>
      <c r="I424" s="3334"/>
      <c r="J424" s="3305">
        <v>37.39</v>
      </c>
      <c r="K424" s="3306"/>
      <c r="L424" s="3208">
        <v>16.600000000000001</v>
      </c>
    </row>
    <row r="425" spans="1:12">
      <c r="A425" s="3318">
        <v>424</v>
      </c>
      <c r="B425" s="3319"/>
      <c r="C425" s="3207" t="s">
        <v>5924</v>
      </c>
      <c r="D425" s="3327"/>
      <c r="E425" s="3328"/>
      <c r="F425" s="3318">
        <v>1705</v>
      </c>
      <c r="G425" s="3319"/>
      <c r="H425" s="3333" t="s">
        <v>5925</v>
      </c>
      <c r="I425" s="3334"/>
      <c r="J425" s="3305">
        <v>37.39</v>
      </c>
      <c r="K425" s="3306"/>
      <c r="L425" s="3208">
        <v>16.600000000000001</v>
      </c>
    </row>
    <row r="426" spans="1:12">
      <c r="A426" s="3318">
        <v>425</v>
      </c>
      <c r="B426" s="3319"/>
      <c r="C426" s="3207" t="s">
        <v>5924</v>
      </c>
      <c r="D426" s="3327"/>
      <c r="E426" s="3328"/>
      <c r="F426" s="3318">
        <v>1706</v>
      </c>
      <c r="G426" s="3319"/>
      <c r="H426" s="3333" t="s">
        <v>5925</v>
      </c>
      <c r="I426" s="3334"/>
      <c r="J426" s="3305">
        <v>37.39</v>
      </c>
      <c r="K426" s="3306"/>
      <c r="L426" s="3208">
        <v>16.600000000000001</v>
      </c>
    </row>
    <row r="427" spans="1:12">
      <c r="A427" s="3318">
        <v>426</v>
      </c>
      <c r="B427" s="3319"/>
      <c r="C427" s="3207" t="s">
        <v>5924</v>
      </c>
      <c r="D427" s="3327"/>
      <c r="E427" s="3328"/>
      <c r="F427" s="3318">
        <v>1707</v>
      </c>
      <c r="G427" s="3319"/>
      <c r="H427" s="3333" t="s">
        <v>5925</v>
      </c>
      <c r="I427" s="3334"/>
      <c r="J427" s="3305">
        <v>37.39</v>
      </c>
      <c r="K427" s="3306"/>
      <c r="L427" s="3208">
        <v>16.600000000000001</v>
      </c>
    </row>
    <row r="428" spans="1:12">
      <c r="A428" s="3318">
        <v>427</v>
      </c>
      <c r="B428" s="3319"/>
      <c r="C428" s="3207" t="s">
        <v>5924</v>
      </c>
      <c r="D428" s="3327"/>
      <c r="E428" s="3328"/>
      <c r="F428" s="3318">
        <v>1708</v>
      </c>
      <c r="G428" s="3319"/>
      <c r="H428" s="3333" t="s">
        <v>5925</v>
      </c>
      <c r="I428" s="3334"/>
      <c r="J428" s="3305">
        <v>37.39</v>
      </c>
      <c r="K428" s="3306"/>
      <c r="L428" s="3208">
        <v>16.600000000000001</v>
      </c>
    </row>
    <row r="429" spans="1:12">
      <c r="A429" s="3318">
        <v>428</v>
      </c>
      <c r="B429" s="3319"/>
      <c r="C429" s="3207" t="s">
        <v>5924</v>
      </c>
      <c r="D429" s="3327"/>
      <c r="E429" s="3328"/>
      <c r="F429" s="3318">
        <v>1709</v>
      </c>
      <c r="G429" s="3319"/>
      <c r="H429" s="3333" t="s">
        <v>5925</v>
      </c>
      <c r="I429" s="3334"/>
      <c r="J429" s="3314">
        <v>35.9</v>
      </c>
      <c r="K429" s="3315"/>
      <c r="L429" s="3208">
        <v>15.94</v>
      </c>
    </row>
    <row r="430" spans="1:12">
      <c r="A430" s="3204"/>
      <c r="B430" s="3213">
        <f>A429</f>
        <v>428</v>
      </c>
      <c r="C430" s="3204"/>
      <c r="D430" s="3204"/>
      <c r="E430" s="3204"/>
      <c r="F430" s="3204"/>
      <c r="J430" s="3305">
        <f>SUM(J2:K429)</f>
        <v>16070.529999999899</v>
      </c>
      <c r="K430" s="3306"/>
      <c r="L430" s="3208">
        <f>SUM(L2:L429)</f>
        <v>7134.9800000000514</v>
      </c>
    </row>
    <row r="431" spans="1:12">
      <c r="J431" s="3212">
        <f>ROUND(J430,2)</f>
        <v>16070.53</v>
      </c>
    </row>
  </sheetData>
  <mergeCells count="2146">
    <mergeCell ref="A3:B3"/>
    <mergeCell ref="D3:E3"/>
    <mergeCell ref="F3:G3"/>
    <mergeCell ref="H3:I3"/>
    <mergeCell ref="J3:K3"/>
    <mergeCell ref="A4:B4"/>
    <mergeCell ref="D4:E4"/>
    <mergeCell ref="F4:G4"/>
    <mergeCell ref="H4:I4"/>
    <mergeCell ref="J4:K4"/>
    <mergeCell ref="A1:B1"/>
    <mergeCell ref="D1:E1"/>
    <mergeCell ref="F1:G1"/>
    <mergeCell ref="H1:I1"/>
    <mergeCell ref="J1:K1"/>
    <mergeCell ref="A2:B2"/>
    <mergeCell ref="D2:E2"/>
    <mergeCell ref="F2:G2"/>
    <mergeCell ref="H2:I2"/>
    <mergeCell ref="J2:K2"/>
    <mergeCell ref="A7:B7"/>
    <mergeCell ref="D7:E7"/>
    <mergeCell ref="F7:G7"/>
    <mergeCell ref="H7:I7"/>
    <mergeCell ref="J7:K7"/>
    <mergeCell ref="A8:B8"/>
    <mergeCell ref="D8:E8"/>
    <mergeCell ref="F8:G8"/>
    <mergeCell ref="H8:I8"/>
    <mergeCell ref="J8:K8"/>
    <mergeCell ref="A5:B5"/>
    <mergeCell ref="D5:E5"/>
    <mergeCell ref="F5:G5"/>
    <mergeCell ref="H5:I5"/>
    <mergeCell ref="J5:K5"/>
    <mergeCell ref="A6:B6"/>
    <mergeCell ref="D6:E6"/>
    <mergeCell ref="F6:G6"/>
    <mergeCell ref="H6:I6"/>
    <mergeCell ref="J6:K6"/>
    <mergeCell ref="A11:B11"/>
    <mergeCell ref="D11:E11"/>
    <mergeCell ref="F11:G11"/>
    <mergeCell ref="H11:I11"/>
    <mergeCell ref="J11:K11"/>
    <mergeCell ref="A12:B12"/>
    <mergeCell ref="D12:E12"/>
    <mergeCell ref="F12:G12"/>
    <mergeCell ref="H12:I12"/>
    <mergeCell ref="J12:K12"/>
    <mergeCell ref="A9:B9"/>
    <mergeCell ref="D9:E9"/>
    <mergeCell ref="F9:G9"/>
    <mergeCell ref="H9:I9"/>
    <mergeCell ref="J9:K9"/>
    <mergeCell ref="A10:B10"/>
    <mergeCell ref="D10:E10"/>
    <mergeCell ref="F10:G10"/>
    <mergeCell ref="H10:I10"/>
    <mergeCell ref="J10:K10"/>
    <mergeCell ref="A15:B15"/>
    <mergeCell ref="D15:E15"/>
    <mergeCell ref="F15:G15"/>
    <mergeCell ref="H15:I15"/>
    <mergeCell ref="J15:K15"/>
    <mergeCell ref="A16:B16"/>
    <mergeCell ref="D16:E16"/>
    <mergeCell ref="F16:G16"/>
    <mergeCell ref="H16:I16"/>
    <mergeCell ref="J16:K16"/>
    <mergeCell ref="A13:B13"/>
    <mergeCell ref="D13:E13"/>
    <mergeCell ref="F13:G13"/>
    <mergeCell ref="H13:I13"/>
    <mergeCell ref="J13:K13"/>
    <mergeCell ref="A14:B14"/>
    <mergeCell ref="D14:E14"/>
    <mergeCell ref="F14:G14"/>
    <mergeCell ref="H14:I14"/>
    <mergeCell ref="J14:K14"/>
    <mergeCell ref="A19:B19"/>
    <mergeCell ref="D19:E19"/>
    <mergeCell ref="F19:G19"/>
    <mergeCell ref="H19:I19"/>
    <mergeCell ref="J19:K19"/>
    <mergeCell ref="A20:B20"/>
    <mergeCell ref="D20:E20"/>
    <mergeCell ref="F20:G20"/>
    <mergeCell ref="H20:I20"/>
    <mergeCell ref="J20:K20"/>
    <mergeCell ref="A17:B17"/>
    <mergeCell ref="D17:E17"/>
    <mergeCell ref="F17:G17"/>
    <mergeCell ref="H17:I17"/>
    <mergeCell ref="J17:K17"/>
    <mergeCell ref="A18:B18"/>
    <mergeCell ref="D18:E18"/>
    <mergeCell ref="F18:G18"/>
    <mergeCell ref="H18:I18"/>
    <mergeCell ref="J18:K18"/>
    <mergeCell ref="A23:B23"/>
    <mergeCell ref="D23:E23"/>
    <mergeCell ref="F23:G23"/>
    <mergeCell ref="H23:I23"/>
    <mergeCell ref="J23:K23"/>
    <mergeCell ref="A24:B24"/>
    <mergeCell ref="D24:E24"/>
    <mergeCell ref="F24:G24"/>
    <mergeCell ref="H24:I24"/>
    <mergeCell ref="J24:K24"/>
    <mergeCell ref="A21:B21"/>
    <mergeCell ref="D21:E21"/>
    <mergeCell ref="F21:G21"/>
    <mergeCell ref="H21:I21"/>
    <mergeCell ref="J21:K21"/>
    <mergeCell ref="A22:B22"/>
    <mergeCell ref="D22:E22"/>
    <mergeCell ref="F22:G22"/>
    <mergeCell ref="H22:I22"/>
    <mergeCell ref="J22:K22"/>
    <mergeCell ref="A27:B27"/>
    <mergeCell ref="D27:E27"/>
    <mergeCell ref="F27:G27"/>
    <mergeCell ref="H27:I27"/>
    <mergeCell ref="J27:K27"/>
    <mergeCell ref="A28:B28"/>
    <mergeCell ref="D28:E28"/>
    <mergeCell ref="F28:G28"/>
    <mergeCell ref="H28:I28"/>
    <mergeCell ref="J28:K28"/>
    <mergeCell ref="A25:B25"/>
    <mergeCell ref="D25:E25"/>
    <mergeCell ref="F25:G25"/>
    <mergeCell ref="H25:I25"/>
    <mergeCell ref="J25:K25"/>
    <mergeCell ref="A26:B26"/>
    <mergeCell ref="D26:E26"/>
    <mergeCell ref="F26:G26"/>
    <mergeCell ref="H26:I26"/>
    <mergeCell ref="J26:K26"/>
    <mergeCell ref="A31:B31"/>
    <mergeCell ref="D31:E31"/>
    <mergeCell ref="F31:G31"/>
    <mergeCell ref="H31:I31"/>
    <mergeCell ref="J31:K31"/>
    <mergeCell ref="A32:B32"/>
    <mergeCell ref="D32:E32"/>
    <mergeCell ref="F32:G32"/>
    <mergeCell ref="H32:I32"/>
    <mergeCell ref="J32:K32"/>
    <mergeCell ref="A29:B29"/>
    <mergeCell ref="D29:E29"/>
    <mergeCell ref="F29:G29"/>
    <mergeCell ref="H29:I29"/>
    <mergeCell ref="J29:K29"/>
    <mergeCell ref="A30:B30"/>
    <mergeCell ref="D30:E30"/>
    <mergeCell ref="F30:G30"/>
    <mergeCell ref="H30:I30"/>
    <mergeCell ref="J30:K30"/>
    <mergeCell ref="A35:B35"/>
    <mergeCell ref="D35:E35"/>
    <mergeCell ref="F35:G35"/>
    <mergeCell ref="H35:I35"/>
    <mergeCell ref="J35:K35"/>
    <mergeCell ref="A36:B36"/>
    <mergeCell ref="D36:E36"/>
    <mergeCell ref="F36:G36"/>
    <mergeCell ref="H36:I36"/>
    <mergeCell ref="J36:K36"/>
    <mergeCell ref="A33:B33"/>
    <mergeCell ref="D33:E33"/>
    <mergeCell ref="F33:G33"/>
    <mergeCell ref="H33:I33"/>
    <mergeCell ref="J33:K33"/>
    <mergeCell ref="A34:B34"/>
    <mergeCell ref="D34:E34"/>
    <mergeCell ref="F34:G34"/>
    <mergeCell ref="H34:I34"/>
    <mergeCell ref="J34:K34"/>
    <mergeCell ref="A39:B39"/>
    <mergeCell ref="D39:E39"/>
    <mergeCell ref="F39:G39"/>
    <mergeCell ref="H39:I39"/>
    <mergeCell ref="J39:K39"/>
    <mergeCell ref="A40:B40"/>
    <mergeCell ref="D40:E40"/>
    <mergeCell ref="F40:G40"/>
    <mergeCell ref="H40:I40"/>
    <mergeCell ref="J40:K40"/>
    <mergeCell ref="A37:B37"/>
    <mergeCell ref="D37:E37"/>
    <mergeCell ref="F37:G37"/>
    <mergeCell ref="H37:I37"/>
    <mergeCell ref="J37:K37"/>
    <mergeCell ref="A38:B38"/>
    <mergeCell ref="D38:E38"/>
    <mergeCell ref="F38:G38"/>
    <mergeCell ref="H38:I38"/>
    <mergeCell ref="J38:K38"/>
    <mergeCell ref="A43:B43"/>
    <mergeCell ref="D43:E43"/>
    <mergeCell ref="F43:G43"/>
    <mergeCell ref="H43:I43"/>
    <mergeCell ref="J43:K43"/>
    <mergeCell ref="A44:B44"/>
    <mergeCell ref="D44:E44"/>
    <mergeCell ref="F44:G44"/>
    <mergeCell ref="H44:I44"/>
    <mergeCell ref="J44:K44"/>
    <mergeCell ref="A41:B41"/>
    <mergeCell ref="D41:E41"/>
    <mergeCell ref="F41:G41"/>
    <mergeCell ref="H41:I41"/>
    <mergeCell ref="J41:K41"/>
    <mergeCell ref="A42:B42"/>
    <mergeCell ref="D42:E42"/>
    <mergeCell ref="F42:G42"/>
    <mergeCell ref="H42:I42"/>
    <mergeCell ref="J42:K42"/>
    <mergeCell ref="A47:B47"/>
    <mergeCell ref="D47:E47"/>
    <mergeCell ref="F47:G47"/>
    <mergeCell ref="H47:I47"/>
    <mergeCell ref="J47:K47"/>
    <mergeCell ref="A48:B48"/>
    <mergeCell ref="D48:E48"/>
    <mergeCell ref="F48:G48"/>
    <mergeCell ref="H48:I48"/>
    <mergeCell ref="J48:K48"/>
    <mergeCell ref="A45:B45"/>
    <mergeCell ref="D45:E45"/>
    <mergeCell ref="F45:G45"/>
    <mergeCell ref="H45:I45"/>
    <mergeCell ref="J45:K45"/>
    <mergeCell ref="A46:B46"/>
    <mergeCell ref="D46:E46"/>
    <mergeCell ref="F46:G46"/>
    <mergeCell ref="H46:I46"/>
    <mergeCell ref="J46:K46"/>
    <mergeCell ref="A51:B51"/>
    <mergeCell ref="D51:E51"/>
    <mergeCell ref="F51:G51"/>
    <mergeCell ref="H51:I51"/>
    <mergeCell ref="J51:K51"/>
    <mergeCell ref="A52:B52"/>
    <mergeCell ref="D52:E52"/>
    <mergeCell ref="F52:G52"/>
    <mergeCell ref="H52:I52"/>
    <mergeCell ref="J52:K52"/>
    <mergeCell ref="A49:B49"/>
    <mergeCell ref="D49:E49"/>
    <mergeCell ref="F49:G49"/>
    <mergeCell ref="H49:I49"/>
    <mergeCell ref="J49:K49"/>
    <mergeCell ref="A50:B50"/>
    <mergeCell ref="D50:E50"/>
    <mergeCell ref="F50:G50"/>
    <mergeCell ref="H50:I50"/>
    <mergeCell ref="J50:K50"/>
    <mergeCell ref="A55:B55"/>
    <mergeCell ref="D55:E55"/>
    <mergeCell ref="F55:G55"/>
    <mergeCell ref="H55:I55"/>
    <mergeCell ref="J55:K55"/>
    <mergeCell ref="A56:B56"/>
    <mergeCell ref="D56:E56"/>
    <mergeCell ref="F56:G56"/>
    <mergeCell ref="H56:I56"/>
    <mergeCell ref="J56:K56"/>
    <mergeCell ref="A53:B53"/>
    <mergeCell ref="D53:E53"/>
    <mergeCell ref="F53:G53"/>
    <mergeCell ref="H53:I53"/>
    <mergeCell ref="J53:K53"/>
    <mergeCell ref="A54:B54"/>
    <mergeCell ref="D54:E54"/>
    <mergeCell ref="F54:G54"/>
    <mergeCell ref="H54:I54"/>
    <mergeCell ref="J54:K54"/>
    <mergeCell ref="A59:B59"/>
    <mergeCell ref="D59:E59"/>
    <mergeCell ref="F59:G59"/>
    <mergeCell ref="H59:I59"/>
    <mergeCell ref="J59:K59"/>
    <mergeCell ref="A60:B60"/>
    <mergeCell ref="D60:E60"/>
    <mergeCell ref="F60:G60"/>
    <mergeCell ref="H60:I60"/>
    <mergeCell ref="J60:K60"/>
    <mergeCell ref="A57:B57"/>
    <mergeCell ref="D57:E57"/>
    <mergeCell ref="F57:G57"/>
    <mergeCell ref="H57:I57"/>
    <mergeCell ref="J57:K57"/>
    <mergeCell ref="A58:B58"/>
    <mergeCell ref="D58:E58"/>
    <mergeCell ref="F58:G58"/>
    <mergeCell ref="H58:I58"/>
    <mergeCell ref="J58:K58"/>
    <mergeCell ref="A63:B63"/>
    <mergeCell ref="D63:E63"/>
    <mergeCell ref="F63:G63"/>
    <mergeCell ref="H63:I63"/>
    <mergeCell ref="J63:K63"/>
    <mergeCell ref="A64:B64"/>
    <mergeCell ref="D64:E64"/>
    <mergeCell ref="F64:G64"/>
    <mergeCell ref="H64:I64"/>
    <mergeCell ref="J64:K64"/>
    <mergeCell ref="A61:B61"/>
    <mergeCell ref="D61:E61"/>
    <mergeCell ref="F61:G61"/>
    <mergeCell ref="H61:I61"/>
    <mergeCell ref="J61:K61"/>
    <mergeCell ref="A62:B62"/>
    <mergeCell ref="D62:E62"/>
    <mergeCell ref="F62:G62"/>
    <mergeCell ref="H62:I62"/>
    <mergeCell ref="J62:K62"/>
    <mergeCell ref="A67:B67"/>
    <mergeCell ref="D67:E67"/>
    <mergeCell ref="F67:G67"/>
    <mergeCell ref="H67:I67"/>
    <mergeCell ref="J67:K67"/>
    <mergeCell ref="A68:B68"/>
    <mergeCell ref="D68:E68"/>
    <mergeCell ref="F68:G68"/>
    <mergeCell ref="H68:I68"/>
    <mergeCell ref="J68:K68"/>
    <mergeCell ref="A65:B65"/>
    <mergeCell ref="D65:E65"/>
    <mergeCell ref="F65:G65"/>
    <mergeCell ref="H65:I65"/>
    <mergeCell ref="J65:K65"/>
    <mergeCell ref="A66:B66"/>
    <mergeCell ref="D66:E66"/>
    <mergeCell ref="F66:G66"/>
    <mergeCell ref="H66:I66"/>
    <mergeCell ref="J66:K66"/>
    <mergeCell ref="A71:B71"/>
    <mergeCell ref="D71:E71"/>
    <mergeCell ref="F71:G71"/>
    <mergeCell ref="H71:I71"/>
    <mergeCell ref="J71:K71"/>
    <mergeCell ref="A72:B72"/>
    <mergeCell ref="D72:E72"/>
    <mergeCell ref="F72:G72"/>
    <mergeCell ref="H72:I72"/>
    <mergeCell ref="J72:K72"/>
    <mergeCell ref="A69:B69"/>
    <mergeCell ref="D69:E69"/>
    <mergeCell ref="F69:G69"/>
    <mergeCell ref="H69:I69"/>
    <mergeCell ref="J69:K69"/>
    <mergeCell ref="A70:B70"/>
    <mergeCell ref="D70:E70"/>
    <mergeCell ref="F70:G70"/>
    <mergeCell ref="H70:I70"/>
    <mergeCell ref="J70:K70"/>
    <mergeCell ref="A75:B75"/>
    <mergeCell ref="D75:E75"/>
    <mergeCell ref="F75:G75"/>
    <mergeCell ref="H75:I75"/>
    <mergeCell ref="J75:K75"/>
    <mergeCell ref="A76:B76"/>
    <mergeCell ref="D76:E76"/>
    <mergeCell ref="F76:G76"/>
    <mergeCell ref="H76:I76"/>
    <mergeCell ref="J76:K76"/>
    <mergeCell ref="A73:B73"/>
    <mergeCell ref="D73:E73"/>
    <mergeCell ref="F73:G73"/>
    <mergeCell ref="H73:I73"/>
    <mergeCell ref="J73:K73"/>
    <mergeCell ref="A74:B74"/>
    <mergeCell ref="D74:E74"/>
    <mergeCell ref="F74:G74"/>
    <mergeCell ref="H74:I74"/>
    <mergeCell ref="J74:K74"/>
    <mergeCell ref="A79:B79"/>
    <mergeCell ref="D79:E79"/>
    <mergeCell ref="F79:G79"/>
    <mergeCell ref="H79:I79"/>
    <mergeCell ref="J79:K79"/>
    <mergeCell ref="A80:B80"/>
    <mergeCell ref="D80:E80"/>
    <mergeCell ref="F80:G80"/>
    <mergeCell ref="H80:I80"/>
    <mergeCell ref="J80:K80"/>
    <mergeCell ref="A77:B77"/>
    <mergeCell ref="D77:E77"/>
    <mergeCell ref="F77:G77"/>
    <mergeCell ref="H77:I77"/>
    <mergeCell ref="J77:K77"/>
    <mergeCell ref="A78:B78"/>
    <mergeCell ref="D78:E78"/>
    <mergeCell ref="F78:G78"/>
    <mergeCell ref="H78:I78"/>
    <mergeCell ref="J78:K78"/>
    <mergeCell ref="A83:B83"/>
    <mergeCell ref="D83:E83"/>
    <mergeCell ref="F83:G83"/>
    <mergeCell ref="H83:I83"/>
    <mergeCell ref="J83:K83"/>
    <mergeCell ref="A84:B84"/>
    <mergeCell ref="D84:E84"/>
    <mergeCell ref="F84:G84"/>
    <mergeCell ref="H84:I84"/>
    <mergeCell ref="J84:K84"/>
    <mergeCell ref="A81:B81"/>
    <mergeCell ref="D81:E81"/>
    <mergeCell ref="F81:G81"/>
    <mergeCell ref="H81:I81"/>
    <mergeCell ref="J81:K81"/>
    <mergeCell ref="A82:B82"/>
    <mergeCell ref="D82:E82"/>
    <mergeCell ref="F82:G82"/>
    <mergeCell ref="H82:I82"/>
    <mergeCell ref="J82:K82"/>
    <mergeCell ref="A87:B87"/>
    <mergeCell ref="D87:E87"/>
    <mergeCell ref="F87:G87"/>
    <mergeCell ref="H87:I87"/>
    <mergeCell ref="J87:K87"/>
    <mergeCell ref="A88:B88"/>
    <mergeCell ref="D88:E88"/>
    <mergeCell ref="F88:G88"/>
    <mergeCell ref="H88:I88"/>
    <mergeCell ref="J88:K88"/>
    <mergeCell ref="A85:B85"/>
    <mergeCell ref="D85:E85"/>
    <mergeCell ref="F85:G85"/>
    <mergeCell ref="H85:I85"/>
    <mergeCell ref="J85:K85"/>
    <mergeCell ref="A86:B86"/>
    <mergeCell ref="D86:E86"/>
    <mergeCell ref="F86:G86"/>
    <mergeCell ref="H86:I86"/>
    <mergeCell ref="J86:K86"/>
    <mergeCell ref="A91:B91"/>
    <mergeCell ref="D91:E91"/>
    <mergeCell ref="F91:G91"/>
    <mergeCell ref="H91:I91"/>
    <mergeCell ref="J91:K91"/>
    <mergeCell ref="A92:B92"/>
    <mergeCell ref="D92:E92"/>
    <mergeCell ref="F92:G92"/>
    <mergeCell ref="H92:I92"/>
    <mergeCell ref="J92:K92"/>
    <mergeCell ref="A89:B89"/>
    <mergeCell ref="D89:E89"/>
    <mergeCell ref="F89:G89"/>
    <mergeCell ref="H89:I89"/>
    <mergeCell ref="J89:K89"/>
    <mergeCell ref="A90:B90"/>
    <mergeCell ref="D90:E90"/>
    <mergeCell ref="F90:G90"/>
    <mergeCell ref="H90:I90"/>
    <mergeCell ref="J90:K90"/>
    <mergeCell ref="A95:B95"/>
    <mergeCell ref="D95:E95"/>
    <mergeCell ref="F95:G95"/>
    <mergeCell ref="H95:I95"/>
    <mergeCell ref="J95:K95"/>
    <mergeCell ref="A96:B96"/>
    <mergeCell ref="D96:E96"/>
    <mergeCell ref="F96:G96"/>
    <mergeCell ref="H96:I96"/>
    <mergeCell ref="J96:K96"/>
    <mergeCell ref="A93:B93"/>
    <mergeCell ref="D93:E93"/>
    <mergeCell ref="F93:G93"/>
    <mergeCell ref="H93:I93"/>
    <mergeCell ref="J93:K93"/>
    <mergeCell ref="A94:B94"/>
    <mergeCell ref="D94:E94"/>
    <mergeCell ref="F94:G94"/>
    <mergeCell ref="H94:I94"/>
    <mergeCell ref="J94:K94"/>
    <mergeCell ref="A99:B99"/>
    <mergeCell ref="D99:E99"/>
    <mergeCell ref="F99:G99"/>
    <mergeCell ref="H99:I99"/>
    <mergeCell ref="J99:K99"/>
    <mergeCell ref="A100:B100"/>
    <mergeCell ref="D100:E100"/>
    <mergeCell ref="F100:G100"/>
    <mergeCell ref="H100:I100"/>
    <mergeCell ref="J100:K100"/>
    <mergeCell ref="A97:B97"/>
    <mergeCell ref="D97:E97"/>
    <mergeCell ref="F97:G97"/>
    <mergeCell ref="H97:I97"/>
    <mergeCell ref="J97:K97"/>
    <mergeCell ref="A98:B98"/>
    <mergeCell ref="D98:E98"/>
    <mergeCell ref="F98:G98"/>
    <mergeCell ref="H98:I98"/>
    <mergeCell ref="J98:K98"/>
    <mergeCell ref="A103:B103"/>
    <mergeCell ref="D103:E103"/>
    <mergeCell ref="F103:G103"/>
    <mergeCell ref="H103:I103"/>
    <mergeCell ref="J103:K103"/>
    <mergeCell ref="A104:B104"/>
    <mergeCell ref="D104:E104"/>
    <mergeCell ref="F104:G104"/>
    <mergeCell ref="H104:I104"/>
    <mergeCell ref="J104:K104"/>
    <mergeCell ref="A101:B101"/>
    <mergeCell ref="D101:E101"/>
    <mergeCell ref="F101:G101"/>
    <mergeCell ref="H101:I101"/>
    <mergeCell ref="J101:K101"/>
    <mergeCell ref="A102:B102"/>
    <mergeCell ref="D102:E102"/>
    <mergeCell ref="F102:G102"/>
    <mergeCell ref="H102:I102"/>
    <mergeCell ref="J102:K102"/>
    <mergeCell ref="A107:B107"/>
    <mergeCell ref="D107:E107"/>
    <mergeCell ref="F107:G107"/>
    <mergeCell ref="H107:I107"/>
    <mergeCell ref="J107:K107"/>
    <mergeCell ref="A108:B108"/>
    <mergeCell ref="D108:E108"/>
    <mergeCell ref="F108:G108"/>
    <mergeCell ref="H108:I108"/>
    <mergeCell ref="J108:K108"/>
    <mergeCell ref="A105:B105"/>
    <mergeCell ref="D105:E105"/>
    <mergeCell ref="F105:G105"/>
    <mergeCell ref="H105:I105"/>
    <mergeCell ref="J105:K105"/>
    <mergeCell ref="A106:B106"/>
    <mergeCell ref="D106:E106"/>
    <mergeCell ref="F106:G106"/>
    <mergeCell ref="H106:I106"/>
    <mergeCell ref="J106:K106"/>
    <mergeCell ref="A111:B111"/>
    <mergeCell ref="D111:E111"/>
    <mergeCell ref="F111:G111"/>
    <mergeCell ref="H111:I111"/>
    <mergeCell ref="J111:K111"/>
    <mergeCell ref="A112:B112"/>
    <mergeCell ref="D112:E112"/>
    <mergeCell ref="F112:G112"/>
    <mergeCell ref="H112:I112"/>
    <mergeCell ref="J112:K112"/>
    <mergeCell ref="A109:B109"/>
    <mergeCell ref="D109:E109"/>
    <mergeCell ref="F109:G109"/>
    <mergeCell ref="H109:I109"/>
    <mergeCell ref="J109:K109"/>
    <mergeCell ref="A110:B110"/>
    <mergeCell ref="D110:E110"/>
    <mergeCell ref="F110:G110"/>
    <mergeCell ref="H110:I110"/>
    <mergeCell ref="J110:K110"/>
    <mergeCell ref="A115:B115"/>
    <mergeCell ref="D115:E115"/>
    <mergeCell ref="F115:G115"/>
    <mergeCell ref="H115:I115"/>
    <mergeCell ref="J115:K115"/>
    <mergeCell ref="A116:B116"/>
    <mergeCell ref="D116:E116"/>
    <mergeCell ref="F116:G116"/>
    <mergeCell ref="H116:I116"/>
    <mergeCell ref="J116:K116"/>
    <mergeCell ref="A113:B113"/>
    <mergeCell ref="D113:E113"/>
    <mergeCell ref="F113:G113"/>
    <mergeCell ref="H113:I113"/>
    <mergeCell ref="J113:K113"/>
    <mergeCell ref="A114:B114"/>
    <mergeCell ref="D114:E114"/>
    <mergeCell ref="F114:G114"/>
    <mergeCell ref="H114:I114"/>
    <mergeCell ref="J114:K114"/>
    <mergeCell ref="A119:B119"/>
    <mergeCell ref="D119:E119"/>
    <mergeCell ref="F119:G119"/>
    <mergeCell ref="H119:I119"/>
    <mergeCell ref="J119:K119"/>
    <mergeCell ref="A120:B120"/>
    <mergeCell ref="D120:E120"/>
    <mergeCell ref="F120:G120"/>
    <mergeCell ref="H120:I120"/>
    <mergeCell ref="J120:K120"/>
    <mergeCell ref="A117:B117"/>
    <mergeCell ref="D117:E117"/>
    <mergeCell ref="F117:G117"/>
    <mergeCell ref="H117:I117"/>
    <mergeCell ref="J117:K117"/>
    <mergeCell ref="A118:B118"/>
    <mergeCell ref="D118:E118"/>
    <mergeCell ref="F118:G118"/>
    <mergeCell ref="H118:I118"/>
    <mergeCell ref="J118:K118"/>
    <mergeCell ref="A123:B123"/>
    <mergeCell ref="D123:E123"/>
    <mergeCell ref="F123:G123"/>
    <mergeCell ref="H123:I123"/>
    <mergeCell ref="J123:K123"/>
    <mergeCell ref="A124:B124"/>
    <mergeCell ref="D124:E124"/>
    <mergeCell ref="F124:G124"/>
    <mergeCell ref="H124:I124"/>
    <mergeCell ref="J124:K124"/>
    <mergeCell ref="A121:B121"/>
    <mergeCell ref="D121:E121"/>
    <mergeCell ref="F121:G121"/>
    <mergeCell ref="H121:I121"/>
    <mergeCell ref="J121:K121"/>
    <mergeCell ref="A122:B122"/>
    <mergeCell ref="D122:E122"/>
    <mergeCell ref="F122:G122"/>
    <mergeCell ref="H122:I122"/>
    <mergeCell ref="J122:K122"/>
    <mergeCell ref="A127:B127"/>
    <mergeCell ref="D127:E127"/>
    <mergeCell ref="F127:G127"/>
    <mergeCell ref="H127:I127"/>
    <mergeCell ref="J127:K127"/>
    <mergeCell ref="A128:B128"/>
    <mergeCell ref="D128:E128"/>
    <mergeCell ref="F128:G128"/>
    <mergeCell ref="H128:I128"/>
    <mergeCell ref="J128:K128"/>
    <mergeCell ref="A125:B125"/>
    <mergeCell ref="D125:E125"/>
    <mergeCell ref="F125:G125"/>
    <mergeCell ref="H125:I125"/>
    <mergeCell ref="J125:K125"/>
    <mergeCell ref="A126:B126"/>
    <mergeCell ref="D126:E126"/>
    <mergeCell ref="F126:G126"/>
    <mergeCell ref="H126:I126"/>
    <mergeCell ref="J126:K126"/>
    <mergeCell ref="A131:B131"/>
    <mergeCell ref="D131:E131"/>
    <mergeCell ref="F131:G131"/>
    <mergeCell ref="H131:I131"/>
    <mergeCell ref="J131:K131"/>
    <mergeCell ref="A132:B132"/>
    <mergeCell ref="D132:E132"/>
    <mergeCell ref="F132:G132"/>
    <mergeCell ref="H132:I132"/>
    <mergeCell ref="J132:K132"/>
    <mergeCell ref="A129:B129"/>
    <mergeCell ref="D129:E129"/>
    <mergeCell ref="F129:G129"/>
    <mergeCell ref="H129:I129"/>
    <mergeCell ref="J129:K129"/>
    <mergeCell ref="A130:B130"/>
    <mergeCell ref="D130:E130"/>
    <mergeCell ref="F130:G130"/>
    <mergeCell ref="H130:I130"/>
    <mergeCell ref="J130:K130"/>
    <mergeCell ref="A135:B135"/>
    <mergeCell ref="D135:E135"/>
    <mergeCell ref="F135:G135"/>
    <mergeCell ref="H135:I135"/>
    <mergeCell ref="J135:K135"/>
    <mergeCell ref="A136:B136"/>
    <mergeCell ref="D136:E136"/>
    <mergeCell ref="F136:G136"/>
    <mergeCell ref="H136:I136"/>
    <mergeCell ref="J136:K136"/>
    <mergeCell ref="A133:B133"/>
    <mergeCell ref="D133:E133"/>
    <mergeCell ref="F133:G133"/>
    <mergeCell ref="H133:I133"/>
    <mergeCell ref="J133:K133"/>
    <mergeCell ref="A134:B134"/>
    <mergeCell ref="D134:E134"/>
    <mergeCell ref="F134:G134"/>
    <mergeCell ref="H134:I134"/>
    <mergeCell ref="J134:K134"/>
    <mergeCell ref="A139:B139"/>
    <mergeCell ref="D139:E139"/>
    <mergeCell ref="F139:G139"/>
    <mergeCell ref="H139:I139"/>
    <mergeCell ref="J139:K139"/>
    <mergeCell ref="A140:B140"/>
    <mergeCell ref="D140:E140"/>
    <mergeCell ref="F140:G140"/>
    <mergeCell ref="H140:I140"/>
    <mergeCell ref="J140:K140"/>
    <mergeCell ref="A137:B137"/>
    <mergeCell ref="D137:E137"/>
    <mergeCell ref="F137:G137"/>
    <mergeCell ref="H137:I137"/>
    <mergeCell ref="J137:K137"/>
    <mergeCell ref="A138:B138"/>
    <mergeCell ref="D138:E138"/>
    <mergeCell ref="F138:G138"/>
    <mergeCell ref="H138:I138"/>
    <mergeCell ref="J138:K138"/>
    <mergeCell ref="A143:B143"/>
    <mergeCell ref="D143:E143"/>
    <mergeCell ref="F143:G143"/>
    <mergeCell ref="H143:I143"/>
    <mergeCell ref="J143:K143"/>
    <mergeCell ref="A144:B144"/>
    <mergeCell ref="D144:E144"/>
    <mergeCell ref="F144:G144"/>
    <mergeCell ref="H144:I144"/>
    <mergeCell ref="J144:K144"/>
    <mergeCell ref="A141:B141"/>
    <mergeCell ref="D141:E141"/>
    <mergeCell ref="F141:G141"/>
    <mergeCell ref="H141:I141"/>
    <mergeCell ref="J141:K141"/>
    <mergeCell ref="A142:B142"/>
    <mergeCell ref="D142:E142"/>
    <mergeCell ref="F142:G142"/>
    <mergeCell ref="H142:I142"/>
    <mergeCell ref="J142:K142"/>
    <mergeCell ref="A147:B147"/>
    <mergeCell ref="D147:E147"/>
    <mergeCell ref="F147:G147"/>
    <mergeCell ref="H147:I147"/>
    <mergeCell ref="J147:K147"/>
    <mergeCell ref="A148:B148"/>
    <mergeCell ref="D148:E148"/>
    <mergeCell ref="F148:G148"/>
    <mergeCell ref="H148:I148"/>
    <mergeCell ref="J148:K148"/>
    <mergeCell ref="A145:B145"/>
    <mergeCell ref="D145:E145"/>
    <mergeCell ref="F145:G145"/>
    <mergeCell ref="H145:I145"/>
    <mergeCell ref="J145:K145"/>
    <mergeCell ref="A146:B146"/>
    <mergeCell ref="D146:E146"/>
    <mergeCell ref="F146:G146"/>
    <mergeCell ref="H146:I146"/>
    <mergeCell ref="J146:K146"/>
    <mergeCell ref="A151:B151"/>
    <mergeCell ref="D151:E151"/>
    <mergeCell ref="F151:G151"/>
    <mergeCell ref="H151:I151"/>
    <mergeCell ref="J151:K151"/>
    <mergeCell ref="A152:B152"/>
    <mergeCell ref="D152:E152"/>
    <mergeCell ref="F152:G152"/>
    <mergeCell ref="H152:I152"/>
    <mergeCell ref="J152:K152"/>
    <mergeCell ref="A149:B149"/>
    <mergeCell ref="D149:E149"/>
    <mergeCell ref="F149:G149"/>
    <mergeCell ref="H149:I149"/>
    <mergeCell ref="J149:K149"/>
    <mergeCell ref="A150:B150"/>
    <mergeCell ref="D150:E150"/>
    <mergeCell ref="F150:G150"/>
    <mergeCell ref="H150:I150"/>
    <mergeCell ref="J150:K150"/>
    <mergeCell ref="A155:B155"/>
    <mergeCell ref="D155:E155"/>
    <mergeCell ref="F155:G155"/>
    <mergeCell ref="H155:I155"/>
    <mergeCell ref="J155:K155"/>
    <mergeCell ref="A156:B156"/>
    <mergeCell ref="D156:E156"/>
    <mergeCell ref="F156:G156"/>
    <mergeCell ref="H156:I156"/>
    <mergeCell ref="J156:K156"/>
    <mergeCell ref="A153:B153"/>
    <mergeCell ref="D153:E153"/>
    <mergeCell ref="F153:G153"/>
    <mergeCell ref="H153:I153"/>
    <mergeCell ref="J153:K153"/>
    <mergeCell ref="A154:B154"/>
    <mergeCell ref="D154:E154"/>
    <mergeCell ref="F154:G154"/>
    <mergeCell ref="H154:I154"/>
    <mergeCell ref="J154:K154"/>
    <mergeCell ref="A159:B159"/>
    <mergeCell ref="D159:E159"/>
    <mergeCell ref="F159:G159"/>
    <mergeCell ref="H159:I159"/>
    <mergeCell ref="J159:K159"/>
    <mergeCell ref="A160:B160"/>
    <mergeCell ref="D160:E160"/>
    <mergeCell ref="F160:G160"/>
    <mergeCell ref="H160:I160"/>
    <mergeCell ref="J160:K160"/>
    <mergeCell ref="A157:B157"/>
    <mergeCell ref="D157:E157"/>
    <mergeCell ref="F157:G157"/>
    <mergeCell ref="H157:I157"/>
    <mergeCell ref="J157:K157"/>
    <mergeCell ref="A158:B158"/>
    <mergeCell ref="D158:E158"/>
    <mergeCell ref="F158:G158"/>
    <mergeCell ref="H158:I158"/>
    <mergeCell ref="J158:K158"/>
    <mergeCell ref="A163:B163"/>
    <mergeCell ref="D163:E163"/>
    <mergeCell ref="F163:G163"/>
    <mergeCell ref="H163:I163"/>
    <mergeCell ref="J163:K163"/>
    <mergeCell ref="A164:B164"/>
    <mergeCell ref="D164:E164"/>
    <mergeCell ref="F164:G164"/>
    <mergeCell ref="H164:I164"/>
    <mergeCell ref="J164:K164"/>
    <mergeCell ref="A161:B161"/>
    <mergeCell ref="D161:E161"/>
    <mergeCell ref="F161:G161"/>
    <mergeCell ref="H161:I161"/>
    <mergeCell ref="J161:K161"/>
    <mergeCell ref="A162:B162"/>
    <mergeCell ref="D162:E162"/>
    <mergeCell ref="F162:G162"/>
    <mergeCell ref="H162:I162"/>
    <mergeCell ref="J162:K162"/>
    <mergeCell ref="A167:B167"/>
    <mergeCell ref="D167:E167"/>
    <mergeCell ref="F167:G167"/>
    <mergeCell ref="H167:I167"/>
    <mergeCell ref="J167:K167"/>
    <mergeCell ref="A168:B168"/>
    <mergeCell ref="D168:E168"/>
    <mergeCell ref="F168:G168"/>
    <mergeCell ref="H168:I168"/>
    <mergeCell ref="J168:K168"/>
    <mergeCell ref="A165:B165"/>
    <mergeCell ref="D165:E165"/>
    <mergeCell ref="F165:G165"/>
    <mergeCell ref="H165:I165"/>
    <mergeCell ref="J165:K165"/>
    <mergeCell ref="A166:B166"/>
    <mergeCell ref="D166:E166"/>
    <mergeCell ref="F166:G166"/>
    <mergeCell ref="H166:I166"/>
    <mergeCell ref="J166:K166"/>
    <mergeCell ref="A171:B171"/>
    <mergeCell ref="D171:E171"/>
    <mergeCell ref="F171:G171"/>
    <mergeCell ref="H171:I171"/>
    <mergeCell ref="J171:K171"/>
    <mergeCell ref="A172:B172"/>
    <mergeCell ref="D172:E172"/>
    <mergeCell ref="F172:G172"/>
    <mergeCell ref="H172:I172"/>
    <mergeCell ref="J172:K172"/>
    <mergeCell ref="A169:B169"/>
    <mergeCell ref="D169:E169"/>
    <mergeCell ref="F169:G169"/>
    <mergeCell ref="H169:I169"/>
    <mergeCell ref="J169:K169"/>
    <mergeCell ref="A170:B170"/>
    <mergeCell ref="D170:E170"/>
    <mergeCell ref="F170:G170"/>
    <mergeCell ref="H170:I170"/>
    <mergeCell ref="J170:K170"/>
    <mergeCell ref="A175:B175"/>
    <mergeCell ref="D175:E175"/>
    <mergeCell ref="F175:G175"/>
    <mergeCell ref="H175:I175"/>
    <mergeCell ref="J175:K175"/>
    <mergeCell ref="A176:B176"/>
    <mergeCell ref="D176:E176"/>
    <mergeCell ref="F176:G176"/>
    <mergeCell ref="H176:I176"/>
    <mergeCell ref="J176:K176"/>
    <mergeCell ref="A173:B173"/>
    <mergeCell ref="D173:E173"/>
    <mergeCell ref="F173:G173"/>
    <mergeCell ref="H173:I173"/>
    <mergeCell ref="J173:K173"/>
    <mergeCell ref="A174:B174"/>
    <mergeCell ref="D174:E174"/>
    <mergeCell ref="F174:G174"/>
    <mergeCell ref="H174:I174"/>
    <mergeCell ref="J174:K174"/>
    <mergeCell ref="A179:B179"/>
    <mergeCell ref="D179:E179"/>
    <mergeCell ref="F179:G179"/>
    <mergeCell ref="H179:I179"/>
    <mergeCell ref="J179:K179"/>
    <mergeCell ref="A180:B180"/>
    <mergeCell ref="D180:E180"/>
    <mergeCell ref="F180:G180"/>
    <mergeCell ref="H180:I180"/>
    <mergeCell ref="J180:K180"/>
    <mergeCell ref="A177:B177"/>
    <mergeCell ref="D177:E177"/>
    <mergeCell ref="F177:G177"/>
    <mergeCell ref="H177:I177"/>
    <mergeCell ref="J177:K177"/>
    <mergeCell ref="A178:B178"/>
    <mergeCell ref="D178:E178"/>
    <mergeCell ref="F178:G178"/>
    <mergeCell ref="H178:I178"/>
    <mergeCell ref="J178:K178"/>
    <mergeCell ref="A183:B183"/>
    <mergeCell ref="D183:E183"/>
    <mergeCell ref="F183:G183"/>
    <mergeCell ref="H183:I183"/>
    <mergeCell ref="J183:K183"/>
    <mergeCell ref="A184:B184"/>
    <mergeCell ref="D184:E184"/>
    <mergeCell ref="F184:G184"/>
    <mergeCell ref="H184:I184"/>
    <mergeCell ref="J184:K184"/>
    <mergeCell ref="A181:B181"/>
    <mergeCell ref="D181:E181"/>
    <mergeCell ref="F181:G181"/>
    <mergeCell ref="H181:I181"/>
    <mergeCell ref="J181:K181"/>
    <mergeCell ref="A182:B182"/>
    <mergeCell ref="D182:E182"/>
    <mergeCell ref="F182:G182"/>
    <mergeCell ref="H182:I182"/>
    <mergeCell ref="J182:K182"/>
    <mergeCell ref="A187:B187"/>
    <mergeCell ref="D187:E187"/>
    <mergeCell ref="F187:G187"/>
    <mergeCell ref="H187:I187"/>
    <mergeCell ref="J187:K187"/>
    <mergeCell ref="A188:B188"/>
    <mergeCell ref="D188:E188"/>
    <mergeCell ref="F188:G188"/>
    <mergeCell ref="H188:I188"/>
    <mergeCell ref="J188:K188"/>
    <mergeCell ref="A185:B185"/>
    <mergeCell ref="D185:E185"/>
    <mergeCell ref="F185:G185"/>
    <mergeCell ref="H185:I185"/>
    <mergeCell ref="J185:K185"/>
    <mergeCell ref="A186:B186"/>
    <mergeCell ref="D186:E186"/>
    <mergeCell ref="F186:G186"/>
    <mergeCell ref="H186:I186"/>
    <mergeCell ref="J186:K186"/>
    <mergeCell ref="A191:B191"/>
    <mergeCell ref="D191:E191"/>
    <mergeCell ref="F191:G191"/>
    <mergeCell ref="H191:I191"/>
    <mergeCell ref="J191:K191"/>
    <mergeCell ref="A192:B192"/>
    <mergeCell ref="D192:E192"/>
    <mergeCell ref="F192:G192"/>
    <mergeCell ref="H192:I192"/>
    <mergeCell ref="J192:K192"/>
    <mergeCell ref="A189:B189"/>
    <mergeCell ref="D189:E189"/>
    <mergeCell ref="F189:G189"/>
    <mergeCell ref="H189:I189"/>
    <mergeCell ref="J189:K189"/>
    <mergeCell ref="A190:B190"/>
    <mergeCell ref="D190:E190"/>
    <mergeCell ref="F190:G190"/>
    <mergeCell ref="H190:I190"/>
    <mergeCell ref="J190:K190"/>
    <mergeCell ref="A195:B195"/>
    <mergeCell ref="D195:E195"/>
    <mergeCell ref="F195:G195"/>
    <mergeCell ref="H195:I195"/>
    <mergeCell ref="J195:K195"/>
    <mergeCell ref="A196:B196"/>
    <mergeCell ref="D196:E196"/>
    <mergeCell ref="F196:G196"/>
    <mergeCell ref="H196:I196"/>
    <mergeCell ref="J196:K196"/>
    <mergeCell ref="A193:B193"/>
    <mergeCell ref="D193:E193"/>
    <mergeCell ref="F193:G193"/>
    <mergeCell ref="H193:I193"/>
    <mergeCell ref="J193:K193"/>
    <mergeCell ref="A194:B194"/>
    <mergeCell ref="D194:E194"/>
    <mergeCell ref="F194:G194"/>
    <mergeCell ref="H194:I194"/>
    <mergeCell ref="J194:K194"/>
    <mergeCell ref="A199:B199"/>
    <mergeCell ref="D199:E199"/>
    <mergeCell ref="F199:G199"/>
    <mergeCell ref="H199:I199"/>
    <mergeCell ref="J199:K199"/>
    <mergeCell ref="A200:B200"/>
    <mergeCell ref="D200:E200"/>
    <mergeCell ref="F200:G200"/>
    <mergeCell ref="H200:I200"/>
    <mergeCell ref="J200:K200"/>
    <mergeCell ref="A197:B197"/>
    <mergeCell ref="D197:E197"/>
    <mergeCell ref="F197:G197"/>
    <mergeCell ref="H197:I197"/>
    <mergeCell ref="J197:K197"/>
    <mergeCell ref="A198:B198"/>
    <mergeCell ref="D198:E198"/>
    <mergeCell ref="F198:G198"/>
    <mergeCell ref="H198:I198"/>
    <mergeCell ref="J198:K198"/>
    <mergeCell ref="A203:B203"/>
    <mergeCell ref="D203:E203"/>
    <mergeCell ref="F203:G203"/>
    <mergeCell ref="H203:I203"/>
    <mergeCell ref="J203:K203"/>
    <mergeCell ref="A204:B204"/>
    <mergeCell ref="D204:E204"/>
    <mergeCell ref="F204:G204"/>
    <mergeCell ref="H204:I204"/>
    <mergeCell ref="J204:K204"/>
    <mergeCell ref="A201:B201"/>
    <mergeCell ref="D201:E201"/>
    <mergeCell ref="F201:G201"/>
    <mergeCell ref="H201:I201"/>
    <mergeCell ref="J201:K201"/>
    <mergeCell ref="A202:B202"/>
    <mergeCell ref="D202:E202"/>
    <mergeCell ref="F202:G202"/>
    <mergeCell ref="H202:I202"/>
    <mergeCell ref="J202:K202"/>
    <mergeCell ref="A207:B207"/>
    <mergeCell ref="D207:E207"/>
    <mergeCell ref="F207:G207"/>
    <mergeCell ref="H207:I207"/>
    <mergeCell ref="J207:K207"/>
    <mergeCell ref="A208:B208"/>
    <mergeCell ref="D208:E208"/>
    <mergeCell ref="F208:G208"/>
    <mergeCell ref="H208:I208"/>
    <mergeCell ref="J208:K208"/>
    <mergeCell ref="A205:B205"/>
    <mergeCell ref="D205:E205"/>
    <mergeCell ref="F205:G205"/>
    <mergeCell ref="H205:I205"/>
    <mergeCell ref="J205:K205"/>
    <mergeCell ref="A206:B206"/>
    <mergeCell ref="D206:E206"/>
    <mergeCell ref="F206:G206"/>
    <mergeCell ref="H206:I206"/>
    <mergeCell ref="J206:K206"/>
    <mergeCell ref="A211:B211"/>
    <mergeCell ref="D211:E211"/>
    <mergeCell ref="F211:G211"/>
    <mergeCell ref="H211:I211"/>
    <mergeCell ref="J211:K211"/>
    <mergeCell ref="A212:B212"/>
    <mergeCell ref="D212:E212"/>
    <mergeCell ref="F212:G212"/>
    <mergeCell ref="H212:I212"/>
    <mergeCell ref="J212:K212"/>
    <mergeCell ref="A209:B209"/>
    <mergeCell ref="D209:E209"/>
    <mergeCell ref="F209:G209"/>
    <mergeCell ref="H209:I209"/>
    <mergeCell ref="J209:K209"/>
    <mergeCell ref="A210:B210"/>
    <mergeCell ref="D210:E210"/>
    <mergeCell ref="F210:G210"/>
    <mergeCell ref="H210:I210"/>
    <mergeCell ref="J210:K210"/>
    <mergeCell ref="A215:B215"/>
    <mergeCell ref="D215:E215"/>
    <mergeCell ref="F215:G215"/>
    <mergeCell ref="H215:I215"/>
    <mergeCell ref="J215:K215"/>
    <mergeCell ref="A216:B216"/>
    <mergeCell ref="D216:E216"/>
    <mergeCell ref="F216:G216"/>
    <mergeCell ref="H216:I216"/>
    <mergeCell ref="J216:K216"/>
    <mergeCell ref="A213:B213"/>
    <mergeCell ref="D213:E213"/>
    <mergeCell ref="F213:G213"/>
    <mergeCell ref="H213:I213"/>
    <mergeCell ref="J213:K213"/>
    <mergeCell ref="A214:B214"/>
    <mergeCell ref="D214:E214"/>
    <mergeCell ref="F214:G214"/>
    <mergeCell ref="H214:I214"/>
    <mergeCell ref="J214:K214"/>
    <mergeCell ref="A219:B219"/>
    <mergeCell ref="D219:E219"/>
    <mergeCell ref="F219:G219"/>
    <mergeCell ref="H219:I219"/>
    <mergeCell ref="J219:K219"/>
    <mergeCell ref="A220:B220"/>
    <mergeCell ref="D220:E220"/>
    <mergeCell ref="F220:G220"/>
    <mergeCell ref="H220:I220"/>
    <mergeCell ref="J220:K220"/>
    <mergeCell ref="A217:B217"/>
    <mergeCell ref="D217:E217"/>
    <mergeCell ref="F217:G217"/>
    <mergeCell ref="H217:I217"/>
    <mergeCell ref="J217:K217"/>
    <mergeCell ref="A218:B218"/>
    <mergeCell ref="D218:E218"/>
    <mergeCell ref="F218:G218"/>
    <mergeCell ref="H218:I218"/>
    <mergeCell ref="J218:K218"/>
    <mergeCell ref="A223:B223"/>
    <mergeCell ref="D223:E223"/>
    <mergeCell ref="F223:G223"/>
    <mergeCell ref="H223:I223"/>
    <mergeCell ref="J223:K223"/>
    <mergeCell ref="A224:B224"/>
    <mergeCell ref="D224:E224"/>
    <mergeCell ref="F224:G224"/>
    <mergeCell ref="H224:I224"/>
    <mergeCell ref="J224:K224"/>
    <mergeCell ref="A221:B221"/>
    <mergeCell ref="D221:E221"/>
    <mergeCell ref="F221:G221"/>
    <mergeCell ref="H221:I221"/>
    <mergeCell ref="J221:K221"/>
    <mergeCell ref="A222:B222"/>
    <mergeCell ref="D222:E222"/>
    <mergeCell ref="F222:G222"/>
    <mergeCell ref="H222:I222"/>
    <mergeCell ref="J222:K222"/>
    <mergeCell ref="A227:B227"/>
    <mergeCell ref="D227:E227"/>
    <mergeCell ref="F227:G227"/>
    <mergeCell ref="H227:I227"/>
    <mergeCell ref="J227:K227"/>
    <mergeCell ref="A228:B228"/>
    <mergeCell ref="D228:E228"/>
    <mergeCell ref="F228:G228"/>
    <mergeCell ref="H228:I228"/>
    <mergeCell ref="J228:K228"/>
    <mergeCell ref="A225:B225"/>
    <mergeCell ref="D225:E225"/>
    <mergeCell ref="F225:G225"/>
    <mergeCell ref="H225:I225"/>
    <mergeCell ref="J225:K225"/>
    <mergeCell ref="A226:B226"/>
    <mergeCell ref="D226:E226"/>
    <mergeCell ref="F226:G226"/>
    <mergeCell ref="H226:I226"/>
    <mergeCell ref="J226:K226"/>
    <mergeCell ref="A231:B231"/>
    <mergeCell ref="D231:E231"/>
    <mergeCell ref="F231:G231"/>
    <mergeCell ref="H231:I231"/>
    <mergeCell ref="J231:K231"/>
    <mergeCell ref="A232:B232"/>
    <mergeCell ref="D232:E232"/>
    <mergeCell ref="F232:G232"/>
    <mergeCell ref="H232:I232"/>
    <mergeCell ref="J232:K232"/>
    <mergeCell ref="A229:B229"/>
    <mergeCell ref="D229:E229"/>
    <mergeCell ref="F229:G229"/>
    <mergeCell ref="H229:I229"/>
    <mergeCell ref="J229:K229"/>
    <mergeCell ref="A230:B230"/>
    <mergeCell ref="D230:E230"/>
    <mergeCell ref="F230:G230"/>
    <mergeCell ref="H230:I230"/>
    <mergeCell ref="J230:K230"/>
    <mergeCell ref="A235:B235"/>
    <mergeCell ref="D235:E235"/>
    <mergeCell ref="F235:G235"/>
    <mergeCell ref="H235:I235"/>
    <mergeCell ref="J235:K235"/>
    <mergeCell ref="A236:B236"/>
    <mergeCell ref="D236:E236"/>
    <mergeCell ref="F236:G236"/>
    <mergeCell ref="H236:I236"/>
    <mergeCell ref="J236:K236"/>
    <mergeCell ref="A233:B233"/>
    <mergeCell ref="D233:E233"/>
    <mergeCell ref="F233:G233"/>
    <mergeCell ref="H233:I233"/>
    <mergeCell ref="J233:K233"/>
    <mergeCell ref="A234:B234"/>
    <mergeCell ref="D234:E234"/>
    <mergeCell ref="F234:G234"/>
    <mergeCell ref="H234:I234"/>
    <mergeCell ref="J234:K234"/>
    <mergeCell ref="A239:B239"/>
    <mergeCell ref="D239:E239"/>
    <mergeCell ref="F239:G239"/>
    <mergeCell ref="H239:I239"/>
    <mergeCell ref="J239:K239"/>
    <mergeCell ref="A240:B240"/>
    <mergeCell ref="D240:E240"/>
    <mergeCell ref="F240:G240"/>
    <mergeCell ref="H240:I240"/>
    <mergeCell ref="J240:K240"/>
    <mergeCell ref="A237:B237"/>
    <mergeCell ref="D237:E237"/>
    <mergeCell ref="F237:G237"/>
    <mergeCell ref="H237:I237"/>
    <mergeCell ref="J237:K237"/>
    <mergeCell ref="A238:B238"/>
    <mergeCell ref="D238:E238"/>
    <mergeCell ref="F238:G238"/>
    <mergeCell ref="H238:I238"/>
    <mergeCell ref="J238:K238"/>
    <mergeCell ref="A243:B243"/>
    <mergeCell ref="D243:E243"/>
    <mergeCell ref="F243:G243"/>
    <mergeCell ref="H243:I243"/>
    <mergeCell ref="J243:K243"/>
    <mergeCell ref="A244:B244"/>
    <mergeCell ref="D244:E244"/>
    <mergeCell ref="F244:G244"/>
    <mergeCell ref="H244:I244"/>
    <mergeCell ref="J244:K244"/>
    <mergeCell ref="A241:B241"/>
    <mergeCell ref="D241:E241"/>
    <mergeCell ref="F241:G241"/>
    <mergeCell ref="H241:I241"/>
    <mergeCell ref="J241:K241"/>
    <mergeCell ref="A242:B242"/>
    <mergeCell ref="D242:E242"/>
    <mergeCell ref="F242:G242"/>
    <mergeCell ref="H242:I242"/>
    <mergeCell ref="J242:K242"/>
    <mergeCell ref="A247:B247"/>
    <mergeCell ref="D247:E247"/>
    <mergeCell ref="F247:G247"/>
    <mergeCell ref="H247:I247"/>
    <mergeCell ref="J247:K247"/>
    <mergeCell ref="A248:B248"/>
    <mergeCell ref="D248:E248"/>
    <mergeCell ref="F248:G248"/>
    <mergeCell ref="H248:I248"/>
    <mergeCell ref="J248:K248"/>
    <mergeCell ref="A245:B245"/>
    <mergeCell ref="D245:E245"/>
    <mergeCell ref="F245:G245"/>
    <mergeCell ref="H245:I245"/>
    <mergeCell ref="J245:K245"/>
    <mergeCell ref="A246:B246"/>
    <mergeCell ref="D246:E246"/>
    <mergeCell ref="F246:G246"/>
    <mergeCell ref="H246:I246"/>
    <mergeCell ref="J246:K246"/>
    <mergeCell ref="A251:B251"/>
    <mergeCell ref="D251:E251"/>
    <mergeCell ref="F251:G251"/>
    <mergeCell ref="H251:I251"/>
    <mergeCell ref="J251:K251"/>
    <mergeCell ref="A252:B252"/>
    <mergeCell ref="D252:E252"/>
    <mergeCell ref="F252:G252"/>
    <mergeCell ref="H252:I252"/>
    <mergeCell ref="J252:K252"/>
    <mergeCell ref="A249:B249"/>
    <mergeCell ref="D249:E249"/>
    <mergeCell ref="F249:G249"/>
    <mergeCell ref="H249:I249"/>
    <mergeCell ref="J249:K249"/>
    <mergeCell ref="A250:B250"/>
    <mergeCell ref="D250:E250"/>
    <mergeCell ref="F250:G250"/>
    <mergeCell ref="H250:I250"/>
    <mergeCell ref="J250:K250"/>
    <mergeCell ref="A255:B255"/>
    <mergeCell ref="D255:E255"/>
    <mergeCell ref="F255:G255"/>
    <mergeCell ref="H255:I255"/>
    <mergeCell ref="J255:K255"/>
    <mergeCell ref="A256:B256"/>
    <mergeCell ref="D256:E256"/>
    <mergeCell ref="F256:G256"/>
    <mergeCell ref="H256:I256"/>
    <mergeCell ref="J256:K256"/>
    <mergeCell ref="A253:B253"/>
    <mergeCell ref="D253:E253"/>
    <mergeCell ref="F253:G253"/>
    <mergeCell ref="H253:I253"/>
    <mergeCell ref="J253:K253"/>
    <mergeCell ref="A254:B254"/>
    <mergeCell ref="D254:E254"/>
    <mergeCell ref="F254:G254"/>
    <mergeCell ref="H254:I254"/>
    <mergeCell ref="J254:K254"/>
    <mergeCell ref="A259:B259"/>
    <mergeCell ref="D259:E259"/>
    <mergeCell ref="F259:G259"/>
    <mergeCell ref="H259:I259"/>
    <mergeCell ref="J259:K259"/>
    <mergeCell ref="A260:B260"/>
    <mergeCell ref="D260:E260"/>
    <mergeCell ref="F260:G260"/>
    <mergeCell ref="H260:I260"/>
    <mergeCell ref="J260:K260"/>
    <mergeCell ref="A257:B257"/>
    <mergeCell ref="D257:E257"/>
    <mergeCell ref="F257:G257"/>
    <mergeCell ref="H257:I257"/>
    <mergeCell ref="J257:K257"/>
    <mergeCell ref="A258:B258"/>
    <mergeCell ref="D258:E258"/>
    <mergeCell ref="F258:G258"/>
    <mergeCell ref="H258:I258"/>
    <mergeCell ref="J258:K258"/>
    <mergeCell ref="A263:B263"/>
    <mergeCell ref="D263:E263"/>
    <mergeCell ref="F263:G263"/>
    <mergeCell ref="H263:I263"/>
    <mergeCell ref="J263:K263"/>
    <mergeCell ref="A264:B264"/>
    <mergeCell ref="D264:E264"/>
    <mergeCell ref="F264:G264"/>
    <mergeCell ref="H264:I264"/>
    <mergeCell ref="J264:K264"/>
    <mergeCell ref="A261:B261"/>
    <mergeCell ref="D261:E261"/>
    <mergeCell ref="F261:G261"/>
    <mergeCell ref="H261:I261"/>
    <mergeCell ref="J261:K261"/>
    <mergeCell ref="A262:B262"/>
    <mergeCell ref="D262:E262"/>
    <mergeCell ref="F262:G262"/>
    <mergeCell ref="H262:I262"/>
    <mergeCell ref="J262:K262"/>
    <mergeCell ref="A267:B267"/>
    <mergeCell ref="D267:E267"/>
    <mergeCell ref="F267:G267"/>
    <mergeCell ref="H267:I267"/>
    <mergeCell ref="J267:K267"/>
    <mergeCell ref="A268:B268"/>
    <mergeCell ref="D268:E268"/>
    <mergeCell ref="F268:G268"/>
    <mergeCell ref="H268:I268"/>
    <mergeCell ref="J268:K268"/>
    <mergeCell ref="A265:B265"/>
    <mergeCell ref="D265:E265"/>
    <mergeCell ref="F265:G265"/>
    <mergeCell ref="H265:I265"/>
    <mergeCell ref="J265:K265"/>
    <mergeCell ref="A266:B266"/>
    <mergeCell ref="D266:E266"/>
    <mergeCell ref="F266:G266"/>
    <mergeCell ref="H266:I266"/>
    <mergeCell ref="J266:K266"/>
    <mergeCell ref="A271:B271"/>
    <mergeCell ref="D271:E271"/>
    <mergeCell ref="F271:G271"/>
    <mergeCell ref="H271:I271"/>
    <mergeCell ref="J271:K271"/>
    <mergeCell ref="A272:B272"/>
    <mergeCell ref="D272:E272"/>
    <mergeCell ref="F272:G272"/>
    <mergeCell ref="H272:I272"/>
    <mergeCell ref="J272:K272"/>
    <mergeCell ref="A269:B269"/>
    <mergeCell ref="D269:E269"/>
    <mergeCell ref="F269:G269"/>
    <mergeCell ref="H269:I269"/>
    <mergeCell ref="J269:K269"/>
    <mergeCell ref="A270:B270"/>
    <mergeCell ref="D270:E270"/>
    <mergeCell ref="F270:G270"/>
    <mergeCell ref="H270:I270"/>
    <mergeCell ref="J270:K270"/>
    <mergeCell ref="A275:B275"/>
    <mergeCell ref="D275:E275"/>
    <mergeCell ref="F275:G275"/>
    <mergeCell ref="H275:I275"/>
    <mergeCell ref="J275:K275"/>
    <mergeCell ref="A276:B276"/>
    <mergeCell ref="D276:E276"/>
    <mergeCell ref="F276:G276"/>
    <mergeCell ref="H276:I276"/>
    <mergeCell ref="J276:K276"/>
    <mergeCell ref="A273:B273"/>
    <mergeCell ref="D273:E273"/>
    <mergeCell ref="F273:G273"/>
    <mergeCell ref="H273:I273"/>
    <mergeCell ref="J273:K273"/>
    <mergeCell ref="A274:B274"/>
    <mergeCell ref="D274:E274"/>
    <mergeCell ref="F274:G274"/>
    <mergeCell ref="H274:I274"/>
    <mergeCell ref="J274:K274"/>
    <mergeCell ref="A279:B279"/>
    <mergeCell ref="D279:E279"/>
    <mergeCell ref="F279:G279"/>
    <mergeCell ref="H279:I279"/>
    <mergeCell ref="J279:K279"/>
    <mergeCell ref="A280:B280"/>
    <mergeCell ref="D280:E280"/>
    <mergeCell ref="F280:G280"/>
    <mergeCell ref="H280:I280"/>
    <mergeCell ref="J280:K280"/>
    <mergeCell ref="A277:B277"/>
    <mergeCell ref="D277:E277"/>
    <mergeCell ref="F277:G277"/>
    <mergeCell ref="H277:I277"/>
    <mergeCell ref="J277:K277"/>
    <mergeCell ref="A278:B278"/>
    <mergeCell ref="D278:E278"/>
    <mergeCell ref="F278:G278"/>
    <mergeCell ref="H278:I278"/>
    <mergeCell ref="J278:K278"/>
    <mergeCell ref="A283:B283"/>
    <mergeCell ref="D283:E283"/>
    <mergeCell ref="F283:G283"/>
    <mergeCell ref="H283:I283"/>
    <mergeCell ref="J283:K283"/>
    <mergeCell ref="A284:B284"/>
    <mergeCell ref="D284:E284"/>
    <mergeCell ref="F284:G284"/>
    <mergeCell ref="H284:I284"/>
    <mergeCell ref="J284:K284"/>
    <mergeCell ref="A281:B281"/>
    <mergeCell ref="D281:E281"/>
    <mergeCell ref="F281:G281"/>
    <mergeCell ref="H281:I281"/>
    <mergeCell ref="J281:K281"/>
    <mergeCell ref="A282:B282"/>
    <mergeCell ref="D282:E282"/>
    <mergeCell ref="F282:G282"/>
    <mergeCell ref="H282:I282"/>
    <mergeCell ref="J282:K282"/>
    <mergeCell ref="A287:B287"/>
    <mergeCell ref="D287:E287"/>
    <mergeCell ref="F287:G287"/>
    <mergeCell ref="H287:I287"/>
    <mergeCell ref="J287:K287"/>
    <mergeCell ref="A288:B288"/>
    <mergeCell ref="D288:E288"/>
    <mergeCell ref="F288:G288"/>
    <mergeCell ref="H288:I288"/>
    <mergeCell ref="J288:K288"/>
    <mergeCell ref="A285:B285"/>
    <mergeCell ref="D285:E285"/>
    <mergeCell ref="F285:G285"/>
    <mergeCell ref="H285:I285"/>
    <mergeCell ref="J285:K285"/>
    <mergeCell ref="A286:B286"/>
    <mergeCell ref="D286:E286"/>
    <mergeCell ref="F286:G286"/>
    <mergeCell ref="H286:I286"/>
    <mergeCell ref="J286:K286"/>
    <mergeCell ref="A291:B291"/>
    <mergeCell ref="D291:E291"/>
    <mergeCell ref="F291:G291"/>
    <mergeCell ref="H291:I291"/>
    <mergeCell ref="J291:K291"/>
    <mergeCell ref="A292:B292"/>
    <mergeCell ref="D292:E292"/>
    <mergeCell ref="F292:G292"/>
    <mergeCell ref="H292:I292"/>
    <mergeCell ref="J292:K292"/>
    <mergeCell ref="A289:B289"/>
    <mergeCell ref="D289:E289"/>
    <mergeCell ref="F289:G289"/>
    <mergeCell ref="H289:I289"/>
    <mergeCell ref="J289:K289"/>
    <mergeCell ref="A290:B290"/>
    <mergeCell ref="D290:E290"/>
    <mergeCell ref="F290:G290"/>
    <mergeCell ref="H290:I290"/>
    <mergeCell ref="J290:K290"/>
    <mergeCell ref="A295:B295"/>
    <mergeCell ref="D295:E295"/>
    <mergeCell ref="F295:G295"/>
    <mergeCell ref="H295:I295"/>
    <mergeCell ref="J295:K295"/>
    <mergeCell ref="A296:B296"/>
    <mergeCell ref="D296:E296"/>
    <mergeCell ref="F296:G296"/>
    <mergeCell ref="H296:I296"/>
    <mergeCell ref="J296:K296"/>
    <mergeCell ref="A293:B293"/>
    <mergeCell ref="D293:E293"/>
    <mergeCell ref="F293:G293"/>
    <mergeCell ref="H293:I293"/>
    <mergeCell ref="J293:K293"/>
    <mergeCell ref="A294:B294"/>
    <mergeCell ref="D294:E294"/>
    <mergeCell ref="F294:G294"/>
    <mergeCell ref="H294:I294"/>
    <mergeCell ref="J294:K294"/>
    <mergeCell ref="A299:B299"/>
    <mergeCell ref="D299:E299"/>
    <mergeCell ref="F299:G299"/>
    <mergeCell ref="H299:I299"/>
    <mergeCell ref="J299:K299"/>
    <mergeCell ref="A300:B300"/>
    <mergeCell ref="D300:E300"/>
    <mergeCell ref="F300:G300"/>
    <mergeCell ref="H300:I300"/>
    <mergeCell ref="J300:K300"/>
    <mergeCell ref="A297:B297"/>
    <mergeCell ref="D297:E297"/>
    <mergeCell ref="F297:G297"/>
    <mergeCell ref="H297:I297"/>
    <mergeCell ref="J297:K297"/>
    <mergeCell ref="A298:B298"/>
    <mergeCell ref="D298:E298"/>
    <mergeCell ref="F298:G298"/>
    <mergeCell ref="H298:I298"/>
    <mergeCell ref="J298:K298"/>
    <mergeCell ref="A303:B303"/>
    <mergeCell ref="D303:E303"/>
    <mergeCell ref="F303:G303"/>
    <mergeCell ref="H303:I303"/>
    <mergeCell ref="J303:K303"/>
    <mergeCell ref="A304:B304"/>
    <mergeCell ref="D304:E304"/>
    <mergeCell ref="F304:G304"/>
    <mergeCell ref="H304:I304"/>
    <mergeCell ref="J304:K304"/>
    <mergeCell ref="A301:B301"/>
    <mergeCell ref="D301:E301"/>
    <mergeCell ref="F301:G301"/>
    <mergeCell ref="H301:I301"/>
    <mergeCell ref="J301:K301"/>
    <mergeCell ref="A302:B302"/>
    <mergeCell ref="D302:E302"/>
    <mergeCell ref="F302:G302"/>
    <mergeCell ref="H302:I302"/>
    <mergeCell ref="J302:K302"/>
    <mergeCell ref="A307:B307"/>
    <mergeCell ref="D307:E307"/>
    <mergeCell ref="F307:G307"/>
    <mergeCell ref="H307:I307"/>
    <mergeCell ref="J307:K307"/>
    <mergeCell ref="A308:B308"/>
    <mergeCell ref="D308:E308"/>
    <mergeCell ref="F308:G308"/>
    <mergeCell ref="H308:I308"/>
    <mergeCell ref="J308:K308"/>
    <mergeCell ref="A305:B305"/>
    <mergeCell ref="D305:E305"/>
    <mergeCell ref="F305:G305"/>
    <mergeCell ref="H305:I305"/>
    <mergeCell ref="J305:K305"/>
    <mergeCell ref="A306:B306"/>
    <mergeCell ref="D306:E306"/>
    <mergeCell ref="F306:G306"/>
    <mergeCell ref="H306:I306"/>
    <mergeCell ref="J306:K306"/>
    <mergeCell ref="A311:B311"/>
    <mergeCell ref="D311:E311"/>
    <mergeCell ref="F311:G311"/>
    <mergeCell ref="H311:I311"/>
    <mergeCell ref="J311:K311"/>
    <mergeCell ref="A312:B312"/>
    <mergeCell ref="D312:E312"/>
    <mergeCell ref="F312:G312"/>
    <mergeCell ref="H312:I312"/>
    <mergeCell ref="J312:K312"/>
    <mergeCell ref="A309:B309"/>
    <mergeCell ref="D309:E309"/>
    <mergeCell ref="F309:G309"/>
    <mergeCell ref="H309:I309"/>
    <mergeCell ref="J309:K309"/>
    <mergeCell ref="A310:B310"/>
    <mergeCell ref="D310:E310"/>
    <mergeCell ref="F310:G310"/>
    <mergeCell ref="H310:I310"/>
    <mergeCell ref="J310:K310"/>
    <mergeCell ref="A315:B315"/>
    <mergeCell ref="D315:E315"/>
    <mergeCell ref="F315:G315"/>
    <mergeCell ref="H315:I315"/>
    <mergeCell ref="J315:K315"/>
    <mergeCell ref="A316:B316"/>
    <mergeCell ref="D316:E316"/>
    <mergeCell ref="F316:G316"/>
    <mergeCell ref="H316:I316"/>
    <mergeCell ref="J316:K316"/>
    <mergeCell ref="A313:B313"/>
    <mergeCell ref="D313:E313"/>
    <mergeCell ref="F313:G313"/>
    <mergeCell ref="H313:I313"/>
    <mergeCell ref="J313:K313"/>
    <mergeCell ref="A314:B314"/>
    <mergeCell ref="D314:E314"/>
    <mergeCell ref="F314:G314"/>
    <mergeCell ref="H314:I314"/>
    <mergeCell ref="J314:K314"/>
    <mergeCell ref="A319:B319"/>
    <mergeCell ref="D319:E319"/>
    <mergeCell ref="F319:G319"/>
    <mergeCell ref="H319:I319"/>
    <mergeCell ref="J319:K319"/>
    <mergeCell ref="A320:B320"/>
    <mergeCell ref="D320:E320"/>
    <mergeCell ref="F320:G320"/>
    <mergeCell ref="H320:I320"/>
    <mergeCell ref="J320:K320"/>
    <mergeCell ref="A317:B317"/>
    <mergeCell ref="D317:E317"/>
    <mergeCell ref="F317:G317"/>
    <mergeCell ref="H317:I317"/>
    <mergeCell ref="J317:K317"/>
    <mergeCell ref="A318:B318"/>
    <mergeCell ref="D318:E318"/>
    <mergeCell ref="F318:G318"/>
    <mergeCell ref="H318:I318"/>
    <mergeCell ref="J318:K318"/>
    <mergeCell ref="A323:B323"/>
    <mergeCell ref="D323:E323"/>
    <mergeCell ref="F323:G323"/>
    <mergeCell ref="H323:I323"/>
    <mergeCell ref="J323:K323"/>
    <mergeCell ref="A324:B324"/>
    <mergeCell ref="D324:E324"/>
    <mergeCell ref="F324:G324"/>
    <mergeCell ref="H324:I324"/>
    <mergeCell ref="J324:K324"/>
    <mergeCell ref="A321:B321"/>
    <mergeCell ref="D321:E321"/>
    <mergeCell ref="F321:G321"/>
    <mergeCell ref="H321:I321"/>
    <mergeCell ref="J321:K321"/>
    <mergeCell ref="A322:B322"/>
    <mergeCell ref="D322:E322"/>
    <mergeCell ref="F322:G322"/>
    <mergeCell ref="H322:I322"/>
    <mergeCell ref="J322:K322"/>
    <mergeCell ref="A327:B327"/>
    <mergeCell ref="D327:E327"/>
    <mergeCell ref="F327:G327"/>
    <mergeCell ref="H327:I327"/>
    <mergeCell ref="J327:K327"/>
    <mergeCell ref="A328:B328"/>
    <mergeCell ref="D328:E328"/>
    <mergeCell ref="F328:G328"/>
    <mergeCell ref="H328:I328"/>
    <mergeCell ref="J328:K328"/>
    <mergeCell ref="A325:B325"/>
    <mergeCell ref="D325:E325"/>
    <mergeCell ref="F325:G325"/>
    <mergeCell ref="H325:I325"/>
    <mergeCell ref="J325:K325"/>
    <mergeCell ref="A326:B326"/>
    <mergeCell ref="D326:E326"/>
    <mergeCell ref="F326:G326"/>
    <mergeCell ref="H326:I326"/>
    <mergeCell ref="J326:K326"/>
    <mergeCell ref="A331:B331"/>
    <mergeCell ref="D331:E331"/>
    <mergeCell ref="F331:G331"/>
    <mergeCell ref="H331:I331"/>
    <mergeCell ref="J331:K331"/>
    <mergeCell ref="A332:B332"/>
    <mergeCell ref="D332:E332"/>
    <mergeCell ref="F332:G332"/>
    <mergeCell ref="H332:I332"/>
    <mergeCell ref="J332:K332"/>
    <mergeCell ref="A329:B329"/>
    <mergeCell ref="D329:E329"/>
    <mergeCell ref="F329:G329"/>
    <mergeCell ref="H329:I329"/>
    <mergeCell ref="J329:K329"/>
    <mergeCell ref="A330:B330"/>
    <mergeCell ref="D330:E330"/>
    <mergeCell ref="F330:G330"/>
    <mergeCell ref="H330:I330"/>
    <mergeCell ref="J330:K330"/>
    <mergeCell ref="A335:B335"/>
    <mergeCell ref="D335:E335"/>
    <mergeCell ref="F335:G335"/>
    <mergeCell ref="H335:I335"/>
    <mergeCell ref="J335:K335"/>
    <mergeCell ref="A336:B336"/>
    <mergeCell ref="D336:E336"/>
    <mergeCell ref="F336:G336"/>
    <mergeCell ref="H336:I336"/>
    <mergeCell ref="J336:K336"/>
    <mergeCell ref="A333:B333"/>
    <mergeCell ref="D333:E333"/>
    <mergeCell ref="F333:G333"/>
    <mergeCell ref="H333:I333"/>
    <mergeCell ref="J333:K333"/>
    <mergeCell ref="A334:B334"/>
    <mergeCell ref="D334:E334"/>
    <mergeCell ref="F334:G334"/>
    <mergeCell ref="H334:I334"/>
    <mergeCell ref="J334:K334"/>
    <mergeCell ref="A339:B339"/>
    <mergeCell ref="D339:E339"/>
    <mergeCell ref="F339:G339"/>
    <mergeCell ref="H339:I339"/>
    <mergeCell ref="J339:K339"/>
    <mergeCell ref="A340:B340"/>
    <mergeCell ref="D340:E340"/>
    <mergeCell ref="F340:G340"/>
    <mergeCell ref="H340:I340"/>
    <mergeCell ref="J340:K340"/>
    <mergeCell ref="A337:B337"/>
    <mergeCell ref="D337:E337"/>
    <mergeCell ref="F337:G337"/>
    <mergeCell ref="H337:I337"/>
    <mergeCell ref="J337:K337"/>
    <mergeCell ref="A338:B338"/>
    <mergeCell ref="D338:E338"/>
    <mergeCell ref="F338:G338"/>
    <mergeCell ref="H338:I338"/>
    <mergeCell ref="J338:K338"/>
    <mergeCell ref="A343:B343"/>
    <mergeCell ref="D343:E343"/>
    <mergeCell ref="F343:G343"/>
    <mergeCell ref="H343:I343"/>
    <mergeCell ref="J343:K343"/>
    <mergeCell ref="A344:B344"/>
    <mergeCell ref="D344:E344"/>
    <mergeCell ref="F344:G344"/>
    <mergeCell ref="H344:I344"/>
    <mergeCell ref="J344:K344"/>
    <mergeCell ref="A341:B341"/>
    <mergeCell ref="D341:E341"/>
    <mergeCell ref="F341:G341"/>
    <mergeCell ref="H341:I341"/>
    <mergeCell ref="J341:K341"/>
    <mergeCell ref="A342:B342"/>
    <mergeCell ref="D342:E342"/>
    <mergeCell ref="F342:G342"/>
    <mergeCell ref="H342:I342"/>
    <mergeCell ref="J342:K342"/>
    <mergeCell ref="A347:B347"/>
    <mergeCell ref="D347:E347"/>
    <mergeCell ref="F347:G347"/>
    <mergeCell ref="H347:I347"/>
    <mergeCell ref="J347:K347"/>
    <mergeCell ref="A348:B348"/>
    <mergeCell ref="D348:E348"/>
    <mergeCell ref="F348:G348"/>
    <mergeCell ref="H348:I348"/>
    <mergeCell ref="J348:K348"/>
    <mergeCell ref="A345:B345"/>
    <mergeCell ref="D345:E345"/>
    <mergeCell ref="F345:G345"/>
    <mergeCell ref="H345:I345"/>
    <mergeCell ref="J345:K345"/>
    <mergeCell ref="A346:B346"/>
    <mergeCell ref="D346:E346"/>
    <mergeCell ref="F346:G346"/>
    <mergeCell ref="H346:I346"/>
    <mergeCell ref="J346:K346"/>
    <mergeCell ref="A351:B351"/>
    <mergeCell ref="D351:E351"/>
    <mergeCell ref="F351:G351"/>
    <mergeCell ref="H351:I351"/>
    <mergeCell ref="J351:K351"/>
    <mergeCell ref="A352:B352"/>
    <mergeCell ref="D352:E352"/>
    <mergeCell ref="F352:G352"/>
    <mergeCell ref="H352:I352"/>
    <mergeCell ref="J352:K352"/>
    <mergeCell ref="A349:B349"/>
    <mergeCell ref="D349:E349"/>
    <mergeCell ref="F349:G349"/>
    <mergeCell ref="H349:I349"/>
    <mergeCell ref="J349:K349"/>
    <mergeCell ref="A350:B350"/>
    <mergeCell ref="D350:E350"/>
    <mergeCell ref="F350:G350"/>
    <mergeCell ref="H350:I350"/>
    <mergeCell ref="J350:K350"/>
    <mergeCell ref="A355:B355"/>
    <mergeCell ref="D355:E355"/>
    <mergeCell ref="F355:G355"/>
    <mergeCell ref="H355:I355"/>
    <mergeCell ref="J355:K355"/>
    <mergeCell ref="A356:B356"/>
    <mergeCell ref="D356:E356"/>
    <mergeCell ref="F356:G356"/>
    <mergeCell ref="H356:I356"/>
    <mergeCell ref="J356:K356"/>
    <mergeCell ref="A353:B353"/>
    <mergeCell ref="D353:E353"/>
    <mergeCell ref="F353:G353"/>
    <mergeCell ref="H353:I353"/>
    <mergeCell ref="J353:K353"/>
    <mergeCell ref="A354:B354"/>
    <mergeCell ref="D354:E354"/>
    <mergeCell ref="F354:G354"/>
    <mergeCell ref="H354:I354"/>
    <mergeCell ref="J354:K354"/>
    <mergeCell ref="A359:B359"/>
    <mergeCell ref="D359:E359"/>
    <mergeCell ref="F359:G359"/>
    <mergeCell ref="H359:I359"/>
    <mergeCell ref="J359:K359"/>
    <mergeCell ref="A360:B360"/>
    <mergeCell ref="D360:E360"/>
    <mergeCell ref="F360:G360"/>
    <mergeCell ref="H360:I360"/>
    <mergeCell ref="J360:K360"/>
    <mergeCell ref="A357:B357"/>
    <mergeCell ref="D357:E357"/>
    <mergeCell ref="F357:G357"/>
    <mergeCell ref="H357:I357"/>
    <mergeCell ref="J357:K357"/>
    <mergeCell ref="A358:B358"/>
    <mergeCell ref="D358:E358"/>
    <mergeCell ref="F358:G358"/>
    <mergeCell ref="H358:I358"/>
    <mergeCell ref="J358:K358"/>
    <mergeCell ref="A363:B363"/>
    <mergeCell ref="D363:E363"/>
    <mergeCell ref="F363:G363"/>
    <mergeCell ref="H363:I363"/>
    <mergeCell ref="J363:K363"/>
    <mergeCell ref="A364:B364"/>
    <mergeCell ref="D364:E364"/>
    <mergeCell ref="F364:G364"/>
    <mergeCell ref="H364:I364"/>
    <mergeCell ref="J364:K364"/>
    <mergeCell ref="A361:B361"/>
    <mergeCell ref="D361:E361"/>
    <mergeCell ref="F361:G361"/>
    <mergeCell ref="H361:I361"/>
    <mergeCell ref="J361:K361"/>
    <mergeCell ref="A362:B362"/>
    <mergeCell ref="D362:E362"/>
    <mergeCell ref="F362:G362"/>
    <mergeCell ref="H362:I362"/>
    <mergeCell ref="J362:K362"/>
    <mergeCell ref="A367:B367"/>
    <mergeCell ref="D367:E367"/>
    <mergeCell ref="F367:G367"/>
    <mergeCell ref="H367:I367"/>
    <mergeCell ref="J367:K367"/>
    <mergeCell ref="A368:B368"/>
    <mergeCell ref="D368:E368"/>
    <mergeCell ref="F368:G368"/>
    <mergeCell ref="H368:I368"/>
    <mergeCell ref="J368:K368"/>
    <mergeCell ref="A365:B365"/>
    <mergeCell ref="D365:E365"/>
    <mergeCell ref="F365:G365"/>
    <mergeCell ref="H365:I365"/>
    <mergeCell ref="J365:K365"/>
    <mergeCell ref="A366:B366"/>
    <mergeCell ref="D366:E366"/>
    <mergeCell ref="F366:G366"/>
    <mergeCell ref="H366:I366"/>
    <mergeCell ref="J366:K366"/>
    <mergeCell ref="A371:B371"/>
    <mergeCell ref="D371:E371"/>
    <mergeCell ref="F371:G371"/>
    <mergeCell ref="H371:I371"/>
    <mergeCell ref="J371:K371"/>
    <mergeCell ref="A372:B372"/>
    <mergeCell ref="D372:E372"/>
    <mergeCell ref="F372:G372"/>
    <mergeCell ref="H372:I372"/>
    <mergeCell ref="J372:K372"/>
    <mergeCell ref="A369:B369"/>
    <mergeCell ref="D369:E369"/>
    <mergeCell ref="F369:G369"/>
    <mergeCell ref="H369:I369"/>
    <mergeCell ref="J369:K369"/>
    <mergeCell ref="A370:B370"/>
    <mergeCell ref="D370:E370"/>
    <mergeCell ref="F370:G370"/>
    <mergeCell ref="H370:I370"/>
    <mergeCell ref="J370:K370"/>
    <mergeCell ref="A375:B375"/>
    <mergeCell ref="D375:E375"/>
    <mergeCell ref="F375:G375"/>
    <mergeCell ref="H375:I375"/>
    <mergeCell ref="J375:K375"/>
    <mergeCell ref="A376:B376"/>
    <mergeCell ref="D376:E376"/>
    <mergeCell ref="F376:G376"/>
    <mergeCell ref="H376:I376"/>
    <mergeCell ref="J376:K376"/>
    <mergeCell ref="A373:B373"/>
    <mergeCell ref="D373:E373"/>
    <mergeCell ref="F373:G373"/>
    <mergeCell ref="H373:I373"/>
    <mergeCell ref="J373:K373"/>
    <mergeCell ref="A374:B374"/>
    <mergeCell ref="D374:E374"/>
    <mergeCell ref="F374:G374"/>
    <mergeCell ref="H374:I374"/>
    <mergeCell ref="J374:K374"/>
    <mergeCell ref="A379:B379"/>
    <mergeCell ref="D379:E379"/>
    <mergeCell ref="F379:G379"/>
    <mergeCell ref="H379:I379"/>
    <mergeCell ref="J379:K379"/>
    <mergeCell ref="A380:B380"/>
    <mergeCell ref="D380:E380"/>
    <mergeCell ref="F380:G380"/>
    <mergeCell ref="H380:I380"/>
    <mergeCell ref="J380:K380"/>
    <mergeCell ref="A377:B377"/>
    <mergeCell ref="D377:E377"/>
    <mergeCell ref="F377:G377"/>
    <mergeCell ref="H377:I377"/>
    <mergeCell ref="J377:K377"/>
    <mergeCell ref="A378:B378"/>
    <mergeCell ref="D378:E378"/>
    <mergeCell ref="F378:G378"/>
    <mergeCell ref="H378:I378"/>
    <mergeCell ref="J378:K378"/>
    <mergeCell ref="A383:B383"/>
    <mergeCell ref="D383:E383"/>
    <mergeCell ref="F383:G383"/>
    <mergeCell ref="H383:I383"/>
    <mergeCell ref="J383:K383"/>
    <mergeCell ref="A384:B384"/>
    <mergeCell ref="D384:E384"/>
    <mergeCell ref="F384:G384"/>
    <mergeCell ref="H384:I384"/>
    <mergeCell ref="J384:K384"/>
    <mergeCell ref="A381:B381"/>
    <mergeCell ref="D381:E381"/>
    <mergeCell ref="F381:G381"/>
    <mergeCell ref="H381:I381"/>
    <mergeCell ref="J381:K381"/>
    <mergeCell ref="A382:B382"/>
    <mergeCell ref="D382:E382"/>
    <mergeCell ref="F382:G382"/>
    <mergeCell ref="H382:I382"/>
    <mergeCell ref="J382:K382"/>
    <mergeCell ref="A387:B387"/>
    <mergeCell ref="D387:E387"/>
    <mergeCell ref="F387:G387"/>
    <mergeCell ref="H387:I387"/>
    <mergeCell ref="J387:K387"/>
    <mergeCell ref="A388:B388"/>
    <mergeCell ref="D388:E388"/>
    <mergeCell ref="F388:G388"/>
    <mergeCell ref="H388:I388"/>
    <mergeCell ref="J388:K388"/>
    <mergeCell ref="A385:B385"/>
    <mergeCell ref="D385:E385"/>
    <mergeCell ref="F385:G385"/>
    <mergeCell ref="H385:I385"/>
    <mergeCell ref="J385:K385"/>
    <mergeCell ref="A386:B386"/>
    <mergeCell ref="D386:E386"/>
    <mergeCell ref="F386:G386"/>
    <mergeCell ref="H386:I386"/>
    <mergeCell ref="J386:K386"/>
    <mergeCell ref="A391:B391"/>
    <mergeCell ref="D391:E391"/>
    <mergeCell ref="F391:G391"/>
    <mergeCell ref="H391:I391"/>
    <mergeCell ref="J391:K391"/>
    <mergeCell ref="A392:B392"/>
    <mergeCell ref="D392:E392"/>
    <mergeCell ref="F392:G392"/>
    <mergeCell ref="H392:I392"/>
    <mergeCell ref="J392:K392"/>
    <mergeCell ref="A389:B389"/>
    <mergeCell ref="D389:E389"/>
    <mergeCell ref="F389:G389"/>
    <mergeCell ref="H389:I389"/>
    <mergeCell ref="J389:K389"/>
    <mergeCell ref="A390:B390"/>
    <mergeCell ref="D390:E390"/>
    <mergeCell ref="F390:G390"/>
    <mergeCell ref="H390:I390"/>
    <mergeCell ref="J390:K390"/>
    <mergeCell ref="A395:B395"/>
    <mergeCell ref="D395:E395"/>
    <mergeCell ref="F395:G395"/>
    <mergeCell ref="H395:I395"/>
    <mergeCell ref="J395:K395"/>
    <mergeCell ref="A396:B396"/>
    <mergeCell ref="D396:E396"/>
    <mergeCell ref="F396:G396"/>
    <mergeCell ref="H396:I396"/>
    <mergeCell ref="J396:K396"/>
    <mergeCell ref="A393:B393"/>
    <mergeCell ref="D393:E393"/>
    <mergeCell ref="F393:G393"/>
    <mergeCell ref="H393:I393"/>
    <mergeCell ref="J393:K393"/>
    <mergeCell ref="A394:B394"/>
    <mergeCell ref="D394:E394"/>
    <mergeCell ref="F394:G394"/>
    <mergeCell ref="H394:I394"/>
    <mergeCell ref="J394:K394"/>
    <mergeCell ref="A399:B399"/>
    <mergeCell ref="D399:E399"/>
    <mergeCell ref="F399:G399"/>
    <mergeCell ref="H399:I399"/>
    <mergeCell ref="J399:K399"/>
    <mergeCell ref="A400:B400"/>
    <mergeCell ref="D400:E400"/>
    <mergeCell ref="F400:G400"/>
    <mergeCell ref="H400:I400"/>
    <mergeCell ref="J400:K400"/>
    <mergeCell ref="A397:B397"/>
    <mergeCell ref="D397:E397"/>
    <mergeCell ref="F397:G397"/>
    <mergeCell ref="H397:I397"/>
    <mergeCell ref="J397:K397"/>
    <mergeCell ref="A398:B398"/>
    <mergeCell ref="D398:E398"/>
    <mergeCell ref="F398:G398"/>
    <mergeCell ref="H398:I398"/>
    <mergeCell ref="J398:K398"/>
    <mergeCell ref="A403:B403"/>
    <mergeCell ref="D403:E403"/>
    <mergeCell ref="F403:G403"/>
    <mergeCell ref="H403:I403"/>
    <mergeCell ref="J403:K403"/>
    <mergeCell ref="A404:B404"/>
    <mergeCell ref="D404:E404"/>
    <mergeCell ref="F404:G404"/>
    <mergeCell ref="H404:I404"/>
    <mergeCell ref="J404:K404"/>
    <mergeCell ref="A401:B401"/>
    <mergeCell ref="D401:E401"/>
    <mergeCell ref="F401:G401"/>
    <mergeCell ref="H401:I401"/>
    <mergeCell ref="J401:K401"/>
    <mergeCell ref="A402:B402"/>
    <mergeCell ref="D402:E402"/>
    <mergeCell ref="F402:G402"/>
    <mergeCell ref="H402:I402"/>
    <mergeCell ref="J402:K402"/>
    <mergeCell ref="A407:B407"/>
    <mergeCell ref="D407:E407"/>
    <mergeCell ref="F407:G407"/>
    <mergeCell ref="H407:I407"/>
    <mergeCell ref="J407:K407"/>
    <mergeCell ref="A408:B408"/>
    <mergeCell ref="D408:E408"/>
    <mergeCell ref="F408:G408"/>
    <mergeCell ref="H408:I408"/>
    <mergeCell ref="J408:K408"/>
    <mergeCell ref="A405:B405"/>
    <mergeCell ref="D405:E405"/>
    <mergeCell ref="F405:G405"/>
    <mergeCell ref="H405:I405"/>
    <mergeCell ref="J405:K405"/>
    <mergeCell ref="A406:B406"/>
    <mergeCell ref="D406:E406"/>
    <mergeCell ref="F406:G406"/>
    <mergeCell ref="H406:I406"/>
    <mergeCell ref="J406:K406"/>
    <mergeCell ref="A411:B411"/>
    <mergeCell ref="D411:E411"/>
    <mergeCell ref="F411:G411"/>
    <mergeCell ref="H411:I411"/>
    <mergeCell ref="J411:K411"/>
    <mergeCell ref="A412:B412"/>
    <mergeCell ref="D412:E412"/>
    <mergeCell ref="F412:G412"/>
    <mergeCell ref="H412:I412"/>
    <mergeCell ref="J412:K412"/>
    <mergeCell ref="A409:B409"/>
    <mergeCell ref="D409:E409"/>
    <mergeCell ref="F409:G409"/>
    <mergeCell ref="H409:I409"/>
    <mergeCell ref="J409:K409"/>
    <mergeCell ref="A410:B410"/>
    <mergeCell ref="D410:E410"/>
    <mergeCell ref="F410:G410"/>
    <mergeCell ref="H410:I410"/>
    <mergeCell ref="J410:K410"/>
    <mergeCell ref="A415:B415"/>
    <mergeCell ref="D415:E415"/>
    <mergeCell ref="F415:G415"/>
    <mergeCell ref="H415:I415"/>
    <mergeCell ref="J415:K415"/>
    <mergeCell ref="A416:B416"/>
    <mergeCell ref="D416:E416"/>
    <mergeCell ref="F416:G416"/>
    <mergeCell ref="H416:I416"/>
    <mergeCell ref="J416:K416"/>
    <mergeCell ref="A413:B413"/>
    <mergeCell ref="D413:E413"/>
    <mergeCell ref="F413:G413"/>
    <mergeCell ref="H413:I413"/>
    <mergeCell ref="J413:K413"/>
    <mergeCell ref="A414:B414"/>
    <mergeCell ref="D414:E414"/>
    <mergeCell ref="F414:G414"/>
    <mergeCell ref="H414:I414"/>
    <mergeCell ref="J414:K414"/>
    <mergeCell ref="A419:B419"/>
    <mergeCell ref="D419:E419"/>
    <mergeCell ref="F419:G419"/>
    <mergeCell ref="H419:I419"/>
    <mergeCell ref="J419:K419"/>
    <mergeCell ref="A420:B420"/>
    <mergeCell ref="D420:E420"/>
    <mergeCell ref="F420:G420"/>
    <mergeCell ref="H420:I420"/>
    <mergeCell ref="J420:K420"/>
    <mergeCell ref="A417:B417"/>
    <mergeCell ref="D417:E417"/>
    <mergeCell ref="F417:G417"/>
    <mergeCell ref="H417:I417"/>
    <mergeCell ref="J417:K417"/>
    <mergeCell ref="A418:B418"/>
    <mergeCell ref="D418:E418"/>
    <mergeCell ref="F418:G418"/>
    <mergeCell ref="H418:I418"/>
    <mergeCell ref="J418:K418"/>
    <mergeCell ref="A423:B423"/>
    <mergeCell ref="D423:E423"/>
    <mergeCell ref="F423:G423"/>
    <mergeCell ref="H423:I423"/>
    <mergeCell ref="J423:K423"/>
    <mergeCell ref="A424:B424"/>
    <mergeCell ref="D424:E424"/>
    <mergeCell ref="F424:G424"/>
    <mergeCell ref="H424:I424"/>
    <mergeCell ref="J424:K424"/>
    <mergeCell ref="A421:B421"/>
    <mergeCell ref="D421:E421"/>
    <mergeCell ref="F421:G421"/>
    <mergeCell ref="H421:I421"/>
    <mergeCell ref="J421:K421"/>
    <mergeCell ref="A422:B422"/>
    <mergeCell ref="D422:E422"/>
    <mergeCell ref="F422:G422"/>
    <mergeCell ref="H422:I422"/>
    <mergeCell ref="J422:K422"/>
    <mergeCell ref="A429:B429"/>
    <mergeCell ref="D429:E429"/>
    <mergeCell ref="F429:G429"/>
    <mergeCell ref="H429:I429"/>
    <mergeCell ref="J429:K429"/>
    <mergeCell ref="J430:K430"/>
    <mergeCell ref="A427:B427"/>
    <mergeCell ref="D427:E427"/>
    <mergeCell ref="F427:G427"/>
    <mergeCell ref="H427:I427"/>
    <mergeCell ref="J427:K427"/>
    <mergeCell ref="A428:B428"/>
    <mergeCell ref="D428:E428"/>
    <mergeCell ref="F428:G428"/>
    <mergeCell ref="H428:I428"/>
    <mergeCell ref="J428:K428"/>
    <mergeCell ref="A425:B425"/>
    <mergeCell ref="D425:E425"/>
    <mergeCell ref="F425:G425"/>
    <mergeCell ref="H425:I425"/>
    <mergeCell ref="J425:K425"/>
    <mergeCell ref="A426:B426"/>
    <mergeCell ref="D426:E426"/>
    <mergeCell ref="F426:G426"/>
    <mergeCell ref="H426:I426"/>
    <mergeCell ref="J426:K426"/>
  </mergeCells>
  <phoneticPr fontId="134" type="noConversion"/>
  <conditionalFormatting sqref="C1">
    <cfRule type="duplicateValues" dxfId="144" priority="3"/>
    <cfRule type="duplicateValues" dxfId="143" priority="4"/>
  </conditionalFormatting>
  <conditionalFormatting sqref="C2:C429">
    <cfRule type="duplicateValues" dxfId="142" priority="1"/>
    <cfRule type="duplicateValues" dxfId="141" priority="2"/>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173"/>
  <sheetViews>
    <sheetView topLeftCell="A142" workbookViewId="0">
      <selection activeCell="N163" sqref="N163"/>
    </sheetView>
  </sheetViews>
  <sheetFormatPr defaultRowHeight="13.5"/>
  <cols>
    <col min="1" max="1" width="5.25" customWidth="1"/>
    <col min="2" max="2" width="20.5" bestFit="1" customWidth="1"/>
    <col min="3" max="4" width="7.125" bestFit="1" customWidth="1"/>
    <col min="7" max="7" width="10.5" bestFit="1" customWidth="1"/>
    <col min="8" max="8" width="9.625" customWidth="1"/>
  </cols>
  <sheetData>
    <row r="1" spans="1:8" ht="27">
      <c r="A1" s="3219" t="s">
        <v>3433</v>
      </c>
      <c r="B1" s="3220" t="s">
        <v>3434</v>
      </c>
      <c r="C1" s="3220" t="s">
        <v>3438</v>
      </c>
      <c r="D1" s="3220" t="s">
        <v>5927</v>
      </c>
      <c r="E1" s="3220" t="s">
        <v>5928</v>
      </c>
      <c r="F1" s="3220" t="s">
        <v>3440</v>
      </c>
      <c r="G1" s="3221" t="s">
        <v>5929</v>
      </c>
    </row>
    <row r="2" spans="1:8">
      <c r="A2" s="3222">
        <v>1</v>
      </c>
      <c r="B2" s="3223" t="s">
        <v>3444</v>
      </c>
      <c r="C2" s="3223" t="s">
        <v>5930</v>
      </c>
      <c r="D2" s="3223">
        <v>101</v>
      </c>
      <c r="E2" s="3223" t="s">
        <v>3395</v>
      </c>
      <c r="F2" s="3223">
        <v>192.35</v>
      </c>
      <c r="G2" s="3224">
        <v>85.418832464679696</v>
      </c>
      <c r="H2" s="3218">
        <f>ROUND(G2,2)</f>
        <v>85.42</v>
      </c>
    </row>
    <row r="3" spans="1:8">
      <c r="A3" s="3222">
        <v>2</v>
      </c>
      <c r="B3" s="3223" t="s">
        <v>3444</v>
      </c>
      <c r="C3" s="3223" t="s">
        <v>5930</v>
      </c>
      <c r="D3" s="3223">
        <v>102</v>
      </c>
      <c r="E3" s="3223" t="s">
        <v>3395</v>
      </c>
      <c r="F3" s="3223">
        <v>161.68</v>
      </c>
      <c r="G3" s="3224">
        <v>71.798891774834487</v>
      </c>
      <c r="H3" s="3218">
        <f t="shared" ref="H3:H66" si="0">ROUND(G3,2)</f>
        <v>71.8</v>
      </c>
    </row>
    <row r="4" spans="1:8">
      <c r="A4" s="3222">
        <v>3</v>
      </c>
      <c r="B4" s="3223" t="s">
        <v>3444</v>
      </c>
      <c r="C4" s="3223" t="s">
        <v>5930</v>
      </c>
      <c r="D4" s="3223">
        <v>202</v>
      </c>
      <c r="E4" s="3223" t="s">
        <v>3395</v>
      </c>
      <c r="F4" s="3223">
        <v>184.32</v>
      </c>
      <c r="G4" s="3224">
        <v>81.852868208420901</v>
      </c>
      <c r="H4" s="3218">
        <f t="shared" si="0"/>
        <v>81.849999999999994</v>
      </c>
    </row>
    <row r="5" spans="1:8">
      <c r="A5" s="3222">
        <v>4</v>
      </c>
      <c r="B5" s="3223" t="s">
        <v>3444</v>
      </c>
      <c r="C5" s="3223" t="s">
        <v>5930</v>
      </c>
      <c r="D5" s="3223">
        <v>301</v>
      </c>
      <c r="E5" s="3223" t="s">
        <v>3395</v>
      </c>
      <c r="F5" s="3223">
        <v>192.37</v>
      </c>
      <c r="G5" s="3224">
        <v>85.427714069303008</v>
      </c>
      <c r="H5" s="3218">
        <f t="shared" si="0"/>
        <v>85.43</v>
      </c>
    </row>
    <row r="6" spans="1:8">
      <c r="A6" s="3222">
        <v>5</v>
      </c>
      <c r="B6" s="3223" t="s">
        <v>3444</v>
      </c>
      <c r="C6" s="3223" t="s">
        <v>5930</v>
      </c>
      <c r="D6" s="3223">
        <v>302</v>
      </c>
      <c r="E6" s="3223" t="s">
        <v>3395</v>
      </c>
      <c r="F6" s="3223">
        <v>184.32</v>
      </c>
      <c r="G6" s="3224">
        <v>81.852868208420901</v>
      </c>
      <c r="H6" s="3218">
        <f t="shared" si="0"/>
        <v>81.849999999999994</v>
      </c>
    </row>
    <row r="7" spans="1:8">
      <c r="A7" s="3222">
        <v>6</v>
      </c>
      <c r="B7" s="3223" t="s">
        <v>3444</v>
      </c>
      <c r="C7" s="3223" t="s">
        <v>5931</v>
      </c>
      <c r="D7" s="3223">
        <v>101</v>
      </c>
      <c r="E7" s="3223" t="s">
        <v>3395</v>
      </c>
      <c r="F7" s="3223">
        <v>161.68</v>
      </c>
      <c r="G7" s="3224">
        <v>71.798891774834487</v>
      </c>
      <c r="H7" s="3218">
        <f t="shared" si="0"/>
        <v>71.8</v>
      </c>
    </row>
    <row r="8" spans="1:8">
      <c r="A8" s="3222">
        <v>7</v>
      </c>
      <c r="B8" s="3223" t="s">
        <v>3444</v>
      </c>
      <c r="C8" s="3223" t="s">
        <v>5931</v>
      </c>
      <c r="D8" s="3223">
        <v>102</v>
      </c>
      <c r="E8" s="3223" t="s">
        <v>3395</v>
      </c>
      <c r="F8" s="3223">
        <v>184.78</v>
      </c>
      <c r="G8" s="3224">
        <v>82.057145114757034</v>
      </c>
      <c r="H8" s="3218">
        <f t="shared" si="0"/>
        <v>82.06</v>
      </c>
    </row>
    <row r="9" spans="1:8">
      <c r="A9" s="3222">
        <v>8</v>
      </c>
      <c r="B9" s="3223" t="s">
        <v>3444</v>
      </c>
      <c r="C9" s="3223" t="s">
        <v>5931</v>
      </c>
      <c r="D9" s="3223">
        <v>301</v>
      </c>
      <c r="E9" s="3223" t="s">
        <v>3395</v>
      </c>
      <c r="F9" s="3223">
        <v>184.32</v>
      </c>
      <c r="G9" s="3224">
        <v>81.852868208420901</v>
      </c>
      <c r="H9" s="3218">
        <f t="shared" si="0"/>
        <v>81.849999999999994</v>
      </c>
    </row>
    <row r="10" spans="1:8">
      <c r="A10" s="3222">
        <v>9</v>
      </c>
      <c r="B10" s="3223" t="s">
        <v>3444</v>
      </c>
      <c r="C10" s="3223" t="s">
        <v>5931</v>
      </c>
      <c r="D10" s="3223">
        <v>302</v>
      </c>
      <c r="E10" s="3223" t="s">
        <v>3395</v>
      </c>
      <c r="F10" s="3223">
        <v>184.82</v>
      </c>
      <c r="G10" s="3224">
        <v>82.074908324003644</v>
      </c>
      <c r="H10" s="3218">
        <f t="shared" si="0"/>
        <v>82.07</v>
      </c>
    </row>
    <row r="11" spans="1:8">
      <c r="A11" s="3222">
        <v>10</v>
      </c>
      <c r="B11" s="3223" t="s">
        <v>3444</v>
      </c>
      <c r="C11" s="3223" t="s">
        <v>5931</v>
      </c>
      <c r="D11" s="3223">
        <v>401</v>
      </c>
      <c r="E11" s="3223" t="s">
        <v>3395</v>
      </c>
      <c r="F11" s="3223">
        <v>184.32</v>
      </c>
      <c r="G11" s="3224">
        <v>81.852868208420901</v>
      </c>
      <c r="H11" s="3218">
        <f t="shared" si="0"/>
        <v>81.849999999999994</v>
      </c>
    </row>
    <row r="12" spans="1:8">
      <c r="A12" s="3222">
        <v>11</v>
      </c>
      <c r="B12" s="3223" t="s">
        <v>3444</v>
      </c>
      <c r="C12" s="3223" t="s">
        <v>5931</v>
      </c>
      <c r="D12" s="3223">
        <v>402</v>
      </c>
      <c r="E12" s="3223" t="s">
        <v>3395</v>
      </c>
      <c r="F12" s="3223">
        <v>184.82</v>
      </c>
      <c r="G12" s="3224">
        <v>82.074908324003644</v>
      </c>
      <c r="H12" s="3218">
        <f t="shared" si="0"/>
        <v>82.07</v>
      </c>
    </row>
    <row r="13" spans="1:8">
      <c r="A13" s="3222">
        <v>12</v>
      </c>
      <c r="B13" s="3223" t="s">
        <v>3444</v>
      </c>
      <c r="C13" s="3223" t="s">
        <v>5931</v>
      </c>
      <c r="D13" s="3223">
        <v>201</v>
      </c>
      <c r="E13" s="3223" t="s">
        <v>3395</v>
      </c>
      <c r="F13" s="3223">
        <v>184.32</v>
      </c>
      <c r="G13" s="3224">
        <v>81.852868208420901</v>
      </c>
      <c r="H13" s="3218">
        <f t="shared" si="0"/>
        <v>81.849999999999994</v>
      </c>
    </row>
    <row r="14" spans="1:8">
      <c r="A14" s="3222">
        <v>37</v>
      </c>
      <c r="B14" s="3223" t="s">
        <v>3613</v>
      </c>
      <c r="C14" s="3223" t="s">
        <v>5930</v>
      </c>
      <c r="D14" s="3223">
        <v>102</v>
      </c>
      <c r="E14" s="3223" t="s">
        <v>3395</v>
      </c>
      <c r="F14" s="3223">
        <v>161.83000000000001</v>
      </c>
      <c r="G14" s="3224">
        <v>71.865503809509306</v>
      </c>
      <c r="H14" s="3218">
        <f t="shared" si="0"/>
        <v>71.87</v>
      </c>
    </row>
    <row r="15" spans="1:8">
      <c r="A15" s="3222">
        <v>38</v>
      </c>
      <c r="B15" s="3223" t="s">
        <v>3613</v>
      </c>
      <c r="C15" s="3223" t="s">
        <v>5930</v>
      </c>
      <c r="D15" s="3223">
        <v>301</v>
      </c>
      <c r="E15" s="3223" t="s">
        <v>3395</v>
      </c>
      <c r="F15" s="3223">
        <v>192.55</v>
      </c>
      <c r="G15" s="3224">
        <v>85.507648510912801</v>
      </c>
      <c r="H15" s="3218">
        <f t="shared" si="0"/>
        <v>85.51</v>
      </c>
    </row>
    <row r="16" spans="1:8">
      <c r="A16" s="3222">
        <v>45</v>
      </c>
      <c r="B16" s="3223" t="s">
        <v>3613</v>
      </c>
      <c r="C16" s="3223" t="s">
        <v>5931</v>
      </c>
      <c r="D16" s="3223">
        <v>101</v>
      </c>
      <c r="E16" s="3223" t="s">
        <v>3395</v>
      </c>
      <c r="F16" s="3223">
        <v>161.83000000000001</v>
      </c>
      <c r="G16" s="3224">
        <v>71.865503809509306</v>
      </c>
      <c r="H16" s="3218">
        <f t="shared" si="0"/>
        <v>71.87</v>
      </c>
    </row>
    <row r="17" spans="1:8">
      <c r="A17" s="3222">
        <v>46</v>
      </c>
      <c r="B17" s="3223" t="s">
        <v>3613</v>
      </c>
      <c r="C17" s="3223" t="s">
        <v>5931</v>
      </c>
      <c r="D17" s="3223">
        <v>102</v>
      </c>
      <c r="E17" s="3223" t="s">
        <v>3395</v>
      </c>
      <c r="F17" s="3223">
        <v>184.45</v>
      </c>
      <c r="G17" s="3224">
        <v>81.910598638472408</v>
      </c>
      <c r="H17" s="3218">
        <f t="shared" si="0"/>
        <v>81.91</v>
      </c>
    </row>
    <row r="18" spans="1:8">
      <c r="A18" s="3222">
        <v>47</v>
      </c>
      <c r="B18" s="3223" t="s">
        <v>3613</v>
      </c>
      <c r="C18" s="3223" t="s">
        <v>5931</v>
      </c>
      <c r="D18" s="3223">
        <v>302</v>
      </c>
      <c r="E18" s="3223" t="s">
        <v>3395</v>
      </c>
      <c r="F18" s="3223">
        <v>184.49</v>
      </c>
      <c r="G18" s="3224">
        <v>81.928361847719046</v>
      </c>
      <c r="H18" s="3218">
        <f t="shared" si="0"/>
        <v>81.93</v>
      </c>
    </row>
    <row r="19" spans="1:8">
      <c r="A19" s="3222">
        <v>48</v>
      </c>
      <c r="B19" s="3223" t="s">
        <v>3613</v>
      </c>
      <c r="C19" s="3223" t="s">
        <v>5931</v>
      </c>
      <c r="D19" s="3223">
        <v>401</v>
      </c>
      <c r="E19" s="3223" t="s">
        <v>3395</v>
      </c>
      <c r="F19" s="3223">
        <v>184.49</v>
      </c>
      <c r="G19" s="3224">
        <v>81.928361847719046</v>
      </c>
      <c r="H19" s="3218">
        <f t="shared" si="0"/>
        <v>81.93</v>
      </c>
    </row>
    <row r="20" spans="1:8">
      <c r="A20" s="3222">
        <v>39</v>
      </c>
      <c r="B20" s="3223" t="s">
        <v>3613</v>
      </c>
      <c r="C20" s="3223" t="s">
        <v>5933</v>
      </c>
      <c r="D20" s="3223">
        <v>101</v>
      </c>
      <c r="E20" s="3223" t="s">
        <v>3395</v>
      </c>
      <c r="F20" s="3223">
        <v>161.83000000000001</v>
      </c>
      <c r="G20" s="3224">
        <v>71.865503809509306</v>
      </c>
      <c r="H20" s="3218">
        <f t="shared" si="0"/>
        <v>71.87</v>
      </c>
    </row>
    <row r="21" spans="1:8">
      <c r="A21" s="3222">
        <v>40</v>
      </c>
      <c r="B21" s="3223" t="s">
        <v>3613</v>
      </c>
      <c r="C21" s="3223" t="s">
        <v>5933</v>
      </c>
      <c r="D21" s="3223">
        <v>102</v>
      </c>
      <c r="E21" s="3223" t="s">
        <v>3395</v>
      </c>
      <c r="F21" s="3223">
        <v>184.95</v>
      </c>
      <c r="G21" s="3224">
        <v>82.132638754055151</v>
      </c>
      <c r="H21" s="3218">
        <f t="shared" si="0"/>
        <v>82.13</v>
      </c>
    </row>
    <row r="22" spans="1:8">
      <c r="A22" s="3222">
        <v>41</v>
      </c>
      <c r="B22" s="3223" t="s">
        <v>3613</v>
      </c>
      <c r="C22" s="3223" t="s">
        <v>5933</v>
      </c>
      <c r="D22" s="3223">
        <v>201</v>
      </c>
      <c r="E22" s="3223" t="s">
        <v>3395</v>
      </c>
      <c r="F22" s="3223">
        <v>184.49</v>
      </c>
      <c r="G22" s="3224">
        <v>81.928361847719046</v>
      </c>
      <c r="H22" s="3218">
        <f t="shared" si="0"/>
        <v>81.93</v>
      </c>
    </row>
    <row r="23" spans="1:8">
      <c r="A23" s="3222">
        <v>42</v>
      </c>
      <c r="B23" s="3223" t="s">
        <v>3613</v>
      </c>
      <c r="C23" s="3223" t="s">
        <v>5933</v>
      </c>
      <c r="D23" s="3223">
        <v>202</v>
      </c>
      <c r="E23" s="3223" t="s">
        <v>3395</v>
      </c>
      <c r="F23" s="3223">
        <v>184.99</v>
      </c>
      <c r="G23" s="3224">
        <v>82.150401963301775</v>
      </c>
      <c r="H23" s="3218">
        <f t="shared" si="0"/>
        <v>82.15</v>
      </c>
    </row>
    <row r="24" spans="1:8">
      <c r="A24" s="3222">
        <v>43</v>
      </c>
      <c r="B24" s="3223" t="s">
        <v>3613</v>
      </c>
      <c r="C24" s="3223" t="s">
        <v>5933</v>
      </c>
      <c r="D24" s="3223">
        <v>301</v>
      </c>
      <c r="E24" s="3223" t="s">
        <v>3395</v>
      </c>
      <c r="F24" s="3223">
        <v>184.49</v>
      </c>
      <c r="G24" s="3224">
        <v>81.928361847719046</v>
      </c>
      <c r="H24" s="3218">
        <f t="shared" si="0"/>
        <v>81.93</v>
      </c>
    </row>
    <row r="25" spans="1:8">
      <c r="A25" s="3222">
        <v>44</v>
      </c>
      <c r="B25" s="3223" t="s">
        <v>3613</v>
      </c>
      <c r="C25" s="3223" t="s">
        <v>5933</v>
      </c>
      <c r="D25" s="3223">
        <v>401</v>
      </c>
      <c r="E25" s="3223" t="s">
        <v>3395</v>
      </c>
      <c r="F25" s="3223">
        <v>184.49</v>
      </c>
      <c r="G25" s="3224">
        <v>81.928361847719046</v>
      </c>
      <c r="H25" s="3218">
        <f t="shared" si="0"/>
        <v>81.93</v>
      </c>
    </row>
    <row r="26" spans="1:8">
      <c r="A26" s="3222">
        <v>76</v>
      </c>
      <c r="B26" s="3223" t="s">
        <v>3771</v>
      </c>
      <c r="C26" s="3223" t="s">
        <v>5930</v>
      </c>
      <c r="D26" s="3223">
        <v>102</v>
      </c>
      <c r="E26" s="3223" t="s">
        <v>3395</v>
      </c>
      <c r="F26" s="3223">
        <v>168.11</v>
      </c>
      <c r="G26" s="3224">
        <v>74.654327661228521</v>
      </c>
      <c r="H26" s="3218">
        <f t="shared" si="0"/>
        <v>74.650000000000006</v>
      </c>
    </row>
    <row r="27" spans="1:8">
      <c r="A27" s="3222">
        <v>79</v>
      </c>
      <c r="B27" s="3223" t="s">
        <v>3771</v>
      </c>
      <c r="C27" s="3223" t="s">
        <v>5931</v>
      </c>
      <c r="D27" s="3223">
        <v>101</v>
      </c>
      <c r="E27" s="3223" t="s">
        <v>3395</v>
      </c>
      <c r="F27" s="3223">
        <v>168.11</v>
      </c>
      <c r="G27" s="3224">
        <v>74.654327661228521</v>
      </c>
      <c r="H27" s="3218">
        <f t="shared" si="0"/>
        <v>74.650000000000006</v>
      </c>
    </row>
    <row r="28" spans="1:8">
      <c r="A28" s="3222">
        <v>77</v>
      </c>
      <c r="B28" s="3223" t="s">
        <v>3771</v>
      </c>
      <c r="C28" s="3223" t="s">
        <v>5933</v>
      </c>
      <c r="D28" s="3223">
        <v>101</v>
      </c>
      <c r="E28" s="3223" t="s">
        <v>3395</v>
      </c>
      <c r="F28" s="3223">
        <v>168.11</v>
      </c>
      <c r="G28" s="3224">
        <v>74.654327661228521</v>
      </c>
      <c r="H28" s="3218">
        <f t="shared" si="0"/>
        <v>74.650000000000006</v>
      </c>
    </row>
    <row r="29" spans="1:8">
      <c r="A29" s="3222">
        <v>78</v>
      </c>
      <c r="B29" s="3223" t="s">
        <v>3771</v>
      </c>
      <c r="C29" s="3223" t="s">
        <v>5933</v>
      </c>
      <c r="D29" s="3223">
        <v>302</v>
      </c>
      <c r="E29" s="3223" t="s">
        <v>3395</v>
      </c>
      <c r="F29" s="3223">
        <v>185.02</v>
      </c>
      <c r="G29" s="3224">
        <v>82.16372437023675</v>
      </c>
      <c r="H29" s="3218">
        <f t="shared" si="0"/>
        <v>82.16</v>
      </c>
    </row>
    <row r="30" spans="1:8">
      <c r="A30" s="3222">
        <v>99</v>
      </c>
      <c r="B30" s="3223" t="s">
        <v>3784</v>
      </c>
      <c r="C30" s="3223" t="s">
        <v>5930</v>
      </c>
      <c r="D30" s="3223">
        <v>101</v>
      </c>
      <c r="E30" s="3223" t="s">
        <v>3395</v>
      </c>
      <c r="F30" s="3223">
        <v>192.38</v>
      </c>
      <c r="G30" s="3224">
        <v>85.432154871614657</v>
      </c>
      <c r="H30" s="3218">
        <f t="shared" si="0"/>
        <v>85.43</v>
      </c>
    </row>
    <row r="31" spans="1:8">
      <c r="A31" s="3222">
        <v>100</v>
      </c>
      <c r="B31" s="3223" t="s">
        <v>3784</v>
      </c>
      <c r="C31" s="3223" t="s">
        <v>5930</v>
      </c>
      <c r="D31" s="3223">
        <v>102</v>
      </c>
      <c r="E31" s="3223" t="s">
        <v>3395</v>
      </c>
      <c r="F31" s="3223">
        <v>167.95</v>
      </c>
      <c r="G31" s="3224">
        <v>74.583274824242025</v>
      </c>
      <c r="H31" s="3218">
        <f t="shared" si="0"/>
        <v>74.58</v>
      </c>
    </row>
    <row r="32" spans="1:8">
      <c r="A32" s="3222">
        <v>101</v>
      </c>
      <c r="B32" s="3223" t="s">
        <v>3784</v>
      </c>
      <c r="C32" s="3223" t="s">
        <v>5930</v>
      </c>
      <c r="D32" s="3223">
        <v>201</v>
      </c>
      <c r="E32" s="3223" t="s">
        <v>3395</v>
      </c>
      <c r="F32" s="3223">
        <v>192.4</v>
      </c>
      <c r="G32" s="3224">
        <v>85.441036476237969</v>
      </c>
      <c r="H32" s="3218">
        <f t="shared" si="0"/>
        <v>85.44</v>
      </c>
    </row>
    <row r="33" spans="1:8">
      <c r="A33" s="3222">
        <v>102</v>
      </c>
      <c r="B33" s="3223" t="s">
        <v>3784</v>
      </c>
      <c r="C33" s="3223" t="s">
        <v>5930</v>
      </c>
      <c r="D33" s="3223">
        <v>301</v>
      </c>
      <c r="E33" s="3223" t="s">
        <v>3395</v>
      </c>
      <c r="F33" s="3223">
        <v>192.4</v>
      </c>
      <c r="G33" s="3224">
        <v>85.441036476237969</v>
      </c>
      <c r="H33" s="3218">
        <f t="shared" si="0"/>
        <v>85.44</v>
      </c>
    </row>
    <row r="34" spans="1:8">
      <c r="A34" s="3222">
        <v>103</v>
      </c>
      <c r="B34" s="3223" t="s">
        <v>3784</v>
      </c>
      <c r="C34" s="3223" t="s">
        <v>5930</v>
      </c>
      <c r="D34" s="3223">
        <v>302</v>
      </c>
      <c r="E34" s="3223" t="s">
        <v>3395</v>
      </c>
      <c r="F34" s="3223">
        <v>184.35</v>
      </c>
      <c r="G34" s="3224">
        <v>81.866190615355876</v>
      </c>
      <c r="H34" s="3218">
        <f t="shared" si="0"/>
        <v>81.87</v>
      </c>
    </row>
    <row r="35" spans="1:8">
      <c r="A35" s="3222">
        <v>104</v>
      </c>
      <c r="B35" s="3223" t="s">
        <v>3784</v>
      </c>
      <c r="C35" s="3223" t="s">
        <v>5930</v>
      </c>
      <c r="D35" s="3223">
        <v>401</v>
      </c>
      <c r="E35" s="3223" t="s">
        <v>3395</v>
      </c>
      <c r="F35" s="3223">
        <v>192.4</v>
      </c>
      <c r="G35" s="3224">
        <v>85.441036476237969</v>
      </c>
      <c r="H35" s="3218">
        <f t="shared" si="0"/>
        <v>85.44</v>
      </c>
    </row>
    <row r="36" spans="1:8">
      <c r="A36" s="3222">
        <v>105</v>
      </c>
      <c r="B36" s="3223" t="s">
        <v>3784</v>
      </c>
      <c r="C36" s="3223" t="s">
        <v>5931</v>
      </c>
      <c r="D36" s="3223">
        <v>101</v>
      </c>
      <c r="E36" s="3223" t="s">
        <v>3395</v>
      </c>
      <c r="F36" s="3223">
        <v>167.95</v>
      </c>
      <c r="G36" s="3224">
        <v>74.583274824242025</v>
      </c>
      <c r="H36" s="3218">
        <f t="shared" si="0"/>
        <v>74.58</v>
      </c>
    </row>
    <row r="37" spans="1:8">
      <c r="A37" s="3222">
        <v>124</v>
      </c>
      <c r="B37" s="3223" t="s">
        <v>3799</v>
      </c>
      <c r="C37" s="3223"/>
      <c r="D37" s="3223">
        <v>302</v>
      </c>
      <c r="E37" s="3223" t="s">
        <v>3395</v>
      </c>
      <c r="F37" s="3223">
        <v>184.96</v>
      </c>
      <c r="G37" s="3224">
        <v>82.137079556366814</v>
      </c>
      <c r="H37" s="3218">
        <f t="shared" si="0"/>
        <v>82.14</v>
      </c>
    </row>
    <row r="38" spans="1:8">
      <c r="A38" s="3222">
        <v>125</v>
      </c>
      <c r="B38" s="3223" t="s">
        <v>3799</v>
      </c>
      <c r="C38" s="3223"/>
      <c r="D38" s="3223">
        <v>101</v>
      </c>
      <c r="E38" s="3223" t="s">
        <v>3395</v>
      </c>
      <c r="F38" s="3223">
        <v>184.92</v>
      </c>
      <c r="G38" s="3224">
        <v>82.11931634712019</v>
      </c>
      <c r="H38" s="3218">
        <f t="shared" si="0"/>
        <v>82.12</v>
      </c>
    </row>
    <row r="39" spans="1:8">
      <c r="A39" s="3222">
        <v>126</v>
      </c>
      <c r="B39" s="3223" t="s">
        <v>3799</v>
      </c>
      <c r="C39" s="3223"/>
      <c r="D39" s="3223">
        <v>102</v>
      </c>
      <c r="E39" s="3223" t="s">
        <v>3395</v>
      </c>
      <c r="F39" s="3223">
        <v>168.05</v>
      </c>
      <c r="G39" s="3224">
        <v>74.627682847358585</v>
      </c>
      <c r="H39" s="3218">
        <f t="shared" si="0"/>
        <v>74.63</v>
      </c>
    </row>
    <row r="40" spans="1:8">
      <c r="A40" s="3222">
        <v>127</v>
      </c>
      <c r="B40" s="3223" t="s">
        <v>3799</v>
      </c>
      <c r="C40" s="3223"/>
      <c r="D40" s="3223">
        <v>201</v>
      </c>
      <c r="E40" s="3223" t="s">
        <v>3395</v>
      </c>
      <c r="F40" s="3223">
        <v>184.96</v>
      </c>
      <c r="G40" s="3224">
        <v>82.137079556366814</v>
      </c>
      <c r="H40" s="3218">
        <f t="shared" si="0"/>
        <v>82.14</v>
      </c>
    </row>
    <row r="41" spans="1:8">
      <c r="A41" s="3222">
        <v>128</v>
      </c>
      <c r="B41" s="3223" t="s">
        <v>3799</v>
      </c>
      <c r="C41" s="3223"/>
      <c r="D41" s="3223">
        <v>401</v>
      </c>
      <c r="E41" s="3223" t="s">
        <v>3395</v>
      </c>
      <c r="F41" s="3223">
        <v>184.96</v>
      </c>
      <c r="G41" s="3224">
        <v>82.137079556366814</v>
      </c>
      <c r="H41" s="3218">
        <f t="shared" si="0"/>
        <v>82.14</v>
      </c>
    </row>
    <row r="42" spans="1:8">
      <c r="A42" s="3222">
        <v>143</v>
      </c>
      <c r="B42" s="3223" t="s">
        <v>3810</v>
      </c>
      <c r="C42" s="3223"/>
      <c r="D42" s="3223">
        <v>301</v>
      </c>
      <c r="E42" s="3223" t="s">
        <v>3395</v>
      </c>
      <c r="F42" s="3223">
        <v>192.54</v>
      </c>
      <c r="G42" s="3224">
        <v>85.503207708601138</v>
      </c>
      <c r="H42" s="3218">
        <f t="shared" si="0"/>
        <v>85.5</v>
      </c>
    </row>
    <row r="43" spans="1:8">
      <c r="A43" s="3222">
        <v>145</v>
      </c>
      <c r="B43" s="3223" t="s">
        <v>3815</v>
      </c>
      <c r="C43" s="3223" t="s">
        <v>5930</v>
      </c>
      <c r="D43" s="3223">
        <v>102</v>
      </c>
      <c r="E43" s="3223" t="s">
        <v>3395</v>
      </c>
      <c r="F43" s="3223">
        <v>168.04</v>
      </c>
      <c r="G43" s="3224">
        <v>74.623242045046922</v>
      </c>
      <c r="H43" s="3218">
        <f t="shared" si="0"/>
        <v>74.62</v>
      </c>
    </row>
    <row r="44" spans="1:8">
      <c r="A44" s="3222">
        <v>147</v>
      </c>
      <c r="B44" s="3223" t="s">
        <v>3815</v>
      </c>
      <c r="C44" s="3223" t="s">
        <v>5931</v>
      </c>
      <c r="D44" s="3223">
        <v>101</v>
      </c>
      <c r="E44" s="3223" t="s">
        <v>3395</v>
      </c>
      <c r="F44" s="3223">
        <v>168.04</v>
      </c>
      <c r="G44" s="3224">
        <v>74.623242045046922</v>
      </c>
      <c r="H44" s="3218">
        <f t="shared" si="0"/>
        <v>74.62</v>
      </c>
    </row>
    <row r="45" spans="1:8">
      <c r="A45" s="3222">
        <v>148</v>
      </c>
      <c r="B45" s="3223" t="s">
        <v>3815</v>
      </c>
      <c r="C45" s="3223" t="s">
        <v>5931</v>
      </c>
      <c r="D45" s="3223">
        <v>402</v>
      </c>
      <c r="E45" s="3223" t="s">
        <v>3395</v>
      </c>
      <c r="F45" s="3223">
        <v>184.45</v>
      </c>
      <c r="G45" s="3224">
        <v>81.910598638472408</v>
      </c>
      <c r="H45" s="3218">
        <f t="shared" si="0"/>
        <v>81.91</v>
      </c>
    </row>
    <row r="46" spans="1:8">
      <c r="A46" s="3222">
        <v>146</v>
      </c>
      <c r="B46" s="3223" t="s">
        <v>3815</v>
      </c>
      <c r="C46" s="3223" t="s">
        <v>5933</v>
      </c>
      <c r="D46" s="3223">
        <v>101</v>
      </c>
      <c r="E46" s="3223" t="s">
        <v>3395</v>
      </c>
      <c r="F46" s="3223">
        <v>168.04</v>
      </c>
      <c r="G46" s="3224">
        <v>74.623242045046922</v>
      </c>
      <c r="H46" s="3218">
        <f t="shared" si="0"/>
        <v>74.62</v>
      </c>
    </row>
    <row r="47" spans="1:8">
      <c r="A47">
        <v>172</v>
      </c>
      <c r="B47" t="s">
        <v>3828</v>
      </c>
      <c r="C47" t="s">
        <v>5930</v>
      </c>
      <c r="D47">
        <v>101</v>
      </c>
      <c r="E47" t="s">
        <v>3395</v>
      </c>
      <c r="F47">
        <v>192.5</v>
      </c>
      <c r="G47" s="3218">
        <v>85.485444499354514</v>
      </c>
      <c r="H47" s="3218">
        <f t="shared" si="0"/>
        <v>85.49</v>
      </c>
    </row>
    <row r="48" spans="1:8">
      <c r="A48">
        <v>173</v>
      </c>
      <c r="B48" t="s">
        <v>3828</v>
      </c>
      <c r="C48" t="s">
        <v>5930</v>
      </c>
      <c r="D48">
        <v>102</v>
      </c>
      <c r="E48" t="s">
        <v>3395</v>
      </c>
      <c r="F48">
        <v>161.81</v>
      </c>
      <c r="G48" s="3218">
        <v>71.856622204885994</v>
      </c>
      <c r="H48" s="3218">
        <f t="shared" si="0"/>
        <v>71.86</v>
      </c>
    </row>
    <row r="49" spans="1:8">
      <c r="A49">
        <v>174</v>
      </c>
      <c r="B49" t="s">
        <v>3828</v>
      </c>
      <c r="C49" t="s">
        <v>5930</v>
      </c>
      <c r="D49">
        <v>201</v>
      </c>
      <c r="E49" t="s">
        <v>3395</v>
      </c>
      <c r="F49">
        <v>192.52</v>
      </c>
      <c r="G49" s="3218">
        <v>85.494326103977826</v>
      </c>
      <c r="H49" s="3218">
        <f t="shared" si="0"/>
        <v>85.49</v>
      </c>
    </row>
    <row r="50" spans="1:8">
      <c r="A50">
        <v>175</v>
      </c>
      <c r="B50" t="s">
        <v>3828</v>
      </c>
      <c r="C50" t="s">
        <v>5930</v>
      </c>
      <c r="D50">
        <v>202</v>
      </c>
      <c r="E50" t="s">
        <v>3395</v>
      </c>
      <c r="F50">
        <v>184.46</v>
      </c>
      <c r="G50" s="3218">
        <v>81.915039440784071</v>
      </c>
      <c r="H50" s="3218">
        <f t="shared" si="0"/>
        <v>81.92</v>
      </c>
    </row>
    <row r="51" spans="1:8">
      <c r="A51">
        <v>176</v>
      </c>
      <c r="B51" t="s">
        <v>3828</v>
      </c>
      <c r="C51" t="s">
        <v>5930</v>
      </c>
      <c r="D51">
        <v>301</v>
      </c>
      <c r="E51" t="s">
        <v>3395</v>
      </c>
      <c r="F51">
        <v>192.52</v>
      </c>
      <c r="G51" s="3218">
        <v>85.494326103977826</v>
      </c>
      <c r="H51" s="3218">
        <f t="shared" si="0"/>
        <v>85.49</v>
      </c>
    </row>
    <row r="52" spans="1:8">
      <c r="A52">
        <v>177</v>
      </c>
      <c r="B52" t="s">
        <v>3828</v>
      </c>
      <c r="C52" t="s">
        <v>5930</v>
      </c>
      <c r="D52">
        <v>401</v>
      </c>
      <c r="E52" t="s">
        <v>3395</v>
      </c>
      <c r="F52">
        <v>192.52</v>
      </c>
      <c r="G52" s="3218">
        <v>85.494326103977826</v>
      </c>
      <c r="H52" s="3218">
        <f t="shared" si="0"/>
        <v>85.49</v>
      </c>
    </row>
    <row r="53" spans="1:8">
      <c r="A53">
        <v>178</v>
      </c>
      <c r="B53" t="s">
        <v>3828</v>
      </c>
      <c r="C53" t="s">
        <v>5930</v>
      </c>
      <c r="D53">
        <v>402</v>
      </c>
      <c r="E53" t="s">
        <v>3395</v>
      </c>
      <c r="F53">
        <v>184.46</v>
      </c>
      <c r="G53" s="3218">
        <v>81.915039440784071</v>
      </c>
      <c r="H53" s="3218">
        <f t="shared" si="0"/>
        <v>81.92</v>
      </c>
    </row>
    <row r="54" spans="1:8">
      <c r="A54">
        <v>179</v>
      </c>
      <c r="B54" t="s">
        <v>3828</v>
      </c>
      <c r="C54" t="s">
        <v>5931</v>
      </c>
      <c r="D54">
        <v>101</v>
      </c>
      <c r="E54" t="s">
        <v>3395</v>
      </c>
      <c r="F54">
        <v>161.81</v>
      </c>
      <c r="G54" s="3218">
        <v>71.856622204885994</v>
      </c>
      <c r="H54" s="3218">
        <f t="shared" si="0"/>
        <v>71.86</v>
      </c>
    </row>
    <row r="55" spans="1:8">
      <c r="A55">
        <v>180</v>
      </c>
      <c r="B55" t="s">
        <v>3828</v>
      </c>
      <c r="C55" t="s">
        <v>5931</v>
      </c>
      <c r="D55">
        <v>102</v>
      </c>
      <c r="E55" t="s">
        <v>3395</v>
      </c>
      <c r="F55">
        <v>184.92</v>
      </c>
      <c r="G55" s="3218">
        <v>82.11931634712019</v>
      </c>
      <c r="H55" s="3218">
        <f t="shared" si="0"/>
        <v>82.12</v>
      </c>
    </row>
    <row r="56" spans="1:8">
      <c r="A56">
        <v>181</v>
      </c>
      <c r="B56" t="s">
        <v>3828</v>
      </c>
      <c r="C56" t="s">
        <v>5931</v>
      </c>
      <c r="D56">
        <v>301</v>
      </c>
      <c r="E56" t="s">
        <v>3395</v>
      </c>
      <c r="F56">
        <v>184.46</v>
      </c>
      <c r="G56" s="3218">
        <v>81.915039440784071</v>
      </c>
      <c r="H56" s="3218">
        <f t="shared" si="0"/>
        <v>81.92</v>
      </c>
    </row>
    <row r="57" spans="1:8">
      <c r="A57">
        <v>182</v>
      </c>
      <c r="B57" t="s">
        <v>3828</v>
      </c>
      <c r="C57" t="s">
        <v>5931</v>
      </c>
      <c r="D57">
        <v>401</v>
      </c>
      <c r="E57" t="s">
        <v>3395</v>
      </c>
      <c r="F57">
        <v>184.46</v>
      </c>
      <c r="G57" s="3218">
        <v>81.915039440784071</v>
      </c>
      <c r="H57" s="3218">
        <f t="shared" si="0"/>
        <v>81.92</v>
      </c>
    </row>
    <row r="58" spans="1:8">
      <c r="A58">
        <v>205</v>
      </c>
      <c r="B58" t="s">
        <v>3472</v>
      </c>
      <c r="C58" t="s">
        <v>5930</v>
      </c>
      <c r="D58">
        <v>101</v>
      </c>
      <c r="E58" t="s">
        <v>3395</v>
      </c>
      <c r="F58">
        <v>184.9</v>
      </c>
      <c r="G58" s="3218">
        <v>82.110434742496892</v>
      </c>
      <c r="H58" s="3218">
        <f t="shared" si="0"/>
        <v>82.11</v>
      </c>
    </row>
    <row r="59" spans="1:8">
      <c r="A59">
        <v>206</v>
      </c>
      <c r="B59" t="s">
        <v>3472</v>
      </c>
      <c r="C59" t="s">
        <v>5930</v>
      </c>
      <c r="D59">
        <v>301</v>
      </c>
      <c r="E59" t="s">
        <v>3395</v>
      </c>
      <c r="F59">
        <v>184.94</v>
      </c>
      <c r="G59" s="3218">
        <v>82.128197951743502</v>
      </c>
      <c r="H59" s="3218">
        <f t="shared" si="0"/>
        <v>82.13</v>
      </c>
    </row>
    <row r="60" spans="1:8">
      <c r="A60">
        <v>207</v>
      </c>
      <c r="B60" t="s">
        <v>3472</v>
      </c>
      <c r="C60" t="s">
        <v>5931</v>
      </c>
      <c r="D60">
        <v>101</v>
      </c>
      <c r="E60" t="s">
        <v>3395</v>
      </c>
      <c r="F60">
        <v>161.79</v>
      </c>
      <c r="G60" s="3218">
        <v>71.847740600262682</v>
      </c>
      <c r="H60" s="3218">
        <f t="shared" si="0"/>
        <v>71.849999999999994</v>
      </c>
    </row>
    <row r="61" spans="1:8">
      <c r="A61">
        <v>208</v>
      </c>
      <c r="B61" t="s">
        <v>3472</v>
      </c>
      <c r="C61" t="s">
        <v>5931</v>
      </c>
      <c r="D61">
        <v>102</v>
      </c>
      <c r="E61" t="s">
        <v>3395</v>
      </c>
      <c r="F61">
        <v>192.47</v>
      </c>
      <c r="G61" s="3218">
        <v>85.472122092419553</v>
      </c>
      <c r="H61" s="3218">
        <f t="shared" si="0"/>
        <v>85.47</v>
      </c>
    </row>
    <row r="62" spans="1:8">
      <c r="A62">
        <v>228</v>
      </c>
      <c r="B62" t="s">
        <v>3481</v>
      </c>
      <c r="C62" t="s">
        <v>5930</v>
      </c>
      <c r="D62">
        <v>102</v>
      </c>
      <c r="E62" t="s">
        <v>3395</v>
      </c>
      <c r="F62">
        <v>168.09</v>
      </c>
      <c r="G62" s="3218">
        <v>74.645446056605195</v>
      </c>
      <c r="H62" s="3218">
        <f t="shared" si="0"/>
        <v>74.650000000000006</v>
      </c>
    </row>
    <row r="63" spans="1:8">
      <c r="A63">
        <v>231</v>
      </c>
      <c r="B63" t="s">
        <v>3481</v>
      </c>
      <c r="C63" t="s">
        <v>5931</v>
      </c>
      <c r="D63">
        <v>101</v>
      </c>
      <c r="E63" t="s">
        <v>3395</v>
      </c>
      <c r="F63">
        <v>168.09</v>
      </c>
      <c r="G63" s="3218">
        <v>74.645446056605195</v>
      </c>
      <c r="H63" s="3218">
        <f t="shared" si="0"/>
        <v>74.650000000000006</v>
      </c>
    </row>
    <row r="64" spans="1:8">
      <c r="A64">
        <v>232</v>
      </c>
      <c r="B64" t="s">
        <v>3481</v>
      </c>
      <c r="C64" t="s">
        <v>5931</v>
      </c>
      <c r="D64">
        <v>302</v>
      </c>
      <c r="E64" t="s">
        <v>3395</v>
      </c>
      <c r="F64">
        <v>184.5</v>
      </c>
      <c r="G64" s="3218">
        <v>81.932802650030695</v>
      </c>
      <c r="H64" s="3218">
        <f t="shared" si="0"/>
        <v>81.93</v>
      </c>
    </row>
    <row r="65" spans="1:8">
      <c r="A65">
        <v>233</v>
      </c>
      <c r="B65" t="s">
        <v>3481</v>
      </c>
      <c r="C65" t="s">
        <v>5931</v>
      </c>
      <c r="D65">
        <v>402</v>
      </c>
      <c r="E65" t="s">
        <v>3395</v>
      </c>
      <c r="F65">
        <v>184.5</v>
      </c>
      <c r="G65" s="3218">
        <v>81.932802650030695</v>
      </c>
      <c r="H65" s="3218">
        <f t="shared" si="0"/>
        <v>81.93</v>
      </c>
    </row>
    <row r="66" spans="1:8">
      <c r="A66">
        <v>229</v>
      </c>
      <c r="B66" t="s">
        <v>3481</v>
      </c>
      <c r="C66" t="s">
        <v>5933</v>
      </c>
      <c r="D66">
        <v>101</v>
      </c>
      <c r="E66" t="s">
        <v>3395</v>
      </c>
      <c r="F66">
        <v>168.09</v>
      </c>
      <c r="G66" s="3218">
        <v>74.645446056605195</v>
      </c>
      <c r="H66" s="3218">
        <f t="shared" si="0"/>
        <v>74.650000000000006</v>
      </c>
    </row>
    <row r="67" spans="1:8">
      <c r="A67">
        <v>230</v>
      </c>
      <c r="B67" t="s">
        <v>3481</v>
      </c>
      <c r="C67" t="s">
        <v>5933</v>
      </c>
      <c r="D67">
        <v>302</v>
      </c>
      <c r="E67" t="s">
        <v>3395</v>
      </c>
      <c r="F67">
        <v>185</v>
      </c>
      <c r="G67" s="3218">
        <v>82.154842765613438</v>
      </c>
      <c r="H67" s="3218">
        <f t="shared" ref="H67:H130" si="1">ROUND(G67,2)</f>
        <v>82.15</v>
      </c>
    </row>
    <row r="68" spans="1:8">
      <c r="A68">
        <v>249</v>
      </c>
      <c r="B68" t="s">
        <v>3494</v>
      </c>
      <c r="C68" t="s">
        <v>5930</v>
      </c>
      <c r="D68">
        <v>102</v>
      </c>
      <c r="E68" t="s">
        <v>3395</v>
      </c>
      <c r="F68">
        <v>210.98</v>
      </c>
      <c r="G68" s="3218">
        <v>93.692047171292543</v>
      </c>
      <c r="H68" s="3218">
        <f t="shared" si="1"/>
        <v>93.69</v>
      </c>
    </row>
    <row r="69" spans="1:8">
      <c r="A69">
        <v>250</v>
      </c>
      <c r="B69" t="s">
        <v>3494</v>
      </c>
      <c r="C69" t="s">
        <v>5930</v>
      </c>
      <c r="D69">
        <v>202</v>
      </c>
      <c r="E69" t="s">
        <v>3395</v>
      </c>
      <c r="F69">
        <v>221.84</v>
      </c>
      <c r="G69" s="3218">
        <v>98.514758481749638</v>
      </c>
      <c r="H69" s="3218">
        <f t="shared" si="1"/>
        <v>98.51</v>
      </c>
    </row>
    <row r="70" spans="1:8">
      <c r="A70">
        <v>251</v>
      </c>
      <c r="B70" t="s">
        <v>3494</v>
      </c>
      <c r="C70" t="s">
        <v>5930</v>
      </c>
      <c r="D70">
        <v>302</v>
      </c>
      <c r="E70" t="s">
        <v>3395</v>
      </c>
      <c r="F70">
        <v>221.84</v>
      </c>
      <c r="G70" s="3218">
        <v>98.514758481749638</v>
      </c>
      <c r="H70" s="3218">
        <f t="shared" si="1"/>
        <v>98.51</v>
      </c>
    </row>
    <row r="71" spans="1:8">
      <c r="A71">
        <v>252</v>
      </c>
      <c r="B71" t="s">
        <v>3494</v>
      </c>
      <c r="C71" t="s">
        <v>5930</v>
      </c>
      <c r="D71">
        <v>301</v>
      </c>
      <c r="E71" t="s">
        <v>3395</v>
      </c>
      <c r="F71">
        <v>230.89</v>
      </c>
      <c r="G71" s="3218">
        <v>102.53368457379722</v>
      </c>
      <c r="H71" s="3218">
        <f t="shared" si="1"/>
        <v>102.53</v>
      </c>
    </row>
    <row r="72" spans="1:8">
      <c r="A72">
        <v>261</v>
      </c>
      <c r="B72" t="s">
        <v>3494</v>
      </c>
      <c r="C72" t="s">
        <v>5931</v>
      </c>
      <c r="D72">
        <v>101</v>
      </c>
      <c r="E72" t="s">
        <v>3395</v>
      </c>
      <c r="F72">
        <v>210.98</v>
      </c>
      <c r="G72" s="3218">
        <v>93.692047171292543</v>
      </c>
      <c r="H72" s="3218">
        <f t="shared" si="1"/>
        <v>93.69</v>
      </c>
    </row>
    <row r="73" spans="1:8">
      <c r="A73">
        <v>262</v>
      </c>
      <c r="B73" t="s">
        <v>3494</v>
      </c>
      <c r="C73" t="s">
        <v>5931</v>
      </c>
      <c r="D73">
        <v>102</v>
      </c>
      <c r="E73" t="s">
        <v>3395</v>
      </c>
      <c r="F73">
        <v>210.98</v>
      </c>
      <c r="G73" s="3218">
        <v>93.692047171292543</v>
      </c>
      <c r="H73" s="3218">
        <f t="shared" si="1"/>
        <v>93.69</v>
      </c>
    </row>
    <row r="74" spans="1:8">
      <c r="A74">
        <v>263</v>
      </c>
      <c r="B74" t="s">
        <v>3494</v>
      </c>
      <c r="C74" t="s">
        <v>5931</v>
      </c>
      <c r="D74">
        <v>201</v>
      </c>
      <c r="E74" t="s">
        <v>3395</v>
      </c>
      <c r="F74">
        <v>221.84</v>
      </c>
      <c r="G74" s="3218">
        <v>98.514758481749638</v>
      </c>
      <c r="H74" s="3218">
        <f t="shared" si="1"/>
        <v>98.51</v>
      </c>
    </row>
    <row r="75" spans="1:8">
      <c r="A75">
        <v>264</v>
      </c>
      <c r="B75" t="s">
        <v>3494</v>
      </c>
      <c r="C75" t="s">
        <v>5931</v>
      </c>
      <c r="D75">
        <v>202</v>
      </c>
      <c r="E75" t="s">
        <v>3395</v>
      </c>
      <c r="F75">
        <v>221.84</v>
      </c>
      <c r="G75" s="3218">
        <v>98.514758481749638</v>
      </c>
      <c r="H75" s="3218">
        <f t="shared" si="1"/>
        <v>98.51</v>
      </c>
    </row>
    <row r="76" spans="1:8">
      <c r="A76">
        <v>265</v>
      </c>
      <c r="B76" t="s">
        <v>3494</v>
      </c>
      <c r="C76" t="s">
        <v>5931</v>
      </c>
      <c r="D76">
        <v>301</v>
      </c>
      <c r="E76" t="s">
        <v>3395</v>
      </c>
      <c r="F76">
        <v>221.84</v>
      </c>
      <c r="G76" s="3218">
        <v>98.514758481749638</v>
      </c>
      <c r="H76" s="3218">
        <f t="shared" si="1"/>
        <v>98.51</v>
      </c>
    </row>
    <row r="77" spans="1:8">
      <c r="A77">
        <v>266</v>
      </c>
      <c r="B77" t="s">
        <v>3494</v>
      </c>
      <c r="C77" t="s">
        <v>5931</v>
      </c>
      <c r="D77">
        <v>302</v>
      </c>
      <c r="E77" t="s">
        <v>3395</v>
      </c>
      <c r="F77">
        <v>221.84</v>
      </c>
      <c r="G77" s="3218">
        <v>98.514758481749638</v>
      </c>
      <c r="H77" s="3218">
        <f t="shared" si="1"/>
        <v>98.51</v>
      </c>
    </row>
    <row r="78" spans="1:8">
      <c r="A78">
        <v>267</v>
      </c>
      <c r="B78" t="s">
        <v>3494</v>
      </c>
      <c r="C78" t="s">
        <v>5931</v>
      </c>
      <c r="D78">
        <v>401</v>
      </c>
      <c r="E78" t="s">
        <v>3395</v>
      </c>
      <c r="F78">
        <v>221.84</v>
      </c>
      <c r="G78" s="3218">
        <v>98.514758481749638</v>
      </c>
      <c r="H78" s="3218">
        <f t="shared" si="1"/>
        <v>98.51</v>
      </c>
    </row>
    <row r="79" spans="1:8">
      <c r="A79">
        <v>268</v>
      </c>
      <c r="B79" t="s">
        <v>3494</v>
      </c>
      <c r="C79" t="s">
        <v>5931</v>
      </c>
      <c r="D79">
        <v>402</v>
      </c>
      <c r="E79" t="s">
        <v>3395</v>
      </c>
      <c r="F79">
        <v>221.84</v>
      </c>
      <c r="G79" s="3218">
        <v>98.514758481749638</v>
      </c>
      <c r="H79" s="3218">
        <f t="shared" si="1"/>
        <v>98.51</v>
      </c>
    </row>
    <row r="80" spans="1:8">
      <c r="A80">
        <v>253</v>
      </c>
      <c r="B80" t="s">
        <v>3494</v>
      </c>
      <c r="C80" t="s">
        <v>5933</v>
      </c>
      <c r="D80">
        <v>101</v>
      </c>
      <c r="E80" t="s">
        <v>3395</v>
      </c>
      <c r="F80">
        <v>210.98</v>
      </c>
      <c r="G80" s="3218">
        <v>93.692047171292543</v>
      </c>
      <c r="H80" s="3218">
        <f t="shared" si="1"/>
        <v>93.69</v>
      </c>
    </row>
    <row r="81" spans="1:8">
      <c r="A81">
        <v>254</v>
      </c>
      <c r="B81" t="s">
        <v>3494</v>
      </c>
      <c r="C81" t="s">
        <v>5933</v>
      </c>
      <c r="D81">
        <v>102</v>
      </c>
      <c r="E81" t="s">
        <v>3395</v>
      </c>
      <c r="F81">
        <v>212.29</v>
      </c>
      <c r="G81" s="3218">
        <v>94.27379227411933</v>
      </c>
      <c r="H81" s="3218">
        <f t="shared" si="1"/>
        <v>94.27</v>
      </c>
    </row>
    <row r="82" spans="1:8">
      <c r="A82">
        <v>255</v>
      </c>
      <c r="B82" t="s">
        <v>3494</v>
      </c>
      <c r="C82" t="s">
        <v>5933</v>
      </c>
      <c r="D82">
        <v>201</v>
      </c>
      <c r="E82" t="s">
        <v>3395</v>
      </c>
      <c r="F82">
        <v>221.84</v>
      </c>
      <c r="G82" s="3218">
        <v>98.514758481749638</v>
      </c>
      <c r="H82" s="3218">
        <f t="shared" si="1"/>
        <v>98.51</v>
      </c>
    </row>
    <row r="83" spans="1:8">
      <c r="A83">
        <v>256</v>
      </c>
      <c r="B83" t="s">
        <v>3494</v>
      </c>
      <c r="C83" t="s">
        <v>5933</v>
      </c>
      <c r="D83">
        <v>202</v>
      </c>
      <c r="E83" t="s">
        <v>3395</v>
      </c>
      <c r="F83">
        <v>223.15</v>
      </c>
      <c r="G83" s="3218">
        <v>99.096503584576425</v>
      </c>
      <c r="H83" s="3218">
        <f t="shared" si="1"/>
        <v>99.1</v>
      </c>
    </row>
    <row r="84" spans="1:8">
      <c r="A84">
        <v>257</v>
      </c>
      <c r="B84" t="s">
        <v>3494</v>
      </c>
      <c r="C84" t="s">
        <v>5933</v>
      </c>
      <c r="D84">
        <v>301</v>
      </c>
      <c r="E84" t="s">
        <v>3395</v>
      </c>
      <c r="F84">
        <v>221.84</v>
      </c>
      <c r="G84" s="3218">
        <v>98.514758481749638</v>
      </c>
      <c r="H84" s="3218">
        <f t="shared" si="1"/>
        <v>98.51</v>
      </c>
    </row>
    <row r="85" spans="1:8">
      <c r="A85">
        <v>258</v>
      </c>
      <c r="B85" t="s">
        <v>3494</v>
      </c>
      <c r="C85" t="s">
        <v>5933</v>
      </c>
      <c r="D85">
        <v>302</v>
      </c>
      <c r="E85" t="s">
        <v>3395</v>
      </c>
      <c r="F85">
        <v>223.15</v>
      </c>
      <c r="G85" s="3218">
        <v>99.096503584576425</v>
      </c>
      <c r="H85" s="3218">
        <f t="shared" si="1"/>
        <v>99.1</v>
      </c>
    </row>
    <row r="86" spans="1:8">
      <c r="A86">
        <v>259</v>
      </c>
      <c r="B86" t="s">
        <v>3494</v>
      </c>
      <c r="C86" t="s">
        <v>5933</v>
      </c>
      <c r="D86">
        <v>402</v>
      </c>
      <c r="E86" t="s">
        <v>3395</v>
      </c>
      <c r="F86">
        <v>223.15</v>
      </c>
      <c r="G86" s="3218">
        <v>99.096503584576425</v>
      </c>
      <c r="H86" s="3218">
        <f t="shared" si="1"/>
        <v>99.1</v>
      </c>
    </row>
    <row r="87" spans="1:8">
      <c r="A87">
        <v>260</v>
      </c>
      <c r="B87" t="s">
        <v>3494</v>
      </c>
      <c r="C87" t="s">
        <v>5933</v>
      </c>
      <c r="D87">
        <v>401</v>
      </c>
      <c r="E87" t="s">
        <v>3395</v>
      </c>
      <c r="F87">
        <v>221.84</v>
      </c>
      <c r="G87" s="3218">
        <v>98.514758481749638</v>
      </c>
      <c r="H87" s="3218">
        <f t="shared" si="1"/>
        <v>98.51</v>
      </c>
    </row>
    <row r="88" spans="1:8">
      <c r="A88">
        <v>295</v>
      </c>
      <c r="B88" t="s">
        <v>3535</v>
      </c>
      <c r="C88" t="s">
        <v>5930</v>
      </c>
      <c r="D88">
        <v>101</v>
      </c>
      <c r="E88" t="s">
        <v>3395</v>
      </c>
      <c r="F88">
        <v>272.99</v>
      </c>
      <c r="G88" s="3218">
        <v>121.22946230586385</v>
      </c>
      <c r="H88" s="3218">
        <f t="shared" si="1"/>
        <v>121.23</v>
      </c>
    </row>
    <row r="89" spans="1:8">
      <c r="A89">
        <v>296</v>
      </c>
      <c r="B89" t="s">
        <v>3535</v>
      </c>
      <c r="C89" t="s">
        <v>5930</v>
      </c>
      <c r="D89">
        <v>102</v>
      </c>
      <c r="E89" t="s">
        <v>3395</v>
      </c>
      <c r="F89">
        <v>271.81</v>
      </c>
      <c r="G89" s="3218">
        <v>120.70544763308858</v>
      </c>
      <c r="H89" s="3218">
        <f t="shared" si="1"/>
        <v>120.71</v>
      </c>
    </row>
    <row r="90" spans="1:8">
      <c r="A90">
        <v>297</v>
      </c>
      <c r="B90" t="s">
        <v>3535</v>
      </c>
      <c r="C90" t="s">
        <v>5930</v>
      </c>
      <c r="D90">
        <v>201</v>
      </c>
      <c r="E90" t="s">
        <v>3395</v>
      </c>
      <c r="F90">
        <v>273.05</v>
      </c>
      <c r="G90" s="3218">
        <v>121.25610711973377</v>
      </c>
      <c r="H90" s="3218">
        <f t="shared" si="1"/>
        <v>121.26</v>
      </c>
    </row>
    <row r="91" spans="1:8">
      <c r="A91">
        <v>298</v>
      </c>
      <c r="B91" t="s">
        <v>3535</v>
      </c>
      <c r="C91" t="s">
        <v>5930</v>
      </c>
      <c r="D91">
        <v>202</v>
      </c>
      <c r="E91" t="s">
        <v>3395</v>
      </c>
      <c r="F91">
        <v>271.88</v>
      </c>
      <c r="G91" s="3218">
        <v>120.73653324927017</v>
      </c>
      <c r="H91" s="3218">
        <f t="shared" si="1"/>
        <v>120.74</v>
      </c>
    </row>
    <row r="92" spans="1:8">
      <c r="A92">
        <v>299</v>
      </c>
      <c r="B92" t="s">
        <v>3535</v>
      </c>
      <c r="C92" t="s">
        <v>5930</v>
      </c>
      <c r="D92">
        <v>301</v>
      </c>
      <c r="E92" t="s">
        <v>3395</v>
      </c>
      <c r="F92">
        <v>273.05</v>
      </c>
      <c r="G92" s="3218">
        <v>121.25610711973377</v>
      </c>
      <c r="H92" s="3218">
        <f t="shared" si="1"/>
        <v>121.26</v>
      </c>
    </row>
    <row r="93" spans="1:8">
      <c r="A93">
        <v>300</v>
      </c>
      <c r="B93" t="s">
        <v>3535</v>
      </c>
      <c r="C93" t="s">
        <v>5930</v>
      </c>
      <c r="D93">
        <v>302</v>
      </c>
      <c r="E93" t="s">
        <v>3395</v>
      </c>
      <c r="F93">
        <v>271.88</v>
      </c>
      <c r="G93" s="3218">
        <v>120.73653324927017</v>
      </c>
      <c r="H93" s="3218">
        <f t="shared" si="1"/>
        <v>120.74</v>
      </c>
    </row>
    <row r="94" spans="1:8">
      <c r="A94">
        <v>301</v>
      </c>
      <c r="B94" t="s">
        <v>3535</v>
      </c>
      <c r="C94" t="s">
        <v>5930</v>
      </c>
      <c r="D94">
        <v>402</v>
      </c>
      <c r="E94" t="s">
        <v>3395</v>
      </c>
      <c r="F94">
        <v>271.88</v>
      </c>
      <c r="G94" s="3218">
        <v>120.73653324927017</v>
      </c>
      <c r="H94" s="3218">
        <f t="shared" si="1"/>
        <v>120.74</v>
      </c>
    </row>
    <row r="95" spans="1:8">
      <c r="A95">
        <v>302</v>
      </c>
      <c r="B95" t="s">
        <v>3535</v>
      </c>
      <c r="C95" t="s">
        <v>5931</v>
      </c>
      <c r="D95">
        <v>101</v>
      </c>
      <c r="E95" t="s">
        <v>3395</v>
      </c>
      <c r="F95">
        <v>271.81</v>
      </c>
      <c r="G95" s="3218">
        <v>120.70544763308858</v>
      </c>
      <c r="H95" s="3218">
        <f t="shared" si="1"/>
        <v>120.71</v>
      </c>
    </row>
    <row r="96" spans="1:8">
      <c r="A96">
        <v>303</v>
      </c>
      <c r="B96" t="s">
        <v>3535</v>
      </c>
      <c r="C96" t="s">
        <v>5931</v>
      </c>
      <c r="D96">
        <v>102</v>
      </c>
      <c r="E96" t="s">
        <v>3395</v>
      </c>
      <c r="F96">
        <v>272.99</v>
      </c>
      <c r="G96" s="3218">
        <v>121.22946230586385</v>
      </c>
      <c r="H96" s="3218">
        <f t="shared" si="1"/>
        <v>121.23</v>
      </c>
    </row>
    <row r="97" spans="1:8">
      <c r="A97">
        <v>304</v>
      </c>
      <c r="B97" t="s">
        <v>3535</v>
      </c>
      <c r="C97" t="s">
        <v>5931</v>
      </c>
      <c r="D97">
        <v>201</v>
      </c>
      <c r="E97" t="s">
        <v>3395</v>
      </c>
      <c r="F97">
        <v>271.88</v>
      </c>
      <c r="G97" s="3218">
        <v>120.73653324927017</v>
      </c>
      <c r="H97" s="3218">
        <f t="shared" si="1"/>
        <v>120.74</v>
      </c>
    </row>
    <row r="98" spans="1:8">
      <c r="A98">
        <v>305</v>
      </c>
      <c r="B98" t="s">
        <v>3535</v>
      </c>
      <c r="C98" t="s">
        <v>5931</v>
      </c>
      <c r="D98">
        <v>301</v>
      </c>
      <c r="E98" t="s">
        <v>3395</v>
      </c>
      <c r="F98">
        <v>271.88</v>
      </c>
      <c r="G98" s="3218">
        <v>120.73653324927017</v>
      </c>
      <c r="H98" s="3218">
        <f t="shared" si="1"/>
        <v>120.74</v>
      </c>
    </row>
    <row r="99" spans="1:8">
      <c r="A99">
        <v>306</v>
      </c>
      <c r="B99" t="s">
        <v>3535</v>
      </c>
      <c r="C99" t="s">
        <v>5931</v>
      </c>
      <c r="D99">
        <v>401</v>
      </c>
      <c r="E99" t="s">
        <v>3395</v>
      </c>
      <c r="F99">
        <v>271.88</v>
      </c>
      <c r="G99" s="3218">
        <v>120.73653324927017</v>
      </c>
      <c r="H99" s="3218">
        <f t="shared" si="1"/>
        <v>120.74</v>
      </c>
    </row>
    <row r="100" spans="1:8">
      <c r="A100">
        <v>329</v>
      </c>
      <c r="B100" t="s">
        <v>3560</v>
      </c>
      <c r="D100">
        <v>302</v>
      </c>
      <c r="E100" t="s">
        <v>3395</v>
      </c>
      <c r="F100">
        <v>230.81</v>
      </c>
      <c r="G100" s="3218">
        <v>102.49815815530398</v>
      </c>
      <c r="H100" s="3218">
        <f t="shared" si="1"/>
        <v>102.5</v>
      </c>
    </row>
    <row r="101" spans="1:8">
      <c r="A101">
        <v>331</v>
      </c>
      <c r="B101" t="s">
        <v>3567</v>
      </c>
      <c r="D101">
        <v>102</v>
      </c>
      <c r="E101" t="s">
        <v>3395</v>
      </c>
      <c r="F101">
        <v>272.83</v>
      </c>
      <c r="G101" s="3218">
        <v>121.15840946887737</v>
      </c>
      <c r="H101" s="3218">
        <f t="shared" si="1"/>
        <v>121.16</v>
      </c>
    </row>
    <row r="102" spans="1:8">
      <c r="A102">
        <v>337</v>
      </c>
      <c r="B102" t="s">
        <v>3572</v>
      </c>
      <c r="C102" t="s">
        <v>5930</v>
      </c>
      <c r="D102">
        <v>101</v>
      </c>
      <c r="E102" t="s">
        <v>3395</v>
      </c>
      <c r="F102">
        <v>272.91000000000003</v>
      </c>
      <c r="G102" s="3218">
        <v>121.19393588737061</v>
      </c>
      <c r="H102" s="3218">
        <f t="shared" si="1"/>
        <v>121.19</v>
      </c>
    </row>
    <row r="103" spans="1:8">
      <c r="A103">
        <v>338</v>
      </c>
      <c r="B103" t="s">
        <v>3572</v>
      </c>
      <c r="C103" t="s">
        <v>5930</v>
      </c>
      <c r="D103">
        <v>102</v>
      </c>
      <c r="E103" t="s">
        <v>3395</v>
      </c>
      <c r="F103">
        <v>271.69</v>
      </c>
      <c r="G103" s="3218">
        <v>120.65215800534872</v>
      </c>
      <c r="H103" s="3218">
        <f t="shared" si="1"/>
        <v>120.65</v>
      </c>
    </row>
    <row r="104" spans="1:8">
      <c r="A104">
        <v>339</v>
      </c>
      <c r="B104" t="s">
        <v>3572</v>
      </c>
      <c r="C104" t="s">
        <v>5930</v>
      </c>
      <c r="D104">
        <v>201</v>
      </c>
      <c r="E104" t="s">
        <v>3395</v>
      </c>
      <c r="F104">
        <v>272.97000000000003</v>
      </c>
      <c r="G104" s="3218">
        <v>121.22058070124055</v>
      </c>
      <c r="H104" s="3218">
        <f t="shared" si="1"/>
        <v>121.22</v>
      </c>
    </row>
    <row r="105" spans="1:8">
      <c r="A105">
        <v>340</v>
      </c>
      <c r="B105" t="s">
        <v>3572</v>
      </c>
      <c r="C105" t="s">
        <v>5930</v>
      </c>
      <c r="D105">
        <v>202</v>
      </c>
      <c r="E105" t="s">
        <v>3395</v>
      </c>
      <c r="F105">
        <v>271.75</v>
      </c>
      <c r="G105" s="3218">
        <v>120.67880281921865</v>
      </c>
      <c r="H105" s="3218">
        <f t="shared" si="1"/>
        <v>120.68</v>
      </c>
    </row>
    <row r="106" spans="1:8">
      <c r="A106">
        <v>341</v>
      </c>
      <c r="B106" t="s">
        <v>3572</v>
      </c>
      <c r="C106" t="s">
        <v>5930</v>
      </c>
      <c r="D106">
        <v>301</v>
      </c>
      <c r="E106" t="s">
        <v>3395</v>
      </c>
      <c r="F106">
        <v>272.97000000000003</v>
      </c>
      <c r="G106" s="3218">
        <v>121.22058070124055</v>
      </c>
      <c r="H106" s="3218">
        <f t="shared" si="1"/>
        <v>121.22</v>
      </c>
    </row>
    <row r="107" spans="1:8">
      <c r="A107">
        <v>342</v>
      </c>
      <c r="B107" t="s">
        <v>3572</v>
      </c>
      <c r="C107" t="s">
        <v>5930</v>
      </c>
      <c r="D107">
        <v>401</v>
      </c>
      <c r="E107" t="s">
        <v>3395</v>
      </c>
      <c r="F107">
        <v>272.97000000000003</v>
      </c>
      <c r="G107" s="3218">
        <v>121.22058070124055</v>
      </c>
      <c r="H107" s="3218">
        <f t="shared" si="1"/>
        <v>121.22</v>
      </c>
    </row>
    <row r="108" spans="1:8">
      <c r="A108">
        <v>343</v>
      </c>
      <c r="B108" t="s">
        <v>3572</v>
      </c>
      <c r="C108" t="s">
        <v>5931</v>
      </c>
      <c r="D108">
        <v>101</v>
      </c>
      <c r="E108" t="s">
        <v>3395</v>
      </c>
      <c r="F108">
        <v>271.69</v>
      </c>
      <c r="G108" s="3218">
        <v>120.65215800534872</v>
      </c>
      <c r="H108" s="3218">
        <f t="shared" si="1"/>
        <v>120.65</v>
      </c>
    </row>
    <row r="109" spans="1:8">
      <c r="A109">
        <v>344</v>
      </c>
      <c r="B109" t="s">
        <v>3572</v>
      </c>
      <c r="C109" t="s">
        <v>5931</v>
      </c>
      <c r="D109">
        <v>102</v>
      </c>
      <c r="E109" t="s">
        <v>3395</v>
      </c>
      <c r="F109">
        <v>272.86</v>
      </c>
      <c r="G109" s="3218">
        <v>121.17173187581234</v>
      </c>
      <c r="H109" s="3218">
        <f t="shared" si="1"/>
        <v>121.17</v>
      </c>
    </row>
    <row r="110" spans="1:8">
      <c r="A110">
        <v>345</v>
      </c>
      <c r="B110" t="s">
        <v>3572</v>
      </c>
      <c r="C110" t="s">
        <v>5931</v>
      </c>
      <c r="D110">
        <v>202</v>
      </c>
      <c r="E110" t="s">
        <v>3395</v>
      </c>
      <c r="F110">
        <v>272.92</v>
      </c>
      <c r="G110" s="3218">
        <v>121.19837668968226</v>
      </c>
      <c r="H110" s="3218">
        <f t="shared" si="1"/>
        <v>121.2</v>
      </c>
    </row>
    <row r="111" spans="1:8">
      <c r="A111">
        <v>371</v>
      </c>
      <c r="B111" t="s">
        <v>3591</v>
      </c>
      <c r="C111" t="s">
        <v>5931</v>
      </c>
      <c r="D111">
        <v>101</v>
      </c>
      <c r="E111" t="s">
        <v>3395</v>
      </c>
      <c r="F111">
        <v>168.06</v>
      </c>
      <c r="G111" s="3218">
        <v>74.632123649670234</v>
      </c>
      <c r="H111" s="3218">
        <f t="shared" si="1"/>
        <v>74.63</v>
      </c>
    </row>
    <row r="112" spans="1:8">
      <c r="A112">
        <v>368</v>
      </c>
      <c r="B112" t="s">
        <v>3591</v>
      </c>
      <c r="C112" t="s">
        <v>5933</v>
      </c>
      <c r="D112">
        <v>101</v>
      </c>
      <c r="E112" t="s">
        <v>3395</v>
      </c>
      <c r="F112">
        <v>168.06</v>
      </c>
      <c r="G112" s="3218">
        <v>74.632123649670234</v>
      </c>
      <c r="H112" s="3218">
        <f t="shared" si="1"/>
        <v>74.63</v>
      </c>
    </row>
    <row r="113" spans="1:8">
      <c r="A113">
        <v>369</v>
      </c>
      <c r="B113" t="s">
        <v>3591</v>
      </c>
      <c r="C113" t="s">
        <v>5933</v>
      </c>
      <c r="D113">
        <v>102</v>
      </c>
      <c r="E113" t="s">
        <v>3395</v>
      </c>
      <c r="F113">
        <v>192.5</v>
      </c>
      <c r="G113" s="3218">
        <v>85.485444499354514</v>
      </c>
      <c r="H113" s="3218">
        <f t="shared" si="1"/>
        <v>85.49</v>
      </c>
    </row>
    <row r="114" spans="1:8">
      <c r="A114">
        <v>370</v>
      </c>
      <c r="B114" t="s">
        <v>3591</v>
      </c>
      <c r="C114" t="s">
        <v>5933</v>
      </c>
      <c r="D114">
        <v>202</v>
      </c>
      <c r="E114" t="s">
        <v>3395</v>
      </c>
      <c r="F114">
        <v>192.53</v>
      </c>
      <c r="G114" s="3218">
        <v>85.498766906289475</v>
      </c>
      <c r="H114" s="3218">
        <f t="shared" si="1"/>
        <v>85.5</v>
      </c>
    </row>
    <row r="115" spans="1:8">
      <c r="A115">
        <v>394</v>
      </c>
      <c r="B115" t="s">
        <v>3600</v>
      </c>
      <c r="C115" t="s">
        <v>5930</v>
      </c>
      <c r="D115">
        <v>101</v>
      </c>
      <c r="E115" t="s">
        <v>3395</v>
      </c>
      <c r="F115">
        <v>272.91000000000003</v>
      </c>
      <c r="G115" s="3218">
        <v>121.19393588737061</v>
      </c>
      <c r="H115" s="3218">
        <f t="shared" si="1"/>
        <v>121.19</v>
      </c>
    </row>
    <row r="116" spans="1:8">
      <c r="A116">
        <v>395</v>
      </c>
      <c r="B116" t="s">
        <v>3600</v>
      </c>
      <c r="C116" t="s">
        <v>5930</v>
      </c>
      <c r="D116">
        <v>102</v>
      </c>
      <c r="E116" t="s">
        <v>3395</v>
      </c>
      <c r="F116">
        <v>271.73</v>
      </c>
      <c r="G116" s="3218">
        <v>120.66992121459535</v>
      </c>
      <c r="H116" s="3218">
        <f t="shared" si="1"/>
        <v>120.67</v>
      </c>
    </row>
    <row r="117" spans="1:8">
      <c r="A117">
        <v>396</v>
      </c>
      <c r="B117" t="s">
        <v>3600</v>
      </c>
      <c r="C117" t="s">
        <v>5930</v>
      </c>
      <c r="D117">
        <v>202</v>
      </c>
      <c r="E117" t="s">
        <v>3395</v>
      </c>
      <c r="F117">
        <v>271.8</v>
      </c>
      <c r="G117" s="3218">
        <v>120.70100683077693</v>
      </c>
      <c r="H117" s="3218">
        <f t="shared" si="1"/>
        <v>120.7</v>
      </c>
    </row>
    <row r="118" spans="1:8">
      <c r="A118">
        <v>397</v>
      </c>
      <c r="B118" t="s">
        <v>3600</v>
      </c>
      <c r="C118" t="s">
        <v>5930</v>
      </c>
      <c r="D118">
        <v>402</v>
      </c>
      <c r="E118" t="s">
        <v>3395</v>
      </c>
      <c r="F118">
        <v>271.8</v>
      </c>
      <c r="G118" s="3218">
        <v>120.70100683077693</v>
      </c>
      <c r="H118" s="3218">
        <f t="shared" si="1"/>
        <v>120.7</v>
      </c>
    </row>
    <row r="119" spans="1:8">
      <c r="A119">
        <v>398</v>
      </c>
      <c r="B119" t="s">
        <v>3600</v>
      </c>
      <c r="C119" t="s">
        <v>5931</v>
      </c>
      <c r="D119">
        <v>101</v>
      </c>
      <c r="E119" t="s">
        <v>3395</v>
      </c>
      <c r="F119">
        <v>271.73</v>
      </c>
      <c r="G119" s="3218">
        <v>120.66992121459535</v>
      </c>
      <c r="H119" s="3218">
        <f t="shared" si="1"/>
        <v>120.67</v>
      </c>
    </row>
    <row r="120" spans="1:8">
      <c r="A120">
        <v>399</v>
      </c>
      <c r="B120" t="s">
        <v>3600</v>
      </c>
      <c r="C120" t="s">
        <v>5931</v>
      </c>
      <c r="D120">
        <v>201</v>
      </c>
      <c r="E120" t="s">
        <v>3395</v>
      </c>
      <c r="F120">
        <v>271.8</v>
      </c>
      <c r="G120" s="3218">
        <v>120.70100683077693</v>
      </c>
      <c r="H120" s="3218">
        <f t="shared" si="1"/>
        <v>120.7</v>
      </c>
    </row>
    <row r="121" spans="1:8">
      <c r="A121">
        <v>416</v>
      </c>
      <c r="B121" t="s">
        <v>3642</v>
      </c>
      <c r="C121" t="s">
        <v>5930</v>
      </c>
      <c r="D121">
        <v>102</v>
      </c>
      <c r="E121" t="s">
        <v>3395</v>
      </c>
      <c r="F121">
        <v>210.91</v>
      </c>
      <c r="G121" s="3218">
        <v>93.660961555110973</v>
      </c>
      <c r="H121" s="3218">
        <f t="shared" si="1"/>
        <v>93.66</v>
      </c>
    </row>
    <row r="122" spans="1:8">
      <c r="A122">
        <v>417</v>
      </c>
      <c r="B122" t="s">
        <v>3642</v>
      </c>
      <c r="C122" t="s">
        <v>5931</v>
      </c>
      <c r="D122">
        <v>101</v>
      </c>
      <c r="E122" t="s">
        <v>3395</v>
      </c>
      <c r="F122">
        <v>210.91</v>
      </c>
      <c r="G122" s="3218">
        <v>93.660961555110973</v>
      </c>
      <c r="H122" s="3218">
        <f t="shared" si="1"/>
        <v>93.66</v>
      </c>
    </row>
    <row r="123" spans="1:8">
      <c r="A123">
        <v>418</v>
      </c>
      <c r="B123" t="s">
        <v>3642</v>
      </c>
      <c r="C123" t="s">
        <v>5931</v>
      </c>
      <c r="D123">
        <v>202</v>
      </c>
      <c r="E123" t="s">
        <v>3395</v>
      </c>
      <c r="F123">
        <v>230.81</v>
      </c>
      <c r="G123" s="3218">
        <v>102.49815815530398</v>
      </c>
      <c r="H123" s="3218">
        <f t="shared" si="1"/>
        <v>102.5</v>
      </c>
    </row>
    <row r="124" spans="1:8">
      <c r="A124">
        <v>419</v>
      </c>
      <c r="B124" t="s">
        <v>3642</v>
      </c>
      <c r="C124" t="s">
        <v>5931</v>
      </c>
      <c r="D124">
        <v>302</v>
      </c>
      <c r="E124" t="s">
        <v>3395</v>
      </c>
      <c r="F124">
        <v>230.81</v>
      </c>
      <c r="G124" s="3218">
        <v>102.49815815530398</v>
      </c>
      <c r="H124" s="3218">
        <f t="shared" si="1"/>
        <v>102.5</v>
      </c>
    </row>
    <row r="125" spans="1:8">
      <c r="A125">
        <v>434</v>
      </c>
      <c r="B125" t="s">
        <v>3655</v>
      </c>
      <c r="C125" t="s">
        <v>5930</v>
      </c>
      <c r="D125">
        <v>102</v>
      </c>
      <c r="E125" t="s">
        <v>3395</v>
      </c>
      <c r="F125">
        <v>210.96</v>
      </c>
      <c r="G125" s="3218">
        <v>93.683165566669246</v>
      </c>
      <c r="H125" s="3218">
        <f t="shared" si="1"/>
        <v>93.68</v>
      </c>
    </row>
    <row r="126" spans="1:8">
      <c r="A126">
        <v>439</v>
      </c>
      <c r="B126" t="s">
        <v>3662</v>
      </c>
      <c r="C126" t="s">
        <v>5930</v>
      </c>
      <c r="D126">
        <v>101</v>
      </c>
      <c r="E126" t="s">
        <v>3395</v>
      </c>
      <c r="F126">
        <v>272.93</v>
      </c>
      <c r="G126" s="3218">
        <v>121.20281749199391</v>
      </c>
      <c r="H126" s="3218">
        <f t="shared" si="1"/>
        <v>121.2</v>
      </c>
    </row>
    <row r="127" spans="1:8">
      <c r="A127">
        <v>440</v>
      </c>
      <c r="B127" t="s">
        <v>3662</v>
      </c>
      <c r="C127" t="s">
        <v>5930</v>
      </c>
      <c r="D127">
        <v>102</v>
      </c>
      <c r="E127" t="s">
        <v>3395</v>
      </c>
      <c r="F127">
        <v>271.76</v>
      </c>
      <c r="G127" s="3218">
        <v>120.68324362153029</v>
      </c>
      <c r="H127" s="3218">
        <f t="shared" si="1"/>
        <v>120.68</v>
      </c>
    </row>
    <row r="128" spans="1:8">
      <c r="A128">
        <v>441</v>
      </c>
      <c r="B128" t="s">
        <v>3662</v>
      </c>
      <c r="C128" t="s">
        <v>5930</v>
      </c>
      <c r="D128">
        <v>201</v>
      </c>
      <c r="E128" t="s">
        <v>3395</v>
      </c>
      <c r="F128">
        <v>272.99</v>
      </c>
      <c r="G128" s="3218">
        <v>121.22946230586385</v>
      </c>
      <c r="H128" s="3218">
        <f t="shared" si="1"/>
        <v>121.23</v>
      </c>
    </row>
    <row r="129" spans="1:8">
      <c r="A129">
        <v>442</v>
      </c>
      <c r="B129" t="s">
        <v>3662</v>
      </c>
      <c r="C129" t="s">
        <v>5930</v>
      </c>
      <c r="D129">
        <v>202</v>
      </c>
      <c r="E129" t="s">
        <v>3395</v>
      </c>
      <c r="F129">
        <v>271.82</v>
      </c>
      <c r="G129" s="3218">
        <v>120.70988843540023</v>
      </c>
      <c r="H129" s="3218">
        <f t="shared" si="1"/>
        <v>120.71</v>
      </c>
    </row>
    <row r="130" spans="1:8">
      <c r="A130">
        <v>443</v>
      </c>
      <c r="B130" t="s">
        <v>3662</v>
      </c>
      <c r="C130" t="s">
        <v>5930</v>
      </c>
      <c r="D130">
        <v>301</v>
      </c>
      <c r="E130" t="s">
        <v>3395</v>
      </c>
      <c r="F130">
        <v>272.99</v>
      </c>
      <c r="G130" s="3218">
        <v>121.22946230586385</v>
      </c>
      <c r="H130" s="3218">
        <f t="shared" si="1"/>
        <v>121.23</v>
      </c>
    </row>
    <row r="131" spans="1:8">
      <c r="A131">
        <v>444</v>
      </c>
      <c r="B131" t="s">
        <v>3662</v>
      </c>
      <c r="C131" t="s">
        <v>5930</v>
      </c>
      <c r="D131">
        <v>302</v>
      </c>
      <c r="E131" t="s">
        <v>3395</v>
      </c>
      <c r="F131">
        <v>271.82</v>
      </c>
      <c r="G131" s="3218">
        <v>120.70988843540023</v>
      </c>
      <c r="H131" s="3218">
        <f t="shared" ref="H131:H169" si="2">ROUND(G131,2)</f>
        <v>120.71</v>
      </c>
    </row>
    <row r="132" spans="1:8">
      <c r="A132">
        <v>445</v>
      </c>
      <c r="B132" t="s">
        <v>3662</v>
      </c>
      <c r="C132" t="s">
        <v>5930</v>
      </c>
      <c r="D132">
        <v>401</v>
      </c>
      <c r="E132" t="s">
        <v>3395</v>
      </c>
      <c r="F132">
        <v>272.99</v>
      </c>
      <c r="G132" s="3218">
        <v>121.22946230586385</v>
      </c>
      <c r="H132" s="3218">
        <f t="shared" si="2"/>
        <v>121.23</v>
      </c>
    </row>
    <row r="133" spans="1:8">
      <c r="A133">
        <v>446</v>
      </c>
      <c r="B133" t="s">
        <v>3662</v>
      </c>
      <c r="C133" t="s">
        <v>5930</v>
      </c>
      <c r="D133">
        <v>402</v>
      </c>
      <c r="E133" t="s">
        <v>3395</v>
      </c>
      <c r="F133">
        <v>271.82</v>
      </c>
      <c r="G133" s="3218">
        <v>120.70988843540023</v>
      </c>
      <c r="H133" s="3218">
        <f t="shared" si="2"/>
        <v>120.71</v>
      </c>
    </row>
    <row r="134" spans="1:8">
      <c r="A134">
        <v>447</v>
      </c>
      <c r="B134" t="s">
        <v>3662</v>
      </c>
      <c r="C134" t="s">
        <v>5931</v>
      </c>
      <c r="D134">
        <v>101</v>
      </c>
      <c r="E134" t="s">
        <v>3395</v>
      </c>
      <c r="F134">
        <v>271.76</v>
      </c>
      <c r="G134" s="3218">
        <v>120.68324362153029</v>
      </c>
      <c r="H134" s="3218">
        <f t="shared" si="2"/>
        <v>120.68</v>
      </c>
    </row>
    <row r="135" spans="1:8">
      <c r="A135">
        <v>448</v>
      </c>
      <c r="B135" t="s">
        <v>3662</v>
      </c>
      <c r="C135" t="s">
        <v>5931</v>
      </c>
      <c r="D135">
        <v>201</v>
      </c>
      <c r="E135" t="s">
        <v>3395</v>
      </c>
      <c r="F135">
        <v>271.82</v>
      </c>
      <c r="G135" s="3218">
        <v>120.70988843540023</v>
      </c>
      <c r="H135" s="3218">
        <f t="shared" si="2"/>
        <v>120.71</v>
      </c>
    </row>
    <row r="136" spans="1:8">
      <c r="A136">
        <v>468</v>
      </c>
      <c r="B136" t="s">
        <v>3685</v>
      </c>
      <c r="C136" t="s">
        <v>5930</v>
      </c>
      <c r="D136">
        <v>102</v>
      </c>
      <c r="E136" t="s">
        <v>3395</v>
      </c>
      <c r="F136">
        <v>210.97</v>
      </c>
      <c r="G136" s="3218">
        <v>93.687606368980894</v>
      </c>
      <c r="H136" s="3218">
        <f t="shared" si="2"/>
        <v>93.69</v>
      </c>
    </row>
    <row r="137" spans="1:8">
      <c r="A137">
        <v>469</v>
      </c>
      <c r="B137" t="s">
        <v>3685</v>
      </c>
      <c r="C137" t="s">
        <v>5930</v>
      </c>
      <c r="D137">
        <v>201</v>
      </c>
      <c r="E137" t="s">
        <v>3395</v>
      </c>
      <c r="F137">
        <v>230.87</v>
      </c>
      <c r="G137" s="3218">
        <v>102.5248029691739</v>
      </c>
      <c r="H137" s="3218">
        <f t="shared" si="2"/>
        <v>102.52</v>
      </c>
    </row>
    <row r="138" spans="1:8">
      <c r="A138">
        <v>470</v>
      </c>
      <c r="B138" t="s">
        <v>3685</v>
      </c>
      <c r="C138" t="s">
        <v>5930</v>
      </c>
      <c r="D138">
        <v>302</v>
      </c>
      <c r="E138" t="s">
        <v>3395</v>
      </c>
      <c r="F138">
        <v>221.83</v>
      </c>
      <c r="G138" s="3218">
        <v>98.510317679437989</v>
      </c>
      <c r="H138" s="3218">
        <f t="shared" si="2"/>
        <v>98.51</v>
      </c>
    </row>
    <row r="139" spans="1:8">
      <c r="A139">
        <v>471</v>
      </c>
      <c r="B139" t="s">
        <v>3685</v>
      </c>
      <c r="C139" t="s">
        <v>5930</v>
      </c>
      <c r="D139">
        <v>402</v>
      </c>
      <c r="E139" t="s">
        <v>3395</v>
      </c>
      <c r="F139">
        <v>221.83</v>
      </c>
      <c r="G139" s="3218">
        <v>98.510317679437989</v>
      </c>
      <c r="H139" s="3218">
        <f t="shared" si="2"/>
        <v>98.51</v>
      </c>
    </row>
    <row r="140" spans="1:8">
      <c r="A140">
        <v>474</v>
      </c>
      <c r="B140" t="s">
        <v>3685</v>
      </c>
      <c r="C140" t="s">
        <v>5931</v>
      </c>
      <c r="D140">
        <v>101</v>
      </c>
      <c r="E140" t="s">
        <v>3395</v>
      </c>
      <c r="F140">
        <v>210.97</v>
      </c>
      <c r="G140" s="3218">
        <v>93.687606368980894</v>
      </c>
      <c r="H140" s="3218">
        <f t="shared" si="2"/>
        <v>93.69</v>
      </c>
    </row>
    <row r="141" spans="1:8">
      <c r="A141">
        <v>475</v>
      </c>
      <c r="B141" t="s">
        <v>3685</v>
      </c>
      <c r="C141" t="s">
        <v>5931</v>
      </c>
      <c r="D141">
        <v>102</v>
      </c>
      <c r="E141" t="s">
        <v>3395</v>
      </c>
      <c r="F141">
        <v>210.97</v>
      </c>
      <c r="G141" s="3218">
        <v>93.687606368980894</v>
      </c>
      <c r="H141" s="3218">
        <f t="shared" si="2"/>
        <v>93.69</v>
      </c>
    </row>
    <row r="142" spans="1:8">
      <c r="A142">
        <v>476</v>
      </c>
      <c r="B142" t="s">
        <v>3685</v>
      </c>
      <c r="C142" t="s">
        <v>5931</v>
      </c>
      <c r="D142">
        <v>201</v>
      </c>
      <c r="E142" t="s">
        <v>3395</v>
      </c>
      <c r="F142">
        <v>221.83</v>
      </c>
      <c r="G142" s="3218">
        <v>98.510317679437989</v>
      </c>
      <c r="H142" s="3218">
        <f t="shared" si="2"/>
        <v>98.51</v>
      </c>
    </row>
    <row r="143" spans="1:8">
      <c r="A143">
        <v>477</v>
      </c>
      <c r="B143" t="s">
        <v>3685</v>
      </c>
      <c r="C143" t="s">
        <v>5931</v>
      </c>
      <c r="D143">
        <v>202</v>
      </c>
      <c r="E143" t="s">
        <v>3395</v>
      </c>
      <c r="F143">
        <v>221.83</v>
      </c>
      <c r="G143" s="3218">
        <v>98.510317679437989</v>
      </c>
      <c r="H143" s="3218">
        <f t="shared" si="2"/>
        <v>98.51</v>
      </c>
    </row>
    <row r="144" spans="1:8">
      <c r="A144">
        <v>478</v>
      </c>
      <c r="B144" t="s">
        <v>3685</v>
      </c>
      <c r="C144" t="s">
        <v>5931</v>
      </c>
      <c r="D144">
        <v>301</v>
      </c>
      <c r="E144" t="s">
        <v>3395</v>
      </c>
      <c r="F144">
        <v>221.83</v>
      </c>
      <c r="G144" s="3218">
        <v>98.510317679437989</v>
      </c>
      <c r="H144" s="3218">
        <f t="shared" si="2"/>
        <v>98.51</v>
      </c>
    </row>
    <row r="145" spans="1:8">
      <c r="A145">
        <v>479</v>
      </c>
      <c r="B145" t="s">
        <v>3685</v>
      </c>
      <c r="C145" t="s">
        <v>5931</v>
      </c>
      <c r="D145">
        <v>302</v>
      </c>
      <c r="E145" t="s">
        <v>3395</v>
      </c>
      <c r="F145">
        <v>221.83</v>
      </c>
      <c r="G145" s="3218">
        <v>98.510317679437989</v>
      </c>
      <c r="H145" s="3218">
        <f t="shared" si="2"/>
        <v>98.51</v>
      </c>
    </row>
    <row r="146" spans="1:8">
      <c r="A146">
        <v>480</v>
      </c>
      <c r="B146" t="s">
        <v>3685</v>
      </c>
      <c r="C146" t="s">
        <v>5931</v>
      </c>
      <c r="D146">
        <v>401</v>
      </c>
      <c r="E146" t="s">
        <v>3395</v>
      </c>
      <c r="F146">
        <v>221.83</v>
      </c>
      <c r="G146" s="3218">
        <v>98.510317679437989</v>
      </c>
      <c r="H146" s="3218">
        <f t="shared" si="2"/>
        <v>98.51</v>
      </c>
    </row>
    <row r="147" spans="1:8">
      <c r="A147">
        <v>472</v>
      </c>
      <c r="B147" t="s">
        <v>3685</v>
      </c>
      <c r="C147" t="s">
        <v>5933</v>
      </c>
      <c r="D147">
        <v>101</v>
      </c>
      <c r="E147" t="s">
        <v>3395</v>
      </c>
      <c r="F147">
        <v>210.97</v>
      </c>
      <c r="G147" s="3218">
        <v>93.687606368980894</v>
      </c>
      <c r="H147" s="3218">
        <f t="shared" si="2"/>
        <v>93.69</v>
      </c>
    </row>
    <row r="148" spans="1:8">
      <c r="A148">
        <v>473</v>
      </c>
      <c r="B148" t="s">
        <v>3685</v>
      </c>
      <c r="C148" t="s">
        <v>5933</v>
      </c>
      <c r="D148">
        <v>401</v>
      </c>
      <c r="E148" t="s">
        <v>3395</v>
      </c>
      <c r="F148">
        <v>221.83</v>
      </c>
      <c r="G148" s="3218">
        <v>98.510317679437989</v>
      </c>
      <c r="H148" s="3218">
        <f t="shared" si="2"/>
        <v>98.51</v>
      </c>
    </row>
    <row r="149" spans="1:8">
      <c r="A149">
        <v>508</v>
      </c>
      <c r="B149" t="s">
        <v>3712</v>
      </c>
      <c r="C149" t="s">
        <v>5930</v>
      </c>
      <c r="D149">
        <v>102</v>
      </c>
      <c r="E149" t="s">
        <v>3395</v>
      </c>
      <c r="F149">
        <v>210.99</v>
      </c>
      <c r="G149" s="3218">
        <v>93.696487973604206</v>
      </c>
      <c r="H149" s="3218">
        <f t="shared" si="2"/>
        <v>93.7</v>
      </c>
    </row>
    <row r="150" spans="1:8">
      <c r="A150">
        <v>509</v>
      </c>
      <c r="B150" t="s">
        <v>3712</v>
      </c>
      <c r="C150" t="s">
        <v>5930</v>
      </c>
      <c r="D150">
        <v>201</v>
      </c>
      <c r="E150" t="s">
        <v>3395</v>
      </c>
      <c r="F150">
        <v>230.9</v>
      </c>
      <c r="G150" s="3218">
        <v>102.53812537610888</v>
      </c>
      <c r="H150" s="3218">
        <f t="shared" si="2"/>
        <v>102.54</v>
      </c>
    </row>
    <row r="151" spans="1:8">
      <c r="A151">
        <v>510</v>
      </c>
      <c r="B151" t="s">
        <v>3712</v>
      </c>
      <c r="C151" t="s">
        <v>5930</v>
      </c>
      <c r="D151">
        <v>302</v>
      </c>
      <c r="E151" t="s">
        <v>3395</v>
      </c>
      <c r="F151">
        <v>221.85</v>
      </c>
      <c r="G151" s="3218">
        <v>98.519199284061301</v>
      </c>
      <c r="H151" s="3218">
        <f t="shared" si="2"/>
        <v>98.52</v>
      </c>
    </row>
    <row r="152" spans="1:8">
      <c r="A152">
        <v>511</v>
      </c>
      <c r="B152" t="s">
        <v>3712</v>
      </c>
      <c r="C152" t="s">
        <v>5930</v>
      </c>
      <c r="D152">
        <v>401</v>
      </c>
      <c r="E152" t="s">
        <v>3395</v>
      </c>
      <c r="F152">
        <v>230.9</v>
      </c>
      <c r="G152" s="3218">
        <v>102.53812537610888</v>
      </c>
      <c r="H152" s="3218">
        <f t="shared" si="2"/>
        <v>102.54</v>
      </c>
    </row>
    <row r="153" spans="1:8">
      <c r="A153">
        <v>516</v>
      </c>
      <c r="B153" t="s">
        <v>3712</v>
      </c>
      <c r="C153" t="s">
        <v>5931</v>
      </c>
      <c r="D153">
        <v>101</v>
      </c>
      <c r="E153" t="s">
        <v>3395</v>
      </c>
      <c r="F153">
        <v>210.99</v>
      </c>
      <c r="G153" s="3218">
        <v>93.696487973604206</v>
      </c>
      <c r="H153" s="3218">
        <f t="shared" si="2"/>
        <v>93.7</v>
      </c>
    </row>
    <row r="154" spans="1:8">
      <c r="A154">
        <v>517</v>
      </c>
      <c r="B154" t="s">
        <v>3712</v>
      </c>
      <c r="C154" t="s">
        <v>5931</v>
      </c>
      <c r="D154">
        <v>102</v>
      </c>
      <c r="E154" t="s">
        <v>3395</v>
      </c>
      <c r="F154">
        <v>210.99</v>
      </c>
      <c r="G154" s="3218">
        <v>93.696487973604206</v>
      </c>
      <c r="H154" s="3218">
        <f t="shared" si="2"/>
        <v>93.7</v>
      </c>
    </row>
    <row r="155" spans="1:8">
      <c r="A155">
        <v>518</v>
      </c>
      <c r="B155" t="s">
        <v>3712</v>
      </c>
      <c r="C155" t="s">
        <v>5931</v>
      </c>
      <c r="D155">
        <v>302</v>
      </c>
      <c r="E155" t="s">
        <v>3395</v>
      </c>
      <c r="F155">
        <v>221.85</v>
      </c>
      <c r="G155" s="3218">
        <v>98.519199284061301</v>
      </c>
      <c r="H155" s="3218">
        <f t="shared" si="2"/>
        <v>98.52</v>
      </c>
    </row>
    <row r="156" spans="1:8">
      <c r="A156">
        <v>519</v>
      </c>
      <c r="B156" t="s">
        <v>3712</v>
      </c>
      <c r="C156" t="s">
        <v>5931</v>
      </c>
      <c r="D156">
        <v>401</v>
      </c>
      <c r="E156" t="s">
        <v>3395</v>
      </c>
      <c r="F156">
        <v>221.85</v>
      </c>
      <c r="G156" s="3218">
        <v>98.519199284061301</v>
      </c>
      <c r="H156" s="3218">
        <f t="shared" si="2"/>
        <v>98.52</v>
      </c>
    </row>
    <row r="157" spans="1:8">
      <c r="A157">
        <v>512</v>
      </c>
      <c r="B157" t="s">
        <v>3712</v>
      </c>
      <c r="C157" t="s">
        <v>5933</v>
      </c>
      <c r="D157">
        <v>101</v>
      </c>
      <c r="E157" t="s">
        <v>3395</v>
      </c>
      <c r="F157">
        <v>210.99</v>
      </c>
      <c r="G157" s="3218">
        <v>93.696487973604206</v>
      </c>
      <c r="H157" s="3218">
        <f t="shared" si="2"/>
        <v>93.7</v>
      </c>
    </row>
    <row r="158" spans="1:8">
      <c r="A158">
        <v>513</v>
      </c>
      <c r="B158" t="s">
        <v>3712</v>
      </c>
      <c r="C158" t="s">
        <v>5933</v>
      </c>
      <c r="D158">
        <v>201</v>
      </c>
      <c r="E158" t="s">
        <v>3395</v>
      </c>
      <c r="F158">
        <v>221.85</v>
      </c>
      <c r="G158" s="3218">
        <v>98.519199284061301</v>
      </c>
      <c r="H158" s="3218">
        <f t="shared" si="2"/>
        <v>98.52</v>
      </c>
    </row>
    <row r="159" spans="1:8">
      <c r="A159">
        <v>514</v>
      </c>
      <c r="B159" t="s">
        <v>3712</v>
      </c>
      <c r="C159" t="s">
        <v>5933</v>
      </c>
      <c r="D159">
        <v>202</v>
      </c>
      <c r="E159" t="s">
        <v>3395</v>
      </c>
      <c r="F159">
        <v>230.9</v>
      </c>
      <c r="G159" s="3218">
        <v>102.53812537610888</v>
      </c>
      <c r="H159" s="3218">
        <f t="shared" si="2"/>
        <v>102.54</v>
      </c>
    </row>
    <row r="160" spans="1:8">
      <c r="A160">
        <v>515</v>
      </c>
      <c r="B160" t="s">
        <v>3712</v>
      </c>
      <c r="C160" t="s">
        <v>5933</v>
      </c>
      <c r="D160">
        <v>301</v>
      </c>
      <c r="E160" t="s">
        <v>3395</v>
      </c>
      <c r="F160">
        <v>221.85</v>
      </c>
      <c r="G160" s="3218">
        <v>98.519199284061301</v>
      </c>
      <c r="H160" s="3218">
        <f t="shared" si="2"/>
        <v>98.52</v>
      </c>
    </row>
    <row r="161" spans="1:8">
      <c r="A161">
        <v>548</v>
      </c>
      <c r="B161" t="s">
        <v>3741</v>
      </c>
      <c r="C161" t="s">
        <v>5930</v>
      </c>
      <c r="D161">
        <v>101</v>
      </c>
      <c r="E161" t="s">
        <v>3395</v>
      </c>
      <c r="F161">
        <v>217.74</v>
      </c>
      <c r="G161" s="3218">
        <v>96.694029533971189</v>
      </c>
      <c r="H161" s="3218">
        <f t="shared" si="2"/>
        <v>96.69</v>
      </c>
    </row>
    <row r="162" spans="1:8">
      <c r="A162">
        <v>549</v>
      </c>
      <c r="B162" t="s">
        <v>3741</v>
      </c>
      <c r="C162" t="s">
        <v>5930</v>
      </c>
      <c r="D162">
        <v>102</v>
      </c>
      <c r="E162" t="s">
        <v>3395</v>
      </c>
      <c r="F162">
        <v>209.66</v>
      </c>
      <c r="G162" s="3218">
        <v>93.105861266154122</v>
      </c>
      <c r="H162" s="3218">
        <f t="shared" si="2"/>
        <v>93.11</v>
      </c>
    </row>
    <row r="163" spans="1:8">
      <c r="A163">
        <v>550</v>
      </c>
      <c r="B163" t="s">
        <v>3741</v>
      </c>
      <c r="C163" t="s">
        <v>5931</v>
      </c>
      <c r="D163">
        <v>101</v>
      </c>
      <c r="E163" t="s">
        <v>3395</v>
      </c>
      <c r="F163">
        <v>209.66</v>
      </c>
      <c r="G163" s="3218">
        <v>93.105861266154122</v>
      </c>
      <c r="H163" s="3218">
        <f t="shared" si="2"/>
        <v>93.11</v>
      </c>
    </row>
    <row r="164" spans="1:8">
      <c r="A164">
        <v>551</v>
      </c>
      <c r="B164" t="s">
        <v>3741</v>
      </c>
      <c r="C164" t="s">
        <v>5931</v>
      </c>
      <c r="D164">
        <v>102</v>
      </c>
      <c r="E164" t="s">
        <v>3395</v>
      </c>
      <c r="F164">
        <v>209.66</v>
      </c>
      <c r="G164" s="3218">
        <v>93.105861266154122</v>
      </c>
      <c r="H164" s="3218">
        <f t="shared" si="2"/>
        <v>93.11</v>
      </c>
    </row>
    <row r="165" spans="1:8">
      <c r="A165">
        <v>577</v>
      </c>
      <c r="B165" t="s">
        <v>3756</v>
      </c>
      <c r="C165" t="s">
        <v>5930</v>
      </c>
      <c r="D165">
        <v>101</v>
      </c>
      <c r="E165" t="s">
        <v>3395</v>
      </c>
      <c r="F165">
        <v>217.75</v>
      </c>
      <c r="G165" s="3218">
        <v>96.698470336282838</v>
      </c>
      <c r="H165" s="3218">
        <f t="shared" si="2"/>
        <v>96.7</v>
      </c>
    </row>
    <row r="166" spans="1:8">
      <c r="A166">
        <v>578</v>
      </c>
      <c r="B166" t="s">
        <v>3756</v>
      </c>
      <c r="C166" t="s">
        <v>5930</v>
      </c>
      <c r="D166">
        <v>201</v>
      </c>
      <c r="E166" t="s">
        <v>3395</v>
      </c>
      <c r="F166">
        <v>228.69</v>
      </c>
      <c r="G166" s="3218">
        <v>101.55670806523317</v>
      </c>
      <c r="H166" s="3218">
        <f t="shared" si="2"/>
        <v>101.56</v>
      </c>
    </row>
    <row r="167" spans="1:8">
      <c r="A167">
        <v>580</v>
      </c>
      <c r="B167" t="s">
        <v>3756</v>
      </c>
      <c r="C167" t="s">
        <v>5931</v>
      </c>
      <c r="D167">
        <v>101</v>
      </c>
      <c r="E167" t="s">
        <v>3395</v>
      </c>
      <c r="F167">
        <v>209.67</v>
      </c>
      <c r="G167" s="3218">
        <v>93.110302068465771</v>
      </c>
      <c r="H167" s="3218">
        <f t="shared" si="2"/>
        <v>93.11</v>
      </c>
    </row>
    <row r="168" spans="1:8">
      <c r="A168">
        <v>581</v>
      </c>
      <c r="B168" t="s">
        <v>3756</v>
      </c>
      <c r="C168" t="s">
        <v>5931</v>
      </c>
      <c r="D168">
        <v>402</v>
      </c>
      <c r="E168" t="s">
        <v>3395</v>
      </c>
      <c r="F168">
        <v>220.38</v>
      </c>
      <c r="G168" s="3218">
        <v>97.866401344248047</v>
      </c>
      <c r="H168" s="3218">
        <f t="shared" si="2"/>
        <v>97.87</v>
      </c>
    </row>
    <row r="169" spans="1:8">
      <c r="A169">
        <v>579</v>
      </c>
      <c r="B169" t="s">
        <v>3756</v>
      </c>
      <c r="C169" t="s">
        <v>5933</v>
      </c>
      <c r="D169">
        <v>101</v>
      </c>
      <c r="E169" t="s">
        <v>3395</v>
      </c>
      <c r="F169">
        <v>209.67</v>
      </c>
      <c r="G169" s="3218">
        <v>93.110302068465771</v>
      </c>
      <c r="H169" s="3218">
        <f t="shared" si="2"/>
        <v>93.11</v>
      </c>
    </row>
    <row r="170" spans="1:8">
      <c r="F170">
        <f>SUM(F2:F169)</f>
        <v>36124.270000000026</v>
      </c>
      <c r="G170" s="3218">
        <f>ROUND(SUM(G2:G169),2)</f>
        <v>16042.07</v>
      </c>
      <c r="H170" s="3218">
        <f>SUM(H2:H169)</f>
        <v>16042.080000000011</v>
      </c>
    </row>
    <row r="171" spans="1:8">
      <c r="F171">
        <f>'最新范围-仓储'!F435</f>
        <v>15395.17</v>
      </c>
      <c r="G171">
        <f>'最新范围-仓储'!G435</f>
        <v>6836.69</v>
      </c>
      <c r="H171" s="3218">
        <f>'最新范围-仓储'!H435</f>
        <v>6836.8000000000011</v>
      </c>
    </row>
    <row r="172" spans="1:8">
      <c r="F172">
        <f>'最新范围-车位'!F429</f>
        <v>16034.629999999899</v>
      </c>
      <c r="G172">
        <f>'最新范围-车位'!G429</f>
        <v>7120.66</v>
      </c>
      <c r="H172" s="3212">
        <f>'最新范围-车位'!H429</f>
        <v>7119.0400000000509</v>
      </c>
    </row>
    <row r="173" spans="1:8">
      <c r="F173">
        <f>F170+F171+F172</f>
        <v>67554.06999999992</v>
      </c>
      <c r="G173">
        <f>G170+G171+G172</f>
        <v>29999.42</v>
      </c>
      <c r="H173">
        <f>H170+H171+H172</f>
        <v>29997.920000000064</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435"/>
  <sheetViews>
    <sheetView topLeftCell="A404" workbookViewId="0">
      <selection activeCell="H434" sqref="H434"/>
    </sheetView>
  </sheetViews>
  <sheetFormatPr defaultRowHeight="13.5"/>
  <cols>
    <col min="1" max="1" width="5.25" bestFit="1" customWidth="1"/>
    <col min="2" max="2" width="20.5" bestFit="1" customWidth="1"/>
    <col min="3" max="4" width="7.125" bestFit="1" customWidth="1"/>
    <col min="7" max="7" width="12.75" bestFit="1" customWidth="1"/>
    <col min="8" max="8" width="9.5" bestFit="1" customWidth="1"/>
  </cols>
  <sheetData>
    <row r="1" spans="1:8" ht="27">
      <c r="A1" s="3219" t="s">
        <v>3433</v>
      </c>
      <c r="B1" s="3220" t="s">
        <v>3434</v>
      </c>
      <c r="C1" s="3220" t="s">
        <v>3438</v>
      </c>
      <c r="D1" s="3220" t="s">
        <v>5927</v>
      </c>
      <c r="E1" s="3220" t="s">
        <v>5928</v>
      </c>
      <c r="F1" s="3220" t="s">
        <v>3440</v>
      </c>
      <c r="G1" s="3221" t="s">
        <v>5929</v>
      </c>
    </row>
    <row r="2" spans="1:8">
      <c r="A2">
        <v>1</v>
      </c>
      <c r="B2" t="s">
        <v>5932</v>
      </c>
      <c r="D2">
        <v>101</v>
      </c>
      <c r="E2" t="s">
        <v>3851</v>
      </c>
      <c r="F2">
        <v>30.96</v>
      </c>
      <c r="G2" s="3218">
        <v>13.7487239568832</v>
      </c>
      <c r="H2" s="3218">
        <f>ROUND(G2,2)</f>
        <v>13.75</v>
      </c>
    </row>
    <row r="3" spans="1:8">
      <c r="A3">
        <v>2</v>
      </c>
      <c r="B3" t="s">
        <v>5932</v>
      </c>
      <c r="D3">
        <v>102</v>
      </c>
      <c r="E3" t="s">
        <v>3851</v>
      </c>
      <c r="F3">
        <v>16.05</v>
      </c>
      <c r="G3" s="3218">
        <v>7.127487710205922</v>
      </c>
      <c r="H3" s="3218">
        <f t="shared" ref="H3:H66" si="0">ROUND(G3,2)</f>
        <v>7.13</v>
      </c>
    </row>
    <row r="4" spans="1:8">
      <c r="A4">
        <v>3</v>
      </c>
      <c r="B4" t="s">
        <v>5932</v>
      </c>
      <c r="D4">
        <v>103</v>
      </c>
      <c r="E4" t="s">
        <v>3851</v>
      </c>
      <c r="F4">
        <v>46.62</v>
      </c>
      <c r="G4" s="3218">
        <v>20.703020376934585</v>
      </c>
      <c r="H4" s="3218">
        <f t="shared" si="0"/>
        <v>20.7</v>
      </c>
    </row>
    <row r="5" spans="1:8">
      <c r="A5">
        <v>4</v>
      </c>
      <c r="B5" t="s">
        <v>5932</v>
      </c>
      <c r="D5">
        <v>104</v>
      </c>
      <c r="E5" t="s">
        <v>3851</v>
      </c>
      <c r="F5">
        <v>53.65</v>
      </c>
      <c r="G5" s="3218">
        <v>23.824904402027894</v>
      </c>
      <c r="H5" s="3218">
        <f t="shared" si="0"/>
        <v>23.82</v>
      </c>
    </row>
    <row r="6" spans="1:8">
      <c r="A6">
        <v>5</v>
      </c>
      <c r="B6" t="s">
        <v>5932</v>
      </c>
      <c r="D6">
        <v>105</v>
      </c>
      <c r="E6" t="s">
        <v>3851</v>
      </c>
      <c r="F6">
        <v>23.61</v>
      </c>
      <c r="G6" s="3218">
        <v>10.484734257816935</v>
      </c>
      <c r="H6" s="3218">
        <f t="shared" si="0"/>
        <v>10.48</v>
      </c>
    </row>
    <row r="7" spans="1:8">
      <c r="A7">
        <v>6</v>
      </c>
      <c r="B7" t="s">
        <v>5932</v>
      </c>
      <c r="D7">
        <v>106</v>
      </c>
      <c r="E7" t="s">
        <v>3851</v>
      </c>
      <c r="F7">
        <v>23.65</v>
      </c>
      <c r="G7" s="3218">
        <v>10.502497467063554</v>
      </c>
      <c r="H7" s="3218">
        <f t="shared" si="0"/>
        <v>10.5</v>
      </c>
    </row>
    <row r="8" spans="1:8">
      <c r="A8">
        <v>7</v>
      </c>
      <c r="B8" t="s">
        <v>5932</v>
      </c>
      <c r="D8">
        <v>107</v>
      </c>
      <c r="E8" t="s">
        <v>3851</v>
      </c>
      <c r="F8">
        <v>56.61</v>
      </c>
      <c r="G8" s="3218">
        <v>25.139381886277711</v>
      </c>
      <c r="H8" s="3218">
        <f t="shared" si="0"/>
        <v>25.14</v>
      </c>
    </row>
    <row r="9" spans="1:8">
      <c r="A9">
        <v>8</v>
      </c>
      <c r="B9" t="s">
        <v>5932</v>
      </c>
      <c r="D9">
        <v>108</v>
      </c>
      <c r="E9" t="s">
        <v>3851</v>
      </c>
      <c r="F9">
        <v>41.07</v>
      </c>
      <c r="G9" s="3218">
        <v>18.238375093966184</v>
      </c>
      <c r="H9" s="3218">
        <f t="shared" si="0"/>
        <v>18.239999999999998</v>
      </c>
    </row>
    <row r="10" spans="1:8">
      <c r="A10">
        <v>9</v>
      </c>
      <c r="B10" t="s">
        <v>5932</v>
      </c>
      <c r="D10">
        <v>109</v>
      </c>
      <c r="E10" t="s">
        <v>3851</v>
      </c>
      <c r="F10">
        <v>41.07</v>
      </c>
      <c r="G10" s="3218">
        <v>18.238375093966184</v>
      </c>
      <c r="H10" s="3218">
        <f t="shared" si="0"/>
        <v>18.239999999999998</v>
      </c>
    </row>
    <row r="11" spans="1:8">
      <c r="A11">
        <v>10</v>
      </c>
      <c r="B11" t="s">
        <v>5932</v>
      </c>
      <c r="D11">
        <v>111</v>
      </c>
      <c r="E11" t="s">
        <v>3851</v>
      </c>
      <c r="F11">
        <v>23.65</v>
      </c>
      <c r="G11" s="3218">
        <v>10.502497467063554</v>
      </c>
      <c r="H11" s="3218">
        <f t="shared" si="0"/>
        <v>10.5</v>
      </c>
    </row>
    <row r="12" spans="1:8">
      <c r="A12">
        <v>11</v>
      </c>
      <c r="B12" t="s">
        <v>5932</v>
      </c>
      <c r="D12">
        <v>112</v>
      </c>
      <c r="E12" t="s">
        <v>3851</v>
      </c>
      <c r="F12">
        <v>23.61</v>
      </c>
      <c r="G12" s="3218">
        <v>10.484734257816935</v>
      </c>
      <c r="H12" s="3218">
        <f t="shared" si="0"/>
        <v>10.48</v>
      </c>
    </row>
    <row r="13" spans="1:8">
      <c r="A13">
        <v>12</v>
      </c>
      <c r="B13" t="s">
        <v>5932</v>
      </c>
      <c r="D13">
        <v>113</v>
      </c>
      <c r="E13" t="s">
        <v>3851</v>
      </c>
      <c r="F13">
        <v>49.56</v>
      </c>
      <c r="G13" s="3218">
        <v>22.008616256561091</v>
      </c>
      <c r="H13" s="3218">
        <f t="shared" si="0"/>
        <v>22.01</v>
      </c>
    </row>
    <row r="14" spans="1:8">
      <c r="A14">
        <v>13</v>
      </c>
      <c r="B14" t="s">
        <v>5932</v>
      </c>
      <c r="D14">
        <v>114</v>
      </c>
      <c r="E14" t="s">
        <v>3851</v>
      </c>
      <c r="F14">
        <v>47.93</v>
      </c>
      <c r="G14" s="3218">
        <v>21.284765479761361</v>
      </c>
      <c r="H14" s="3218">
        <f t="shared" si="0"/>
        <v>21.28</v>
      </c>
    </row>
    <row r="15" spans="1:8">
      <c r="A15">
        <v>14</v>
      </c>
      <c r="B15" t="s">
        <v>5932</v>
      </c>
      <c r="D15">
        <v>115</v>
      </c>
      <c r="E15" t="s">
        <v>3851</v>
      </c>
      <c r="F15">
        <v>22.61</v>
      </c>
      <c r="G15" s="3218">
        <v>10.040654026651458</v>
      </c>
      <c r="H15" s="3218">
        <f t="shared" si="0"/>
        <v>10.039999999999999</v>
      </c>
    </row>
    <row r="16" spans="1:8">
      <c r="A16">
        <v>15</v>
      </c>
      <c r="B16" t="s">
        <v>5932</v>
      </c>
      <c r="D16">
        <v>116</v>
      </c>
      <c r="E16" t="s">
        <v>3851</v>
      </c>
      <c r="F16">
        <v>27.95</v>
      </c>
      <c r="G16" s="3218">
        <v>12.41204246107511</v>
      </c>
      <c r="H16" s="3218">
        <f t="shared" si="0"/>
        <v>12.41</v>
      </c>
    </row>
    <row r="17" spans="1:8">
      <c r="A17">
        <v>16</v>
      </c>
      <c r="B17" t="s">
        <v>5932</v>
      </c>
      <c r="D17">
        <v>117</v>
      </c>
      <c r="E17" t="s">
        <v>3851</v>
      </c>
      <c r="F17">
        <v>27.6</v>
      </c>
      <c r="G17" s="3218">
        <v>12.256614380167195</v>
      </c>
      <c r="H17" s="3218">
        <f t="shared" si="0"/>
        <v>12.26</v>
      </c>
    </row>
    <row r="18" spans="1:8">
      <c r="A18">
        <v>17</v>
      </c>
      <c r="B18" t="s">
        <v>5932</v>
      </c>
      <c r="D18">
        <v>118</v>
      </c>
      <c r="E18" t="s">
        <v>3851</v>
      </c>
      <c r="F18">
        <v>19.13</v>
      </c>
      <c r="G18" s="3218">
        <v>8.4952548221955944</v>
      </c>
      <c r="H18" s="3218">
        <f t="shared" si="0"/>
        <v>8.5</v>
      </c>
    </row>
    <row r="19" spans="1:8">
      <c r="A19">
        <v>18</v>
      </c>
      <c r="B19" t="s">
        <v>5932</v>
      </c>
      <c r="D19">
        <v>119</v>
      </c>
      <c r="E19" t="s">
        <v>3851</v>
      </c>
      <c r="F19">
        <v>19.13</v>
      </c>
      <c r="G19" s="3218">
        <v>8.4952548221955944</v>
      </c>
      <c r="H19" s="3218">
        <f t="shared" si="0"/>
        <v>8.5</v>
      </c>
    </row>
    <row r="20" spans="1:8">
      <c r="A20">
        <v>19</v>
      </c>
      <c r="B20" t="s">
        <v>5932</v>
      </c>
      <c r="D20">
        <v>120</v>
      </c>
      <c r="E20" t="s">
        <v>3851</v>
      </c>
      <c r="F20">
        <v>27.6</v>
      </c>
      <c r="G20" s="3218">
        <v>12.256614380167195</v>
      </c>
      <c r="H20" s="3218">
        <f t="shared" si="0"/>
        <v>12.26</v>
      </c>
    </row>
    <row r="21" spans="1:8">
      <c r="A21">
        <v>20</v>
      </c>
      <c r="B21" t="s">
        <v>5932</v>
      </c>
      <c r="D21">
        <v>201</v>
      </c>
      <c r="E21" t="s">
        <v>3851</v>
      </c>
      <c r="F21">
        <v>15.83</v>
      </c>
      <c r="G21" s="3218">
        <v>7.0297900593495166</v>
      </c>
      <c r="H21" s="3218">
        <f t="shared" si="0"/>
        <v>7.03</v>
      </c>
    </row>
    <row r="22" spans="1:8">
      <c r="A22">
        <v>21</v>
      </c>
      <c r="B22" t="s">
        <v>5932</v>
      </c>
      <c r="D22">
        <v>202</v>
      </c>
      <c r="E22" t="s">
        <v>3851</v>
      </c>
      <c r="F22">
        <v>18.309999999999999</v>
      </c>
      <c r="G22" s="3218">
        <v>8.1311090326399018</v>
      </c>
      <c r="H22" s="3218">
        <f t="shared" si="0"/>
        <v>8.1300000000000008</v>
      </c>
    </row>
    <row r="23" spans="1:8">
      <c r="A23">
        <v>22</v>
      </c>
      <c r="B23" t="s">
        <v>5932</v>
      </c>
      <c r="D23">
        <v>203</v>
      </c>
      <c r="E23" t="s">
        <v>3851</v>
      </c>
      <c r="F23">
        <v>16.329999999999998</v>
      </c>
      <c r="G23" s="3218">
        <v>7.2518301749322553</v>
      </c>
      <c r="H23" s="3218">
        <f t="shared" si="0"/>
        <v>7.25</v>
      </c>
    </row>
    <row r="24" spans="1:8">
      <c r="A24">
        <v>23</v>
      </c>
      <c r="B24" t="s">
        <v>5932</v>
      </c>
      <c r="D24">
        <v>204</v>
      </c>
      <c r="E24" t="s">
        <v>3851</v>
      </c>
      <c r="F24">
        <v>12.38</v>
      </c>
      <c r="G24" s="3218">
        <v>5.4977132618286184</v>
      </c>
      <c r="H24" s="3218">
        <f t="shared" si="0"/>
        <v>5.5</v>
      </c>
    </row>
    <row r="25" spans="1:8">
      <c r="A25">
        <v>24</v>
      </c>
      <c r="B25" t="s">
        <v>5932</v>
      </c>
      <c r="D25">
        <v>205</v>
      </c>
      <c r="E25" t="s">
        <v>3851</v>
      </c>
      <c r="F25">
        <v>17</v>
      </c>
      <c r="G25" s="3218">
        <v>7.5493639298131265</v>
      </c>
      <c r="H25" s="3218">
        <f t="shared" si="0"/>
        <v>7.55</v>
      </c>
    </row>
    <row r="26" spans="1:8">
      <c r="A26">
        <v>25</v>
      </c>
      <c r="B26" t="s">
        <v>5934</v>
      </c>
      <c r="D26">
        <v>107</v>
      </c>
      <c r="E26" t="s">
        <v>3851</v>
      </c>
      <c r="F26">
        <v>56.79</v>
      </c>
      <c r="G26" s="3218">
        <v>25.219316327887498</v>
      </c>
      <c r="H26" s="3218">
        <f t="shared" si="0"/>
        <v>25.22</v>
      </c>
    </row>
    <row r="27" spans="1:8">
      <c r="A27">
        <v>26</v>
      </c>
      <c r="B27" t="s">
        <v>5934</v>
      </c>
      <c r="D27">
        <v>108</v>
      </c>
      <c r="E27" t="s">
        <v>3851</v>
      </c>
      <c r="F27">
        <v>41.5</v>
      </c>
      <c r="G27" s="3218">
        <v>18.429329593367338</v>
      </c>
      <c r="H27" s="3218">
        <f t="shared" si="0"/>
        <v>18.43</v>
      </c>
    </row>
    <row r="28" spans="1:8">
      <c r="A28">
        <v>27</v>
      </c>
      <c r="B28" t="s">
        <v>5934</v>
      </c>
      <c r="D28">
        <v>109</v>
      </c>
      <c r="E28" t="s">
        <v>3851</v>
      </c>
      <c r="F28">
        <v>41.5</v>
      </c>
      <c r="G28" s="3218">
        <v>18.429329593367338</v>
      </c>
      <c r="H28" s="3218">
        <f t="shared" si="0"/>
        <v>18.43</v>
      </c>
    </row>
    <row r="29" spans="1:8">
      <c r="A29">
        <v>28</v>
      </c>
      <c r="B29" t="s">
        <v>5934</v>
      </c>
      <c r="D29">
        <v>110</v>
      </c>
      <c r="E29" t="s">
        <v>3851</v>
      </c>
      <c r="F29">
        <v>56.79</v>
      </c>
      <c r="G29" s="3218">
        <v>25.219316327887498</v>
      </c>
      <c r="H29" s="3218">
        <f t="shared" si="0"/>
        <v>25.22</v>
      </c>
    </row>
    <row r="30" spans="1:8">
      <c r="A30">
        <v>29</v>
      </c>
      <c r="B30" t="s">
        <v>5934</v>
      </c>
      <c r="D30">
        <v>111</v>
      </c>
      <c r="E30" t="s">
        <v>3851</v>
      </c>
      <c r="F30">
        <v>23.72</v>
      </c>
      <c r="G30" s="3218">
        <v>10.533583083245137</v>
      </c>
      <c r="H30" s="3218">
        <f t="shared" si="0"/>
        <v>10.53</v>
      </c>
    </row>
    <row r="31" spans="1:8">
      <c r="A31">
        <v>30</v>
      </c>
      <c r="B31" t="s">
        <v>5934</v>
      </c>
      <c r="D31">
        <v>112</v>
      </c>
      <c r="E31" t="s">
        <v>3851</v>
      </c>
      <c r="F31">
        <v>23.68</v>
      </c>
      <c r="G31" s="3218">
        <v>10.515819873998518</v>
      </c>
      <c r="H31" s="3218">
        <f t="shared" si="0"/>
        <v>10.52</v>
      </c>
    </row>
    <row r="32" spans="1:8">
      <c r="A32">
        <v>31</v>
      </c>
      <c r="B32" t="s">
        <v>5934</v>
      </c>
      <c r="D32">
        <v>113</v>
      </c>
      <c r="E32" t="s">
        <v>3851</v>
      </c>
      <c r="F32">
        <v>56.75</v>
      </c>
      <c r="G32" s="3218">
        <v>25.201553118640877</v>
      </c>
      <c r="H32" s="3218">
        <f t="shared" si="0"/>
        <v>25.2</v>
      </c>
    </row>
    <row r="33" spans="1:8">
      <c r="A33">
        <v>32</v>
      </c>
      <c r="B33" t="s">
        <v>5934</v>
      </c>
      <c r="D33">
        <v>114</v>
      </c>
      <c r="E33" t="s">
        <v>3851</v>
      </c>
      <c r="F33">
        <v>41.19</v>
      </c>
      <c r="G33" s="3218">
        <v>18.291664721706038</v>
      </c>
      <c r="H33" s="3218">
        <f t="shared" si="0"/>
        <v>18.29</v>
      </c>
    </row>
    <row r="34" spans="1:8">
      <c r="A34">
        <v>33</v>
      </c>
      <c r="B34" t="s">
        <v>5934</v>
      </c>
      <c r="D34">
        <v>115</v>
      </c>
      <c r="E34" t="s">
        <v>3851</v>
      </c>
      <c r="F34">
        <v>41.19</v>
      </c>
      <c r="G34" s="3218">
        <v>18.291664721706038</v>
      </c>
      <c r="H34" s="3218">
        <f t="shared" si="0"/>
        <v>18.29</v>
      </c>
    </row>
    <row r="35" spans="1:8">
      <c r="A35">
        <v>34</v>
      </c>
      <c r="B35" t="s">
        <v>5934</v>
      </c>
      <c r="D35">
        <v>117</v>
      </c>
      <c r="E35" t="s">
        <v>3851</v>
      </c>
      <c r="F35">
        <v>23.72</v>
      </c>
      <c r="G35" s="3218">
        <v>10.533583083245137</v>
      </c>
      <c r="H35" s="3218">
        <f t="shared" si="0"/>
        <v>10.53</v>
      </c>
    </row>
    <row r="36" spans="1:8">
      <c r="A36">
        <v>35</v>
      </c>
      <c r="B36" t="s">
        <v>5934</v>
      </c>
      <c r="D36">
        <v>118</v>
      </c>
      <c r="E36" t="s">
        <v>3851</v>
      </c>
      <c r="F36">
        <v>23.68</v>
      </c>
      <c r="G36" s="3218">
        <v>10.515819873998518</v>
      </c>
      <c r="H36" s="3218">
        <f t="shared" si="0"/>
        <v>10.52</v>
      </c>
    </row>
    <row r="37" spans="1:8">
      <c r="A37">
        <v>36</v>
      </c>
      <c r="B37" t="s">
        <v>5934</v>
      </c>
      <c r="D37">
        <v>119</v>
      </c>
      <c r="E37" t="s">
        <v>3851</v>
      </c>
      <c r="F37">
        <v>49.71</v>
      </c>
      <c r="G37" s="3218">
        <v>22.075228291235913</v>
      </c>
      <c r="H37" s="3218">
        <f t="shared" si="0"/>
        <v>22.08</v>
      </c>
    </row>
    <row r="38" spans="1:8">
      <c r="A38">
        <v>37</v>
      </c>
      <c r="B38" t="s">
        <v>5934</v>
      </c>
      <c r="D38">
        <v>120</v>
      </c>
      <c r="E38" t="s">
        <v>3851</v>
      </c>
      <c r="F38">
        <v>48.07</v>
      </c>
      <c r="G38" s="3218">
        <v>21.346936712124528</v>
      </c>
      <c r="H38" s="3218">
        <f t="shared" si="0"/>
        <v>21.35</v>
      </c>
    </row>
    <row r="39" spans="1:8">
      <c r="A39">
        <v>38</v>
      </c>
      <c r="B39" t="s">
        <v>5934</v>
      </c>
      <c r="D39">
        <v>121</v>
      </c>
      <c r="E39" t="s">
        <v>3851</v>
      </c>
      <c r="F39">
        <v>22.85</v>
      </c>
      <c r="G39" s="3218">
        <v>10.147233282131173</v>
      </c>
      <c r="H39" s="3218">
        <f t="shared" si="0"/>
        <v>10.15</v>
      </c>
    </row>
    <row r="40" spans="1:8">
      <c r="A40">
        <v>39</v>
      </c>
      <c r="B40" t="s">
        <v>5934</v>
      </c>
      <c r="D40">
        <v>122</v>
      </c>
      <c r="E40" t="s">
        <v>3851</v>
      </c>
      <c r="F40">
        <v>28.04</v>
      </c>
      <c r="G40" s="3218">
        <v>12.452009681880003</v>
      </c>
      <c r="H40" s="3218">
        <f t="shared" si="0"/>
        <v>12.45</v>
      </c>
    </row>
    <row r="41" spans="1:8">
      <c r="A41">
        <v>40</v>
      </c>
      <c r="B41" t="s">
        <v>5934</v>
      </c>
      <c r="D41">
        <v>123</v>
      </c>
      <c r="E41" t="s">
        <v>3851</v>
      </c>
      <c r="F41">
        <v>27.68</v>
      </c>
      <c r="G41" s="3218">
        <v>12.292140798660432</v>
      </c>
      <c r="H41" s="3218">
        <f t="shared" si="0"/>
        <v>12.29</v>
      </c>
    </row>
    <row r="42" spans="1:8">
      <c r="A42">
        <v>41</v>
      </c>
      <c r="B42" t="s">
        <v>5934</v>
      </c>
      <c r="D42">
        <v>124</v>
      </c>
      <c r="E42" t="s">
        <v>3851</v>
      </c>
      <c r="F42">
        <v>19.190000000000001</v>
      </c>
      <c r="G42" s="3218">
        <v>8.5218996360655233</v>
      </c>
      <c r="H42" s="3218">
        <f t="shared" si="0"/>
        <v>8.52</v>
      </c>
    </row>
    <row r="43" spans="1:8">
      <c r="A43">
        <v>42</v>
      </c>
      <c r="B43" t="s">
        <v>5934</v>
      </c>
      <c r="D43">
        <v>125</v>
      </c>
      <c r="E43" t="s">
        <v>3851</v>
      </c>
      <c r="F43">
        <v>19.190000000000001</v>
      </c>
      <c r="G43" s="3218">
        <v>8.5218996360655233</v>
      </c>
      <c r="H43" s="3218">
        <f t="shared" si="0"/>
        <v>8.52</v>
      </c>
    </row>
    <row r="44" spans="1:8">
      <c r="A44">
        <v>43</v>
      </c>
      <c r="B44" t="s">
        <v>5934</v>
      </c>
      <c r="D44">
        <v>126</v>
      </c>
      <c r="E44" t="s">
        <v>3851</v>
      </c>
      <c r="F44">
        <v>27.85</v>
      </c>
      <c r="G44" s="3218">
        <v>12.367634437958563</v>
      </c>
      <c r="H44" s="3218">
        <f t="shared" si="0"/>
        <v>12.37</v>
      </c>
    </row>
    <row r="45" spans="1:8">
      <c r="A45">
        <v>44</v>
      </c>
      <c r="B45" t="s">
        <v>5934</v>
      </c>
      <c r="D45">
        <v>127</v>
      </c>
      <c r="E45" t="s">
        <v>3851</v>
      </c>
      <c r="F45">
        <v>27.68</v>
      </c>
      <c r="G45" s="3218">
        <v>12.292140798660432</v>
      </c>
      <c r="H45" s="3218">
        <f t="shared" si="0"/>
        <v>12.29</v>
      </c>
    </row>
    <row r="46" spans="1:8">
      <c r="A46">
        <v>45</v>
      </c>
      <c r="B46" t="s">
        <v>5934</v>
      </c>
      <c r="D46">
        <v>128</v>
      </c>
      <c r="E46" t="s">
        <v>3851</v>
      </c>
      <c r="F46">
        <v>19.829999999999998</v>
      </c>
      <c r="G46" s="3218">
        <v>8.8061109840114291</v>
      </c>
      <c r="H46" s="3218">
        <f t="shared" si="0"/>
        <v>8.81</v>
      </c>
    </row>
    <row r="47" spans="1:8">
      <c r="A47">
        <v>46</v>
      </c>
      <c r="B47" t="s">
        <v>5934</v>
      </c>
      <c r="D47">
        <v>129</v>
      </c>
      <c r="E47" t="s">
        <v>3851</v>
      </c>
      <c r="F47">
        <v>19.829999999999998</v>
      </c>
      <c r="G47" s="3218">
        <v>8.8061109840114291</v>
      </c>
      <c r="H47" s="3218">
        <f t="shared" si="0"/>
        <v>8.81</v>
      </c>
    </row>
    <row r="48" spans="1:8">
      <c r="A48">
        <v>47</v>
      </c>
      <c r="B48" t="s">
        <v>5934</v>
      </c>
      <c r="D48">
        <v>130</v>
      </c>
      <c r="E48" t="s">
        <v>3851</v>
      </c>
      <c r="F48">
        <v>27.68</v>
      </c>
      <c r="G48" s="3218">
        <v>12.292140798660432</v>
      </c>
      <c r="H48" s="3218">
        <f t="shared" si="0"/>
        <v>12.29</v>
      </c>
    </row>
    <row r="49" spans="1:8">
      <c r="A49">
        <v>48</v>
      </c>
      <c r="B49" t="s">
        <v>5934</v>
      </c>
      <c r="D49">
        <v>202</v>
      </c>
      <c r="E49" t="s">
        <v>3851</v>
      </c>
      <c r="F49">
        <v>16.38</v>
      </c>
      <c r="G49" s="3218">
        <v>7.2740341864905291</v>
      </c>
      <c r="H49" s="3218">
        <f t="shared" si="0"/>
        <v>7.27</v>
      </c>
    </row>
    <row r="50" spans="1:8">
      <c r="A50">
        <v>49</v>
      </c>
      <c r="B50" t="s">
        <v>5934</v>
      </c>
      <c r="D50">
        <v>204</v>
      </c>
      <c r="E50" t="s">
        <v>3851</v>
      </c>
      <c r="F50">
        <v>16.38</v>
      </c>
      <c r="G50" s="3218">
        <v>7.2740341864905291</v>
      </c>
      <c r="H50" s="3218">
        <f t="shared" si="0"/>
        <v>7.27</v>
      </c>
    </row>
    <row r="51" spans="1:8">
      <c r="A51">
        <v>50</v>
      </c>
      <c r="B51" t="s">
        <v>5934</v>
      </c>
      <c r="D51">
        <v>205</v>
      </c>
      <c r="E51" t="s">
        <v>3851</v>
      </c>
      <c r="F51">
        <v>16.38</v>
      </c>
      <c r="G51" s="3218">
        <v>7.2740341864905291</v>
      </c>
      <c r="H51" s="3218">
        <f t="shared" si="0"/>
        <v>7.27</v>
      </c>
    </row>
    <row r="52" spans="1:8">
      <c r="A52">
        <v>51</v>
      </c>
      <c r="B52" t="s">
        <v>5934</v>
      </c>
      <c r="D52">
        <v>206</v>
      </c>
      <c r="E52" t="s">
        <v>3851</v>
      </c>
      <c r="F52">
        <v>17.059999999999999</v>
      </c>
      <c r="G52" s="3218">
        <v>7.5760087436830545</v>
      </c>
      <c r="H52" s="3218">
        <f t="shared" si="0"/>
        <v>7.58</v>
      </c>
    </row>
    <row r="53" spans="1:8">
      <c r="A53">
        <v>52</v>
      </c>
      <c r="B53" t="s">
        <v>5935</v>
      </c>
      <c r="D53">
        <v>106</v>
      </c>
      <c r="E53" t="s">
        <v>3851</v>
      </c>
      <c r="F53">
        <v>23.66</v>
      </c>
      <c r="G53" s="3218">
        <v>10.50693826937521</v>
      </c>
      <c r="H53" s="3218">
        <f t="shared" si="0"/>
        <v>10.51</v>
      </c>
    </row>
    <row r="54" spans="1:8">
      <c r="A54">
        <v>53</v>
      </c>
      <c r="B54" t="s">
        <v>5935</v>
      </c>
      <c r="D54">
        <v>107</v>
      </c>
      <c r="E54" t="s">
        <v>3851</v>
      </c>
      <c r="F54">
        <v>56.69</v>
      </c>
      <c r="G54" s="3218">
        <v>25.174908304770948</v>
      </c>
      <c r="H54" s="3218">
        <f t="shared" si="0"/>
        <v>25.17</v>
      </c>
    </row>
    <row r="55" spans="1:8">
      <c r="A55">
        <v>54</v>
      </c>
      <c r="B55" t="s">
        <v>5935</v>
      </c>
      <c r="D55">
        <v>108</v>
      </c>
      <c r="E55" t="s">
        <v>3851</v>
      </c>
      <c r="F55">
        <v>41.45</v>
      </c>
      <c r="G55" s="3218">
        <v>18.407125581809066</v>
      </c>
      <c r="H55" s="3218">
        <f t="shared" si="0"/>
        <v>18.41</v>
      </c>
    </row>
    <row r="56" spans="1:8">
      <c r="A56">
        <v>55</v>
      </c>
      <c r="B56" t="s">
        <v>5935</v>
      </c>
      <c r="D56">
        <v>109</v>
      </c>
      <c r="E56" t="s">
        <v>3851</v>
      </c>
      <c r="F56">
        <v>41.45</v>
      </c>
      <c r="G56" s="3218">
        <v>18.407125581809066</v>
      </c>
      <c r="H56" s="3218">
        <f t="shared" si="0"/>
        <v>18.41</v>
      </c>
    </row>
    <row r="57" spans="1:8">
      <c r="A57">
        <v>56</v>
      </c>
      <c r="B57" t="s">
        <v>5935</v>
      </c>
      <c r="D57">
        <v>110</v>
      </c>
      <c r="E57" t="s">
        <v>3851</v>
      </c>
      <c r="F57">
        <v>56.69</v>
      </c>
      <c r="G57" s="3218">
        <v>25.174908304770948</v>
      </c>
      <c r="H57" s="3218">
        <f t="shared" si="0"/>
        <v>25.17</v>
      </c>
    </row>
    <row r="58" spans="1:8">
      <c r="A58">
        <v>57</v>
      </c>
      <c r="B58" t="s">
        <v>5935</v>
      </c>
      <c r="D58">
        <v>111</v>
      </c>
      <c r="E58" t="s">
        <v>3851</v>
      </c>
      <c r="F58">
        <v>23.66</v>
      </c>
      <c r="G58" s="3218">
        <v>10.50693826937521</v>
      </c>
      <c r="H58" s="3218">
        <f t="shared" si="0"/>
        <v>10.51</v>
      </c>
    </row>
    <row r="59" spans="1:8">
      <c r="A59">
        <v>58</v>
      </c>
      <c r="B59" t="s">
        <v>5935</v>
      </c>
      <c r="D59">
        <v>115</v>
      </c>
      <c r="E59" t="s">
        <v>3851</v>
      </c>
      <c r="F59">
        <v>41.15</v>
      </c>
      <c r="G59" s="3218">
        <v>18.273901512459421</v>
      </c>
      <c r="H59" s="3218">
        <f t="shared" si="0"/>
        <v>18.27</v>
      </c>
    </row>
    <row r="60" spans="1:8">
      <c r="A60">
        <v>59</v>
      </c>
      <c r="B60" t="s">
        <v>5935</v>
      </c>
      <c r="D60">
        <v>116</v>
      </c>
      <c r="E60" t="s">
        <v>3851</v>
      </c>
      <c r="F60">
        <v>56.69</v>
      </c>
      <c r="G60" s="3218">
        <v>25.174908304770948</v>
      </c>
      <c r="H60" s="3218">
        <f t="shared" si="0"/>
        <v>25.17</v>
      </c>
    </row>
    <row r="61" spans="1:8">
      <c r="A61">
        <v>60</v>
      </c>
      <c r="B61" t="s">
        <v>5935</v>
      </c>
      <c r="D61">
        <v>117</v>
      </c>
      <c r="E61" t="s">
        <v>3851</v>
      </c>
      <c r="F61">
        <v>23.66</v>
      </c>
      <c r="G61" s="3218">
        <v>10.50693826937521</v>
      </c>
      <c r="H61" s="3218">
        <f t="shared" si="0"/>
        <v>10.51</v>
      </c>
    </row>
    <row r="62" spans="1:8">
      <c r="A62">
        <v>61</v>
      </c>
      <c r="B62" t="s">
        <v>5935</v>
      </c>
      <c r="D62">
        <v>123</v>
      </c>
      <c r="E62" t="s">
        <v>3851</v>
      </c>
      <c r="F62">
        <v>27.65</v>
      </c>
      <c r="G62" s="3218">
        <v>12.278818391725466</v>
      </c>
      <c r="H62" s="3218">
        <f t="shared" si="0"/>
        <v>12.28</v>
      </c>
    </row>
    <row r="63" spans="1:8">
      <c r="A63">
        <v>62</v>
      </c>
      <c r="B63" t="s">
        <v>5935</v>
      </c>
      <c r="D63">
        <v>124</v>
      </c>
      <c r="E63" t="s">
        <v>3851</v>
      </c>
      <c r="F63">
        <v>19.170000000000002</v>
      </c>
      <c r="G63" s="3218">
        <v>8.5130180314422148</v>
      </c>
      <c r="H63" s="3218">
        <f t="shared" si="0"/>
        <v>8.51</v>
      </c>
    </row>
    <row r="64" spans="1:8">
      <c r="A64">
        <v>63</v>
      </c>
      <c r="B64" t="s">
        <v>5935</v>
      </c>
      <c r="D64">
        <v>125</v>
      </c>
      <c r="E64" t="s">
        <v>3851</v>
      </c>
      <c r="F64">
        <v>19.170000000000002</v>
      </c>
      <c r="G64" s="3218">
        <v>8.5130180314422148</v>
      </c>
      <c r="H64" s="3218">
        <f t="shared" si="0"/>
        <v>8.51</v>
      </c>
    </row>
    <row r="65" spans="1:8">
      <c r="A65">
        <v>64</v>
      </c>
      <c r="B65" t="s">
        <v>5935</v>
      </c>
      <c r="D65">
        <v>126</v>
      </c>
      <c r="E65" t="s">
        <v>3851</v>
      </c>
      <c r="F65">
        <v>27.82</v>
      </c>
      <c r="G65" s="3218">
        <v>12.354312031023598</v>
      </c>
      <c r="H65" s="3218">
        <f t="shared" si="0"/>
        <v>12.35</v>
      </c>
    </row>
    <row r="66" spans="1:8">
      <c r="A66">
        <v>65</v>
      </c>
      <c r="B66" t="s">
        <v>5935</v>
      </c>
      <c r="D66">
        <v>127</v>
      </c>
      <c r="E66" t="s">
        <v>3851</v>
      </c>
      <c r="F66">
        <v>27.65</v>
      </c>
      <c r="G66" s="3218">
        <v>12.278818391725466</v>
      </c>
      <c r="H66" s="3218">
        <f t="shared" si="0"/>
        <v>12.28</v>
      </c>
    </row>
    <row r="67" spans="1:8">
      <c r="A67">
        <v>66</v>
      </c>
      <c r="B67" t="s">
        <v>5935</v>
      </c>
      <c r="D67">
        <v>128</v>
      </c>
      <c r="E67" t="s">
        <v>3851</v>
      </c>
      <c r="F67">
        <v>19.809999999999999</v>
      </c>
      <c r="G67" s="3218">
        <v>8.7972293793881189</v>
      </c>
      <c r="H67" s="3218">
        <f t="shared" ref="H67:H130" si="1">ROUND(G67,2)</f>
        <v>8.8000000000000007</v>
      </c>
    </row>
    <row r="68" spans="1:8">
      <c r="A68">
        <v>67</v>
      </c>
      <c r="B68" t="s">
        <v>5935</v>
      </c>
      <c r="D68">
        <v>130</v>
      </c>
      <c r="E68" t="s">
        <v>3851</v>
      </c>
      <c r="F68">
        <v>27.65</v>
      </c>
      <c r="G68" s="3218">
        <v>12.278818391725466</v>
      </c>
      <c r="H68" s="3218">
        <f t="shared" si="1"/>
        <v>12.28</v>
      </c>
    </row>
    <row r="69" spans="1:8">
      <c r="A69">
        <v>68</v>
      </c>
      <c r="B69" t="s">
        <v>5935</v>
      </c>
      <c r="D69">
        <v>202</v>
      </c>
      <c r="E69" t="s">
        <v>3851</v>
      </c>
      <c r="F69">
        <v>16.36</v>
      </c>
      <c r="G69" s="3218">
        <v>7.2651525818672198</v>
      </c>
      <c r="H69" s="3218">
        <f t="shared" si="1"/>
        <v>7.27</v>
      </c>
    </row>
    <row r="70" spans="1:8">
      <c r="A70">
        <v>69</v>
      </c>
      <c r="B70" t="s">
        <v>5935</v>
      </c>
      <c r="D70">
        <v>203</v>
      </c>
      <c r="E70" t="s">
        <v>3851</v>
      </c>
      <c r="F70">
        <v>12.4</v>
      </c>
      <c r="G70" s="3218">
        <v>5.5065948664519278</v>
      </c>
      <c r="H70" s="3218">
        <f t="shared" si="1"/>
        <v>5.51</v>
      </c>
    </row>
    <row r="71" spans="1:8">
      <c r="A71">
        <v>70</v>
      </c>
      <c r="B71" t="s">
        <v>5935</v>
      </c>
      <c r="D71">
        <v>205</v>
      </c>
      <c r="E71" t="s">
        <v>3851</v>
      </c>
      <c r="F71">
        <v>16.36</v>
      </c>
      <c r="G71" s="3218">
        <v>7.2651525818672198</v>
      </c>
      <c r="H71" s="3218">
        <f t="shared" si="1"/>
        <v>7.27</v>
      </c>
    </row>
    <row r="72" spans="1:8">
      <c r="A72">
        <v>71</v>
      </c>
      <c r="B72" t="s">
        <v>5936</v>
      </c>
      <c r="D72">
        <v>101</v>
      </c>
      <c r="E72" t="s">
        <v>3851</v>
      </c>
      <c r="F72">
        <v>31.03</v>
      </c>
      <c r="G72" s="3218">
        <v>13.779809573064783</v>
      </c>
      <c r="H72" s="3218">
        <f t="shared" si="1"/>
        <v>13.78</v>
      </c>
    </row>
    <row r="73" spans="1:8">
      <c r="A73">
        <v>72</v>
      </c>
      <c r="B73" t="s">
        <v>5936</v>
      </c>
      <c r="D73">
        <v>102</v>
      </c>
      <c r="E73" t="s">
        <v>3851</v>
      </c>
      <c r="F73">
        <v>16.079999999999998</v>
      </c>
      <c r="G73" s="3218">
        <v>7.1408101171408855</v>
      </c>
      <c r="H73" s="3218">
        <f t="shared" si="1"/>
        <v>7.14</v>
      </c>
    </row>
    <row r="74" spans="1:8">
      <c r="A74">
        <v>73</v>
      </c>
      <c r="B74" t="s">
        <v>5936</v>
      </c>
      <c r="D74">
        <v>103</v>
      </c>
      <c r="E74" t="s">
        <v>3851</v>
      </c>
      <c r="F74">
        <v>46.54</v>
      </c>
      <c r="G74" s="3218">
        <v>20.667493958441348</v>
      </c>
      <c r="H74" s="3218">
        <f t="shared" si="1"/>
        <v>20.67</v>
      </c>
    </row>
    <row r="75" spans="1:8">
      <c r="A75">
        <v>74</v>
      </c>
      <c r="B75" t="s">
        <v>5936</v>
      </c>
      <c r="D75">
        <v>104</v>
      </c>
      <c r="E75" t="s">
        <v>3851</v>
      </c>
      <c r="F75">
        <v>53.76</v>
      </c>
      <c r="G75" s="3218">
        <v>23.873753227456096</v>
      </c>
      <c r="H75" s="3218">
        <f t="shared" si="1"/>
        <v>23.87</v>
      </c>
    </row>
    <row r="76" spans="1:8">
      <c r="A76">
        <v>75</v>
      </c>
      <c r="B76" t="s">
        <v>5936</v>
      </c>
      <c r="D76">
        <v>105</v>
      </c>
      <c r="E76" t="s">
        <v>3851</v>
      </c>
      <c r="F76">
        <v>23.66</v>
      </c>
      <c r="G76" s="3218">
        <v>10.50693826937521</v>
      </c>
      <c r="H76" s="3218">
        <f t="shared" si="1"/>
        <v>10.51</v>
      </c>
    </row>
    <row r="77" spans="1:8">
      <c r="A77">
        <v>76</v>
      </c>
      <c r="B77" t="s">
        <v>5936</v>
      </c>
      <c r="D77">
        <v>106</v>
      </c>
      <c r="E77" t="s">
        <v>3851</v>
      </c>
      <c r="F77">
        <v>23.66</v>
      </c>
      <c r="G77" s="3218">
        <v>10.50693826937521</v>
      </c>
      <c r="H77" s="3218">
        <f t="shared" si="1"/>
        <v>10.51</v>
      </c>
    </row>
    <row r="78" spans="1:8">
      <c r="A78">
        <v>77</v>
      </c>
      <c r="B78" t="s">
        <v>5936</v>
      </c>
      <c r="D78">
        <v>107</v>
      </c>
      <c r="E78" t="s">
        <v>3851</v>
      </c>
      <c r="F78">
        <v>56.69</v>
      </c>
      <c r="G78" s="3218">
        <v>25.174908304770948</v>
      </c>
      <c r="H78" s="3218">
        <f t="shared" si="1"/>
        <v>25.17</v>
      </c>
    </row>
    <row r="79" spans="1:8">
      <c r="A79">
        <v>78</v>
      </c>
      <c r="B79" t="s">
        <v>5936</v>
      </c>
      <c r="D79">
        <v>108</v>
      </c>
      <c r="E79" t="s">
        <v>3851</v>
      </c>
      <c r="F79">
        <v>41.15</v>
      </c>
      <c r="G79" s="3218">
        <v>18.273901512459421</v>
      </c>
      <c r="H79" s="3218">
        <f t="shared" si="1"/>
        <v>18.27</v>
      </c>
    </row>
    <row r="80" spans="1:8">
      <c r="A80">
        <v>79</v>
      </c>
      <c r="B80" t="s">
        <v>5936</v>
      </c>
      <c r="D80">
        <v>109</v>
      </c>
      <c r="E80" t="s">
        <v>3851</v>
      </c>
      <c r="F80">
        <v>41.15</v>
      </c>
      <c r="G80" s="3218">
        <v>18.273901512459421</v>
      </c>
      <c r="H80" s="3218">
        <f t="shared" si="1"/>
        <v>18.27</v>
      </c>
    </row>
    <row r="81" spans="1:8">
      <c r="A81">
        <v>80</v>
      </c>
      <c r="B81" t="s">
        <v>5936</v>
      </c>
      <c r="D81">
        <v>110</v>
      </c>
      <c r="E81" t="s">
        <v>3851</v>
      </c>
      <c r="F81">
        <v>56.69</v>
      </c>
      <c r="G81" s="3218">
        <v>25.174908304770948</v>
      </c>
      <c r="H81" s="3218">
        <f t="shared" si="1"/>
        <v>25.17</v>
      </c>
    </row>
    <row r="82" spans="1:8">
      <c r="A82">
        <v>81</v>
      </c>
      <c r="B82" t="s">
        <v>5936</v>
      </c>
      <c r="D82">
        <v>111</v>
      </c>
      <c r="E82" t="s">
        <v>3851</v>
      </c>
      <c r="F82">
        <v>23.66</v>
      </c>
      <c r="G82" s="3218">
        <v>10.50693826937521</v>
      </c>
      <c r="H82" s="3218">
        <f t="shared" si="1"/>
        <v>10.51</v>
      </c>
    </row>
    <row r="83" spans="1:8">
      <c r="A83">
        <v>82</v>
      </c>
      <c r="B83" t="s">
        <v>5936</v>
      </c>
      <c r="D83">
        <v>117</v>
      </c>
      <c r="E83" t="s">
        <v>3851</v>
      </c>
      <c r="F83">
        <v>27.65</v>
      </c>
      <c r="G83" s="3218">
        <v>12.278818391725466</v>
      </c>
      <c r="H83" s="3218">
        <f t="shared" si="1"/>
        <v>12.28</v>
      </c>
    </row>
    <row r="84" spans="1:8">
      <c r="A84">
        <v>83</v>
      </c>
      <c r="B84" t="s">
        <v>5936</v>
      </c>
      <c r="D84">
        <v>118</v>
      </c>
      <c r="E84" t="s">
        <v>3851</v>
      </c>
      <c r="F84">
        <v>19.170000000000002</v>
      </c>
      <c r="G84" s="3218">
        <v>8.5130180314422148</v>
      </c>
      <c r="H84" s="3218">
        <f t="shared" si="1"/>
        <v>8.51</v>
      </c>
    </row>
    <row r="85" spans="1:8">
      <c r="A85">
        <v>84</v>
      </c>
      <c r="B85" t="s">
        <v>5936</v>
      </c>
      <c r="D85">
        <v>119</v>
      </c>
      <c r="E85" t="s">
        <v>3851</v>
      </c>
      <c r="F85">
        <v>19.170000000000002</v>
      </c>
      <c r="G85" s="3218">
        <v>8.5130180314422148</v>
      </c>
      <c r="H85" s="3218">
        <f t="shared" si="1"/>
        <v>8.51</v>
      </c>
    </row>
    <row r="86" spans="1:8">
      <c r="A86">
        <v>85</v>
      </c>
      <c r="B86" t="s">
        <v>5936</v>
      </c>
      <c r="D86">
        <v>120</v>
      </c>
      <c r="E86" t="s">
        <v>3851</v>
      </c>
      <c r="F86">
        <v>27.65</v>
      </c>
      <c r="G86" s="3218">
        <v>12.278818391725466</v>
      </c>
      <c r="H86" s="3218">
        <f t="shared" si="1"/>
        <v>12.28</v>
      </c>
    </row>
    <row r="87" spans="1:8">
      <c r="A87">
        <v>86</v>
      </c>
      <c r="B87" t="s">
        <v>5936</v>
      </c>
      <c r="D87">
        <v>201</v>
      </c>
      <c r="E87" t="s">
        <v>3851</v>
      </c>
      <c r="F87">
        <v>18.350000000000001</v>
      </c>
      <c r="G87" s="3218">
        <v>8.1488722418865223</v>
      </c>
      <c r="H87" s="3218">
        <f t="shared" si="1"/>
        <v>8.15</v>
      </c>
    </row>
    <row r="88" spans="1:8">
      <c r="A88">
        <v>87</v>
      </c>
      <c r="B88" t="s">
        <v>5936</v>
      </c>
      <c r="D88">
        <v>202</v>
      </c>
      <c r="E88" t="s">
        <v>3851</v>
      </c>
      <c r="F88">
        <v>16.36</v>
      </c>
      <c r="G88" s="3218">
        <v>7.2651525818672198</v>
      </c>
      <c r="H88" s="3218">
        <f t="shared" si="1"/>
        <v>7.27</v>
      </c>
    </row>
    <row r="89" spans="1:8">
      <c r="A89">
        <v>88</v>
      </c>
      <c r="B89" t="s">
        <v>5936</v>
      </c>
      <c r="D89">
        <v>203</v>
      </c>
      <c r="E89" t="s">
        <v>3851</v>
      </c>
      <c r="F89">
        <v>12.41</v>
      </c>
      <c r="G89" s="3218">
        <v>5.511035668763582</v>
      </c>
      <c r="H89" s="3218">
        <f t="shared" si="1"/>
        <v>5.51</v>
      </c>
    </row>
    <row r="90" spans="1:8">
      <c r="A90">
        <v>89</v>
      </c>
      <c r="B90" t="s">
        <v>5937</v>
      </c>
      <c r="D90">
        <v>101</v>
      </c>
      <c r="E90" t="s">
        <v>3851</v>
      </c>
      <c r="F90">
        <v>27.29</v>
      </c>
      <c r="G90" s="3218">
        <v>12.118949508505894</v>
      </c>
      <c r="H90" s="3218">
        <f t="shared" si="1"/>
        <v>12.12</v>
      </c>
    </row>
    <row r="91" spans="1:8">
      <c r="A91">
        <v>90</v>
      </c>
      <c r="B91" t="s">
        <v>5937</v>
      </c>
      <c r="D91">
        <v>102</v>
      </c>
      <c r="E91" t="s">
        <v>3851</v>
      </c>
      <c r="F91">
        <v>22.38</v>
      </c>
      <c r="G91" s="3218">
        <v>9.9385155734833983</v>
      </c>
      <c r="H91" s="3218">
        <f t="shared" si="1"/>
        <v>9.94</v>
      </c>
    </row>
    <row r="92" spans="1:8">
      <c r="A92">
        <v>91</v>
      </c>
      <c r="B92" t="s">
        <v>5937</v>
      </c>
      <c r="D92">
        <v>103</v>
      </c>
      <c r="E92" t="s">
        <v>3851</v>
      </c>
      <c r="F92">
        <v>47.06</v>
      </c>
      <c r="G92" s="3218">
        <v>20.898415678647396</v>
      </c>
      <c r="H92" s="3218">
        <f t="shared" si="1"/>
        <v>20.9</v>
      </c>
    </row>
    <row r="93" spans="1:8">
      <c r="A93">
        <v>92</v>
      </c>
      <c r="B93" t="s">
        <v>5937</v>
      </c>
      <c r="D93">
        <v>104</v>
      </c>
      <c r="E93" t="s">
        <v>3851</v>
      </c>
      <c r="F93">
        <v>48.7</v>
      </c>
      <c r="G93" s="3218">
        <v>21.626707257758781</v>
      </c>
      <c r="H93" s="3218">
        <f t="shared" si="1"/>
        <v>21.63</v>
      </c>
    </row>
    <row r="94" spans="1:8">
      <c r="A94">
        <v>93</v>
      </c>
      <c r="B94" t="s">
        <v>5937</v>
      </c>
      <c r="D94">
        <v>105</v>
      </c>
      <c r="E94" t="s">
        <v>3851</v>
      </c>
      <c r="F94">
        <v>23.2</v>
      </c>
      <c r="G94" s="3218">
        <v>10.302661363039089</v>
      </c>
      <c r="H94" s="3218">
        <f t="shared" si="1"/>
        <v>10.3</v>
      </c>
    </row>
    <row r="95" spans="1:8">
      <c r="A95">
        <v>94</v>
      </c>
      <c r="B95" t="s">
        <v>5937</v>
      </c>
      <c r="D95">
        <v>106</v>
      </c>
      <c r="E95" t="s">
        <v>3851</v>
      </c>
      <c r="F95">
        <v>23.2</v>
      </c>
      <c r="G95" s="3218">
        <v>10.302661363039089</v>
      </c>
      <c r="H95" s="3218">
        <f t="shared" si="1"/>
        <v>10.3</v>
      </c>
    </row>
    <row r="96" spans="1:8">
      <c r="A96">
        <v>95</v>
      </c>
      <c r="B96" t="s">
        <v>5937</v>
      </c>
      <c r="D96">
        <v>107</v>
      </c>
      <c r="E96" t="s">
        <v>3851</v>
      </c>
      <c r="F96">
        <v>48.7</v>
      </c>
      <c r="G96" s="3218">
        <v>21.626707257758781</v>
      </c>
      <c r="H96" s="3218">
        <f t="shared" si="1"/>
        <v>21.63</v>
      </c>
    </row>
    <row r="97" spans="1:8">
      <c r="A97">
        <v>96</v>
      </c>
      <c r="B97" t="s">
        <v>5937</v>
      </c>
      <c r="D97">
        <v>108</v>
      </c>
      <c r="E97" t="s">
        <v>3851</v>
      </c>
      <c r="F97">
        <v>47.1</v>
      </c>
      <c r="G97" s="3218">
        <v>20.916178887894016</v>
      </c>
      <c r="H97" s="3218">
        <f t="shared" si="1"/>
        <v>20.92</v>
      </c>
    </row>
    <row r="98" spans="1:8">
      <c r="A98">
        <v>97</v>
      </c>
      <c r="B98" t="s">
        <v>5937</v>
      </c>
      <c r="D98">
        <v>109</v>
      </c>
      <c r="E98" t="s">
        <v>3851</v>
      </c>
      <c r="F98">
        <v>27.52</v>
      </c>
      <c r="G98" s="3218">
        <v>12.221087961673955</v>
      </c>
      <c r="H98" s="3218">
        <f t="shared" si="1"/>
        <v>12.22</v>
      </c>
    </row>
    <row r="99" spans="1:8">
      <c r="A99">
        <v>98</v>
      </c>
      <c r="B99" t="s">
        <v>5937</v>
      </c>
      <c r="D99">
        <v>201</v>
      </c>
      <c r="E99" t="s">
        <v>3851</v>
      </c>
      <c r="F99">
        <v>16.940000000000001</v>
      </c>
      <c r="G99" s="3218">
        <v>7.5227191159431985</v>
      </c>
      <c r="H99" s="3218">
        <f t="shared" si="1"/>
        <v>7.52</v>
      </c>
    </row>
    <row r="100" spans="1:8">
      <c r="A100">
        <v>99</v>
      </c>
      <c r="B100" t="s">
        <v>5937</v>
      </c>
      <c r="D100">
        <v>202</v>
      </c>
      <c r="E100" t="s">
        <v>3851</v>
      </c>
      <c r="F100">
        <v>26.37</v>
      </c>
      <c r="G100" s="3218">
        <v>11.710395695833656</v>
      </c>
      <c r="H100" s="3218">
        <f t="shared" si="1"/>
        <v>11.71</v>
      </c>
    </row>
    <row r="101" spans="1:8">
      <c r="A101">
        <v>100</v>
      </c>
      <c r="B101" t="s">
        <v>5937</v>
      </c>
      <c r="D101">
        <v>203</v>
      </c>
      <c r="E101" t="s">
        <v>3851</v>
      </c>
      <c r="F101">
        <v>19.690000000000001</v>
      </c>
      <c r="G101" s="3218">
        <v>8.7439397516482629</v>
      </c>
      <c r="H101" s="3218">
        <f t="shared" si="1"/>
        <v>8.74</v>
      </c>
    </row>
    <row r="102" spans="1:8">
      <c r="A102">
        <v>101</v>
      </c>
      <c r="B102" t="s">
        <v>5937</v>
      </c>
      <c r="D102">
        <v>204</v>
      </c>
      <c r="E102" t="s">
        <v>3851</v>
      </c>
      <c r="F102">
        <v>19.690000000000001</v>
      </c>
      <c r="G102" s="3218">
        <v>8.7439397516482629</v>
      </c>
      <c r="H102" s="3218">
        <f t="shared" si="1"/>
        <v>8.74</v>
      </c>
    </row>
    <row r="103" spans="1:8">
      <c r="A103">
        <v>102</v>
      </c>
      <c r="B103" t="s">
        <v>5937</v>
      </c>
      <c r="D103">
        <v>205</v>
      </c>
      <c r="E103" t="s">
        <v>3851</v>
      </c>
      <c r="F103">
        <v>16.440000000000001</v>
      </c>
      <c r="G103" s="3218">
        <v>7.3006790003604589</v>
      </c>
      <c r="H103" s="3218">
        <f t="shared" si="1"/>
        <v>7.3</v>
      </c>
    </row>
    <row r="104" spans="1:8">
      <c r="A104">
        <v>103</v>
      </c>
      <c r="B104" t="s">
        <v>5938</v>
      </c>
      <c r="D104">
        <v>201</v>
      </c>
      <c r="E104" t="s">
        <v>3851</v>
      </c>
      <c r="F104">
        <v>15.67</v>
      </c>
      <c r="G104" s="3218">
        <v>6.9587372223630402</v>
      </c>
      <c r="H104" s="3218">
        <f t="shared" si="1"/>
        <v>6.96</v>
      </c>
    </row>
    <row r="105" spans="1:8">
      <c r="A105">
        <v>104</v>
      </c>
      <c r="B105" t="s">
        <v>5939</v>
      </c>
      <c r="D105">
        <v>106</v>
      </c>
      <c r="E105" t="s">
        <v>3851</v>
      </c>
      <c r="F105">
        <v>23.61</v>
      </c>
      <c r="G105" s="3218">
        <v>10.484734257816935</v>
      </c>
      <c r="H105" s="3218">
        <f t="shared" si="1"/>
        <v>10.48</v>
      </c>
    </row>
    <row r="106" spans="1:8">
      <c r="A106">
        <v>105</v>
      </c>
      <c r="B106" t="s">
        <v>5939</v>
      </c>
      <c r="D106">
        <v>107</v>
      </c>
      <c r="E106" t="s">
        <v>3851</v>
      </c>
      <c r="F106">
        <v>56.57</v>
      </c>
      <c r="G106" s="3218">
        <v>25.121618677031091</v>
      </c>
      <c r="H106" s="3218">
        <f t="shared" si="1"/>
        <v>25.12</v>
      </c>
    </row>
    <row r="107" spans="1:8">
      <c r="A107">
        <v>106</v>
      </c>
      <c r="B107" t="s">
        <v>5939</v>
      </c>
      <c r="D107">
        <v>108</v>
      </c>
      <c r="E107" t="s">
        <v>3851</v>
      </c>
      <c r="F107">
        <v>41.37</v>
      </c>
      <c r="G107" s="3218">
        <v>18.371599163315825</v>
      </c>
      <c r="H107" s="3218">
        <f t="shared" si="1"/>
        <v>18.37</v>
      </c>
    </row>
    <row r="108" spans="1:8">
      <c r="A108">
        <v>107</v>
      </c>
      <c r="B108" t="s">
        <v>5939</v>
      </c>
      <c r="D108">
        <v>109</v>
      </c>
      <c r="E108" t="s">
        <v>3851</v>
      </c>
      <c r="F108">
        <v>41.37</v>
      </c>
      <c r="G108" s="3218">
        <v>18.371599163315825</v>
      </c>
      <c r="H108" s="3218">
        <f t="shared" si="1"/>
        <v>18.37</v>
      </c>
    </row>
    <row r="109" spans="1:8">
      <c r="A109">
        <v>108</v>
      </c>
      <c r="B109" t="s">
        <v>5939</v>
      </c>
      <c r="D109">
        <v>110</v>
      </c>
      <c r="E109" t="s">
        <v>3851</v>
      </c>
      <c r="F109">
        <v>56.57</v>
      </c>
      <c r="G109" s="3218">
        <v>25.121618677031091</v>
      </c>
      <c r="H109" s="3218">
        <f t="shared" si="1"/>
        <v>25.12</v>
      </c>
    </row>
    <row r="110" spans="1:8">
      <c r="A110">
        <v>109</v>
      </c>
      <c r="B110" t="s">
        <v>5939</v>
      </c>
      <c r="D110">
        <v>111</v>
      </c>
      <c r="E110" t="s">
        <v>3851</v>
      </c>
      <c r="F110">
        <v>23.61</v>
      </c>
      <c r="G110" s="3218">
        <v>10.484734257816935</v>
      </c>
      <c r="H110" s="3218">
        <f t="shared" si="1"/>
        <v>10.48</v>
      </c>
    </row>
    <row r="111" spans="1:8">
      <c r="A111">
        <v>110</v>
      </c>
      <c r="B111" t="s">
        <v>5939</v>
      </c>
      <c r="D111">
        <v>115</v>
      </c>
      <c r="E111" t="s">
        <v>3851</v>
      </c>
      <c r="F111">
        <v>41.06</v>
      </c>
      <c r="G111" s="3218">
        <v>18.233934291654528</v>
      </c>
      <c r="H111" s="3218">
        <f t="shared" si="1"/>
        <v>18.23</v>
      </c>
    </row>
    <row r="112" spans="1:8">
      <c r="A112">
        <v>111</v>
      </c>
      <c r="B112" t="s">
        <v>5939</v>
      </c>
      <c r="D112">
        <v>116</v>
      </c>
      <c r="E112" t="s">
        <v>3851</v>
      </c>
      <c r="F112">
        <v>56.57</v>
      </c>
      <c r="G112" s="3218">
        <v>25.121618677031091</v>
      </c>
      <c r="H112" s="3218">
        <f t="shared" si="1"/>
        <v>25.12</v>
      </c>
    </row>
    <row r="113" spans="1:8">
      <c r="A113">
        <v>112</v>
      </c>
      <c r="B113" t="s">
        <v>5939</v>
      </c>
      <c r="D113">
        <v>117</v>
      </c>
      <c r="E113" t="s">
        <v>3851</v>
      </c>
      <c r="F113">
        <v>23.61</v>
      </c>
      <c r="G113" s="3218">
        <v>10.484734257816935</v>
      </c>
      <c r="H113" s="3218">
        <f t="shared" si="1"/>
        <v>10.48</v>
      </c>
    </row>
    <row r="114" spans="1:8">
      <c r="A114">
        <v>113</v>
      </c>
      <c r="B114" t="s">
        <v>5939</v>
      </c>
      <c r="D114">
        <v>118</v>
      </c>
      <c r="E114" t="s">
        <v>3851</v>
      </c>
      <c r="F114">
        <v>23.61</v>
      </c>
      <c r="G114" s="3218">
        <v>10.484734257816935</v>
      </c>
      <c r="H114" s="3218">
        <f t="shared" si="1"/>
        <v>10.48</v>
      </c>
    </row>
    <row r="115" spans="1:8">
      <c r="A115">
        <v>114</v>
      </c>
      <c r="B115" t="s">
        <v>5939</v>
      </c>
      <c r="D115">
        <v>119</v>
      </c>
      <c r="E115" t="s">
        <v>3851</v>
      </c>
      <c r="F115">
        <v>49.55</v>
      </c>
      <c r="G115" s="3218">
        <v>22.004175454249435</v>
      </c>
      <c r="H115" s="3218">
        <f t="shared" si="1"/>
        <v>22</v>
      </c>
    </row>
    <row r="116" spans="1:8">
      <c r="A116">
        <v>115</v>
      </c>
      <c r="B116" t="s">
        <v>5939</v>
      </c>
      <c r="D116">
        <v>120</v>
      </c>
      <c r="E116" t="s">
        <v>3851</v>
      </c>
      <c r="F116">
        <v>47.92</v>
      </c>
      <c r="G116" s="3218">
        <v>21.280324677449705</v>
      </c>
      <c r="H116" s="3218">
        <f t="shared" si="1"/>
        <v>21.28</v>
      </c>
    </row>
    <row r="117" spans="1:8">
      <c r="A117">
        <v>116</v>
      </c>
      <c r="B117" t="s">
        <v>5939</v>
      </c>
      <c r="D117">
        <v>121</v>
      </c>
      <c r="E117" t="s">
        <v>3851</v>
      </c>
      <c r="F117">
        <v>22.78</v>
      </c>
      <c r="G117" s="3218">
        <v>10.11614766594959</v>
      </c>
      <c r="H117" s="3218">
        <f t="shared" si="1"/>
        <v>10.119999999999999</v>
      </c>
    </row>
    <row r="118" spans="1:8">
      <c r="A118">
        <v>117</v>
      </c>
      <c r="B118" t="s">
        <v>5939</v>
      </c>
      <c r="D118">
        <v>122</v>
      </c>
      <c r="E118" t="s">
        <v>3851</v>
      </c>
      <c r="F118">
        <v>27.95</v>
      </c>
      <c r="G118" s="3218">
        <v>12.41204246107511</v>
      </c>
      <c r="H118" s="3218">
        <f t="shared" si="1"/>
        <v>12.41</v>
      </c>
    </row>
    <row r="119" spans="1:8">
      <c r="A119">
        <v>118</v>
      </c>
      <c r="B119" t="s">
        <v>5939</v>
      </c>
      <c r="D119">
        <v>123</v>
      </c>
      <c r="E119" t="s">
        <v>3851</v>
      </c>
      <c r="F119">
        <v>27.59</v>
      </c>
      <c r="G119" s="3218">
        <v>12.252173577855539</v>
      </c>
      <c r="H119" s="3218">
        <f t="shared" si="1"/>
        <v>12.25</v>
      </c>
    </row>
    <row r="120" spans="1:8">
      <c r="A120">
        <v>119</v>
      </c>
      <c r="B120" t="s">
        <v>5939</v>
      </c>
      <c r="D120">
        <v>124</v>
      </c>
      <c r="E120" t="s">
        <v>3851</v>
      </c>
      <c r="F120">
        <v>19.13</v>
      </c>
      <c r="G120" s="3218">
        <v>8.4952548221955944</v>
      </c>
      <c r="H120" s="3218">
        <f t="shared" si="1"/>
        <v>8.5</v>
      </c>
    </row>
    <row r="121" spans="1:8">
      <c r="A121">
        <v>120</v>
      </c>
      <c r="B121" t="s">
        <v>5939</v>
      </c>
      <c r="D121">
        <v>126</v>
      </c>
      <c r="E121" t="s">
        <v>3851</v>
      </c>
      <c r="F121">
        <v>27.77</v>
      </c>
      <c r="G121" s="3218">
        <v>12.332108019465323</v>
      </c>
      <c r="H121" s="3218">
        <f t="shared" si="1"/>
        <v>12.33</v>
      </c>
    </row>
    <row r="122" spans="1:8">
      <c r="A122">
        <v>121</v>
      </c>
      <c r="B122" t="s">
        <v>5939</v>
      </c>
      <c r="D122">
        <v>127</v>
      </c>
      <c r="E122" t="s">
        <v>3851</v>
      </c>
      <c r="F122">
        <v>27.59</v>
      </c>
      <c r="G122" s="3218">
        <v>12.252173577855539</v>
      </c>
      <c r="H122" s="3218">
        <f t="shared" si="1"/>
        <v>12.25</v>
      </c>
    </row>
    <row r="123" spans="1:8">
      <c r="A123">
        <v>122</v>
      </c>
      <c r="B123" t="s">
        <v>5939</v>
      </c>
      <c r="D123">
        <v>128</v>
      </c>
      <c r="E123" t="s">
        <v>3851</v>
      </c>
      <c r="F123">
        <v>19.77</v>
      </c>
      <c r="G123" s="3218">
        <v>8.7794661701415002</v>
      </c>
      <c r="H123" s="3218">
        <f t="shared" si="1"/>
        <v>8.7799999999999994</v>
      </c>
    </row>
    <row r="124" spans="1:8">
      <c r="A124">
        <v>123</v>
      </c>
      <c r="B124" t="s">
        <v>5939</v>
      </c>
      <c r="D124">
        <v>202</v>
      </c>
      <c r="E124" t="s">
        <v>3851</v>
      </c>
      <c r="F124">
        <v>16.329999999999998</v>
      </c>
      <c r="G124" s="3218">
        <v>7.2518301749322553</v>
      </c>
      <c r="H124" s="3218">
        <f t="shared" si="1"/>
        <v>7.25</v>
      </c>
    </row>
    <row r="125" spans="1:8">
      <c r="A125">
        <v>124</v>
      </c>
      <c r="B125" t="s">
        <v>5939</v>
      </c>
      <c r="D125">
        <v>203</v>
      </c>
      <c r="E125" t="s">
        <v>3851</v>
      </c>
      <c r="F125">
        <v>12.38</v>
      </c>
      <c r="G125" s="3218">
        <v>5.4977132618286184</v>
      </c>
      <c r="H125" s="3218">
        <f t="shared" si="1"/>
        <v>5.5</v>
      </c>
    </row>
    <row r="126" spans="1:8">
      <c r="A126">
        <v>125</v>
      </c>
      <c r="B126" t="s">
        <v>5939</v>
      </c>
      <c r="D126">
        <v>205</v>
      </c>
      <c r="E126" t="s">
        <v>3851</v>
      </c>
      <c r="F126">
        <v>12.38</v>
      </c>
      <c r="G126" s="3218">
        <v>5.4977132618286184</v>
      </c>
      <c r="H126" s="3218">
        <f t="shared" si="1"/>
        <v>5.5</v>
      </c>
    </row>
    <row r="127" spans="1:8">
      <c r="A127">
        <v>126</v>
      </c>
      <c r="B127" t="s">
        <v>5939</v>
      </c>
      <c r="D127">
        <v>206</v>
      </c>
      <c r="E127" t="s">
        <v>3851</v>
      </c>
      <c r="F127">
        <v>17</v>
      </c>
      <c r="G127" s="3218">
        <v>7.5493639298131265</v>
      </c>
      <c r="H127" s="3218">
        <f t="shared" si="1"/>
        <v>7.55</v>
      </c>
    </row>
    <row r="128" spans="1:8">
      <c r="A128">
        <v>127</v>
      </c>
      <c r="B128" t="s">
        <v>5940</v>
      </c>
      <c r="D128">
        <v>101</v>
      </c>
      <c r="E128" t="s">
        <v>3851</v>
      </c>
      <c r="F128">
        <v>30.98</v>
      </c>
      <c r="G128" s="3218">
        <v>13.757605561506509</v>
      </c>
      <c r="H128" s="3218">
        <f t="shared" si="1"/>
        <v>13.76</v>
      </c>
    </row>
    <row r="129" spans="1:8">
      <c r="A129">
        <v>128</v>
      </c>
      <c r="B129" t="s">
        <v>5940</v>
      </c>
      <c r="D129">
        <v>102</v>
      </c>
      <c r="E129" t="s">
        <v>3851</v>
      </c>
      <c r="F129">
        <v>16.059999999999999</v>
      </c>
      <c r="G129" s="3218">
        <v>7.1319285125175762</v>
      </c>
      <c r="H129" s="3218">
        <f t="shared" si="1"/>
        <v>7.13</v>
      </c>
    </row>
    <row r="130" spans="1:8">
      <c r="A130">
        <v>129</v>
      </c>
      <c r="B130" t="s">
        <v>5940</v>
      </c>
      <c r="D130">
        <v>103</v>
      </c>
      <c r="E130" t="s">
        <v>3851</v>
      </c>
      <c r="F130">
        <v>46.48</v>
      </c>
      <c r="G130" s="3218">
        <v>20.640849144571416</v>
      </c>
      <c r="H130" s="3218">
        <f t="shared" si="1"/>
        <v>20.64</v>
      </c>
    </row>
    <row r="131" spans="1:8">
      <c r="A131">
        <v>130</v>
      </c>
      <c r="B131" t="s">
        <v>5940</v>
      </c>
      <c r="D131">
        <v>104</v>
      </c>
      <c r="E131" t="s">
        <v>3851</v>
      </c>
      <c r="F131">
        <v>53.69</v>
      </c>
      <c r="G131" s="3218">
        <v>23.842667611274514</v>
      </c>
      <c r="H131" s="3218">
        <f t="shared" ref="H131:H194" si="2">ROUND(G131,2)</f>
        <v>23.84</v>
      </c>
    </row>
    <row r="132" spans="1:8">
      <c r="A132">
        <v>131</v>
      </c>
      <c r="B132" t="s">
        <v>5940</v>
      </c>
      <c r="D132">
        <v>105</v>
      </c>
      <c r="E132" t="s">
        <v>3851</v>
      </c>
      <c r="F132">
        <v>23.63</v>
      </c>
      <c r="G132" s="3218">
        <v>10.493615862440246</v>
      </c>
      <c r="H132" s="3218">
        <f t="shared" si="2"/>
        <v>10.49</v>
      </c>
    </row>
    <row r="133" spans="1:8">
      <c r="A133">
        <v>132</v>
      </c>
      <c r="B133" t="s">
        <v>5940</v>
      </c>
      <c r="D133">
        <v>106</v>
      </c>
      <c r="E133" t="s">
        <v>3851</v>
      </c>
      <c r="F133">
        <v>23.66</v>
      </c>
      <c r="G133" s="3218">
        <v>10.50693826937521</v>
      </c>
      <c r="H133" s="3218">
        <f t="shared" si="2"/>
        <v>10.51</v>
      </c>
    </row>
    <row r="134" spans="1:8">
      <c r="A134">
        <v>133</v>
      </c>
      <c r="B134" t="s">
        <v>5940</v>
      </c>
      <c r="D134">
        <v>107</v>
      </c>
      <c r="E134" t="s">
        <v>3851</v>
      </c>
      <c r="F134">
        <v>56.65</v>
      </c>
      <c r="G134" s="3218">
        <v>25.157145095524328</v>
      </c>
      <c r="H134" s="3218">
        <f t="shared" si="2"/>
        <v>25.16</v>
      </c>
    </row>
    <row r="135" spans="1:8">
      <c r="A135">
        <v>134</v>
      </c>
      <c r="B135" t="s">
        <v>5940</v>
      </c>
      <c r="D135">
        <v>108</v>
      </c>
      <c r="E135" t="s">
        <v>3851</v>
      </c>
      <c r="F135">
        <v>41.09</v>
      </c>
      <c r="G135" s="3218">
        <v>18.247256698589492</v>
      </c>
      <c r="H135" s="3218">
        <f t="shared" si="2"/>
        <v>18.25</v>
      </c>
    </row>
    <row r="136" spans="1:8">
      <c r="A136">
        <v>135</v>
      </c>
      <c r="B136" t="s">
        <v>5940</v>
      </c>
      <c r="D136">
        <v>109</v>
      </c>
      <c r="E136" t="s">
        <v>3851</v>
      </c>
      <c r="F136">
        <v>41.09</v>
      </c>
      <c r="G136" s="3218">
        <v>18.247256698589492</v>
      </c>
      <c r="H136" s="3218">
        <f t="shared" si="2"/>
        <v>18.25</v>
      </c>
    </row>
    <row r="137" spans="1:8">
      <c r="A137">
        <v>136</v>
      </c>
      <c r="B137" t="s">
        <v>5940</v>
      </c>
      <c r="D137">
        <v>110</v>
      </c>
      <c r="E137" t="s">
        <v>3851</v>
      </c>
      <c r="F137">
        <v>56.65</v>
      </c>
      <c r="G137" s="3218">
        <v>25.157145095524328</v>
      </c>
      <c r="H137" s="3218">
        <f t="shared" si="2"/>
        <v>25.16</v>
      </c>
    </row>
    <row r="138" spans="1:8">
      <c r="A138">
        <v>137</v>
      </c>
      <c r="B138" t="s">
        <v>5940</v>
      </c>
      <c r="D138">
        <v>112</v>
      </c>
      <c r="E138" t="s">
        <v>3851</v>
      </c>
      <c r="F138">
        <v>23.63</v>
      </c>
      <c r="G138" s="3218">
        <v>10.493615862440246</v>
      </c>
      <c r="H138" s="3218">
        <f t="shared" si="2"/>
        <v>10.49</v>
      </c>
    </row>
    <row r="139" spans="1:8">
      <c r="A139">
        <v>138</v>
      </c>
      <c r="B139" t="s">
        <v>5940</v>
      </c>
      <c r="D139">
        <v>113</v>
      </c>
      <c r="E139" t="s">
        <v>3851</v>
      </c>
      <c r="F139">
        <v>49.59</v>
      </c>
      <c r="G139" s="3218">
        <v>22.021938663496055</v>
      </c>
      <c r="H139" s="3218">
        <f t="shared" si="2"/>
        <v>22.02</v>
      </c>
    </row>
    <row r="140" spans="1:8">
      <c r="A140">
        <v>139</v>
      </c>
      <c r="B140" t="s">
        <v>5940</v>
      </c>
      <c r="D140">
        <v>114</v>
      </c>
      <c r="E140" t="s">
        <v>3851</v>
      </c>
      <c r="F140">
        <v>47.96</v>
      </c>
      <c r="G140" s="3218">
        <v>21.298087886696326</v>
      </c>
      <c r="H140" s="3218">
        <f t="shared" si="2"/>
        <v>21.3</v>
      </c>
    </row>
    <row r="141" spans="1:8">
      <c r="A141">
        <v>140</v>
      </c>
      <c r="B141" t="s">
        <v>5940</v>
      </c>
      <c r="D141">
        <v>115</v>
      </c>
      <c r="E141" t="s">
        <v>3851</v>
      </c>
      <c r="F141">
        <v>22.62</v>
      </c>
      <c r="G141" s="3218">
        <v>10.045094828963114</v>
      </c>
      <c r="H141" s="3218">
        <f t="shared" si="2"/>
        <v>10.050000000000001</v>
      </c>
    </row>
    <row r="142" spans="1:8">
      <c r="A142">
        <v>141</v>
      </c>
      <c r="B142" t="s">
        <v>5940</v>
      </c>
      <c r="D142">
        <v>116</v>
      </c>
      <c r="E142" t="s">
        <v>3851</v>
      </c>
      <c r="F142">
        <v>27.97</v>
      </c>
      <c r="G142" s="3218">
        <v>12.42092406569842</v>
      </c>
      <c r="H142" s="3218">
        <f t="shared" si="2"/>
        <v>12.42</v>
      </c>
    </row>
    <row r="143" spans="1:8">
      <c r="A143">
        <v>142</v>
      </c>
      <c r="B143" t="s">
        <v>5940</v>
      </c>
      <c r="D143">
        <v>117</v>
      </c>
      <c r="E143" t="s">
        <v>3851</v>
      </c>
      <c r="F143">
        <v>27.62</v>
      </c>
      <c r="G143" s="3218">
        <v>12.265495984790503</v>
      </c>
      <c r="H143" s="3218">
        <f t="shared" si="2"/>
        <v>12.27</v>
      </c>
    </row>
    <row r="144" spans="1:8">
      <c r="A144">
        <v>143</v>
      </c>
      <c r="B144" t="s">
        <v>5940</v>
      </c>
      <c r="D144">
        <v>118</v>
      </c>
      <c r="E144" t="s">
        <v>3851</v>
      </c>
      <c r="F144">
        <v>19.149999999999999</v>
      </c>
      <c r="G144" s="3218">
        <v>8.5041364268189028</v>
      </c>
      <c r="H144" s="3218">
        <f t="shared" si="2"/>
        <v>8.5</v>
      </c>
    </row>
    <row r="145" spans="1:8">
      <c r="A145">
        <v>144</v>
      </c>
      <c r="B145" t="s">
        <v>5940</v>
      </c>
      <c r="D145">
        <v>119</v>
      </c>
      <c r="E145" t="s">
        <v>3851</v>
      </c>
      <c r="F145">
        <v>19.149999999999999</v>
      </c>
      <c r="G145" s="3218">
        <v>8.5041364268189028</v>
      </c>
      <c r="H145" s="3218">
        <f t="shared" si="2"/>
        <v>8.5</v>
      </c>
    </row>
    <row r="146" spans="1:8">
      <c r="A146">
        <v>145</v>
      </c>
      <c r="B146" t="s">
        <v>5940</v>
      </c>
      <c r="D146">
        <v>120</v>
      </c>
      <c r="E146" t="s">
        <v>3851</v>
      </c>
      <c r="F146">
        <v>27.62</v>
      </c>
      <c r="G146" s="3218">
        <v>12.265495984790503</v>
      </c>
      <c r="H146" s="3218">
        <f t="shared" si="2"/>
        <v>12.27</v>
      </c>
    </row>
    <row r="147" spans="1:8">
      <c r="A147">
        <v>146</v>
      </c>
      <c r="B147" t="s">
        <v>5940</v>
      </c>
      <c r="D147">
        <v>201</v>
      </c>
      <c r="E147" t="s">
        <v>3851</v>
      </c>
      <c r="F147">
        <v>18.329999999999998</v>
      </c>
      <c r="G147" s="3218">
        <v>8.139990637263212</v>
      </c>
      <c r="H147" s="3218">
        <f t="shared" si="2"/>
        <v>8.14</v>
      </c>
    </row>
    <row r="148" spans="1:8">
      <c r="A148">
        <v>147</v>
      </c>
      <c r="B148" t="s">
        <v>5940</v>
      </c>
      <c r="D148">
        <v>203</v>
      </c>
      <c r="E148" t="s">
        <v>3851</v>
      </c>
      <c r="F148">
        <v>16.34</v>
      </c>
      <c r="G148" s="3218">
        <v>7.2562709772439105</v>
      </c>
      <c r="H148" s="3218">
        <f t="shared" si="2"/>
        <v>7.26</v>
      </c>
    </row>
    <row r="149" spans="1:8">
      <c r="A149">
        <v>148</v>
      </c>
      <c r="B149" t="s">
        <v>5940</v>
      </c>
      <c r="D149">
        <v>204</v>
      </c>
      <c r="E149" t="s">
        <v>3851</v>
      </c>
      <c r="F149">
        <v>17.02</v>
      </c>
      <c r="G149" s="3218">
        <v>7.5582455344364359</v>
      </c>
      <c r="H149" s="3218">
        <f t="shared" si="2"/>
        <v>7.56</v>
      </c>
    </row>
    <row r="150" spans="1:8">
      <c r="A150">
        <v>149</v>
      </c>
      <c r="B150" t="s">
        <v>5941</v>
      </c>
      <c r="D150">
        <v>101</v>
      </c>
      <c r="E150" t="s">
        <v>3851</v>
      </c>
      <c r="F150">
        <v>27.99</v>
      </c>
      <c r="G150" s="3218">
        <v>12.429805670321729</v>
      </c>
      <c r="H150" s="3218">
        <f t="shared" si="2"/>
        <v>12.43</v>
      </c>
    </row>
    <row r="151" spans="1:8">
      <c r="A151">
        <v>150</v>
      </c>
      <c r="B151" t="s">
        <v>5941</v>
      </c>
      <c r="D151">
        <v>102</v>
      </c>
      <c r="E151" t="s">
        <v>3851</v>
      </c>
      <c r="F151">
        <v>22.8</v>
      </c>
      <c r="G151" s="3218">
        <v>10.125029270572899</v>
      </c>
      <c r="H151" s="3218">
        <f t="shared" si="2"/>
        <v>10.130000000000001</v>
      </c>
    </row>
    <row r="152" spans="1:8">
      <c r="A152">
        <v>151</v>
      </c>
      <c r="B152" t="s">
        <v>5941</v>
      </c>
      <c r="D152">
        <v>103</v>
      </c>
      <c r="E152" t="s">
        <v>3851</v>
      </c>
      <c r="F152">
        <v>47.99</v>
      </c>
      <c r="G152" s="3218">
        <v>21.31141029363129</v>
      </c>
      <c r="H152" s="3218">
        <f t="shared" si="2"/>
        <v>21.31</v>
      </c>
    </row>
    <row r="153" spans="1:8">
      <c r="A153">
        <v>152</v>
      </c>
      <c r="B153" t="s">
        <v>5941</v>
      </c>
      <c r="D153">
        <v>104</v>
      </c>
      <c r="E153" t="s">
        <v>3851</v>
      </c>
      <c r="F153">
        <v>49.61</v>
      </c>
      <c r="G153" s="3218">
        <v>22.030820268119363</v>
      </c>
      <c r="H153" s="3218">
        <f t="shared" si="2"/>
        <v>22.03</v>
      </c>
    </row>
    <row r="154" spans="1:8">
      <c r="A154">
        <v>153</v>
      </c>
      <c r="B154" t="s">
        <v>5941</v>
      </c>
      <c r="D154">
        <v>105</v>
      </c>
      <c r="E154" t="s">
        <v>3851</v>
      </c>
      <c r="F154">
        <v>23.64</v>
      </c>
      <c r="G154" s="3218">
        <v>10.4980566647519</v>
      </c>
      <c r="H154" s="3218">
        <f t="shared" si="2"/>
        <v>10.5</v>
      </c>
    </row>
    <row r="155" spans="1:8">
      <c r="A155">
        <v>154</v>
      </c>
      <c r="B155" t="s">
        <v>5941</v>
      </c>
      <c r="D155">
        <v>107</v>
      </c>
      <c r="E155" t="s">
        <v>3851</v>
      </c>
      <c r="F155">
        <v>56.68</v>
      </c>
      <c r="G155" s="3218">
        <v>25.170467502459292</v>
      </c>
      <c r="H155" s="3218">
        <f t="shared" si="2"/>
        <v>25.17</v>
      </c>
    </row>
    <row r="156" spans="1:8">
      <c r="A156">
        <v>155</v>
      </c>
      <c r="B156" t="s">
        <v>5941</v>
      </c>
      <c r="D156">
        <v>108</v>
      </c>
      <c r="E156" t="s">
        <v>3851</v>
      </c>
      <c r="F156">
        <v>41.11</v>
      </c>
      <c r="G156" s="3218">
        <v>18.256138303212801</v>
      </c>
      <c r="H156" s="3218">
        <f t="shared" si="2"/>
        <v>18.260000000000002</v>
      </c>
    </row>
    <row r="157" spans="1:8">
      <c r="A157">
        <v>156</v>
      </c>
      <c r="B157" t="s">
        <v>5941</v>
      </c>
      <c r="D157">
        <v>109</v>
      </c>
      <c r="E157" t="s">
        <v>3851</v>
      </c>
      <c r="F157">
        <v>41.11</v>
      </c>
      <c r="G157" s="3218">
        <v>18.256138303212801</v>
      </c>
      <c r="H157" s="3218">
        <f t="shared" si="2"/>
        <v>18.260000000000002</v>
      </c>
    </row>
    <row r="158" spans="1:8">
      <c r="A158">
        <v>157</v>
      </c>
      <c r="B158" t="s">
        <v>5941</v>
      </c>
      <c r="D158">
        <v>110</v>
      </c>
      <c r="E158" t="s">
        <v>3851</v>
      </c>
      <c r="F158">
        <v>56.68</v>
      </c>
      <c r="G158" s="3218">
        <v>25.170467502459292</v>
      </c>
      <c r="H158" s="3218">
        <f t="shared" si="2"/>
        <v>25.17</v>
      </c>
    </row>
    <row r="159" spans="1:8">
      <c r="A159">
        <v>158</v>
      </c>
      <c r="B159" t="s">
        <v>5941</v>
      </c>
      <c r="D159">
        <v>112</v>
      </c>
      <c r="E159" t="s">
        <v>3851</v>
      </c>
      <c r="F159">
        <v>23.64</v>
      </c>
      <c r="G159" s="3218">
        <v>10.4980566647519</v>
      </c>
      <c r="H159" s="3218">
        <f t="shared" si="2"/>
        <v>10.5</v>
      </c>
    </row>
    <row r="160" spans="1:8">
      <c r="A160">
        <v>159</v>
      </c>
      <c r="B160" t="s">
        <v>5941</v>
      </c>
      <c r="D160">
        <v>113</v>
      </c>
      <c r="E160" t="s">
        <v>3851</v>
      </c>
      <c r="F160">
        <v>53.72</v>
      </c>
      <c r="G160" s="3218">
        <v>23.855990018209479</v>
      </c>
      <c r="H160" s="3218">
        <f t="shared" si="2"/>
        <v>23.86</v>
      </c>
    </row>
    <row r="161" spans="1:8">
      <c r="A161">
        <v>160</v>
      </c>
      <c r="B161" t="s">
        <v>5941</v>
      </c>
      <c r="D161">
        <v>114</v>
      </c>
      <c r="E161" t="s">
        <v>3851</v>
      </c>
      <c r="F161">
        <v>46.5</v>
      </c>
      <c r="G161" s="3218">
        <v>20.649730749194728</v>
      </c>
      <c r="H161" s="3218">
        <f t="shared" si="2"/>
        <v>20.65</v>
      </c>
    </row>
    <row r="162" spans="1:8">
      <c r="A162">
        <v>161</v>
      </c>
      <c r="B162" t="s">
        <v>5941</v>
      </c>
      <c r="D162">
        <v>115</v>
      </c>
      <c r="E162" t="s">
        <v>3851</v>
      </c>
      <c r="F162">
        <v>16.07</v>
      </c>
      <c r="G162" s="3218">
        <v>7.1363693148292322</v>
      </c>
      <c r="H162" s="3218">
        <f t="shared" si="2"/>
        <v>7.14</v>
      </c>
    </row>
    <row r="163" spans="1:8">
      <c r="A163">
        <v>162</v>
      </c>
      <c r="B163" t="s">
        <v>5941</v>
      </c>
      <c r="D163">
        <v>116</v>
      </c>
      <c r="E163" t="s">
        <v>3851</v>
      </c>
      <c r="F163">
        <v>31</v>
      </c>
      <c r="G163" s="3218">
        <v>13.766487166129819</v>
      </c>
      <c r="H163" s="3218">
        <f t="shared" si="2"/>
        <v>13.77</v>
      </c>
    </row>
    <row r="164" spans="1:8">
      <c r="A164">
        <v>163</v>
      </c>
      <c r="B164" t="s">
        <v>5941</v>
      </c>
      <c r="D164">
        <v>119</v>
      </c>
      <c r="E164" t="s">
        <v>3851</v>
      </c>
      <c r="F164">
        <v>19.16</v>
      </c>
      <c r="G164" s="3218">
        <v>8.5085772291305588</v>
      </c>
      <c r="H164" s="3218">
        <f t="shared" si="2"/>
        <v>8.51</v>
      </c>
    </row>
    <row r="165" spans="1:8">
      <c r="A165">
        <v>164</v>
      </c>
      <c r="B165" t="s">
        <v>5941</v>
      </c>
      <c r="D165">
        <v>120</v>
      </c>
      <c r="E165" t="s">
        <v>3851</v>
      </c>
      <c r="F165">
        <v>27.63</v>
      </c>
      <c r="G165" s="3218">
        <v>12.269936787102157</v>
      </c>
      <c r="H165" s="3218">
        <f t="shared" si="2"/>
        <v>12.27</v>
      </c>
    </row>
    <row r="166" spans="1:8">
      <c r="A166">
        <v>165</v>
      </c>
      <c r="B166" t="s">
        <v>5941</v>
      </c>
      <c r="D166">
        <v>201</v>
      </c>
      <c r="E166" t="s">
        <v>3851</v>
      </c>
      <c r="F166">
        <v>16.350000000000001</v>
      </c>
      <c r="G166" s="3218">
        <v>7.2607117795555665</v>
      </c>
      <c r="H166" s="3218">
        <f t="shared" si="2"/>
        <v>7.26</v>
      </c>
    </row>
    <row r="167" spans="1:8">
      <c r="A167">
        <v>166</v>
      </c>
      <c r="B167" t="s">
        <v>5941</v>
      </c>
      <c r="D167">
        <v>203</v>
      </c>
      <c r="E167" t="s">
        <v>3851</v>
      </c>
      <c r="F167">
        <v>17.78</v>
      </c>
      <c r="G167" s="3218">
        <v>7.8957465101221995</v>
      </c>
      <c r="H167" s="3218">
        <f t="shared" si="2"/>
        <v>7.9</v>
      </c>
    </row>
    <row r="168" spans="1:8">
      <c r="A168">
        <v>167</v>
      </c>
      <c r="B168" t="s">
        <v>5941</v>
      </c>
      <c r="D168">
        <v>204</v>
      </c>
      <c r="E168" t="s">
        <v>3851</v>
      </c>
      <c r="F168">
        <v>20.59</v>
      </c>
      <c r="G168" s="3218">
        <v>9.1436119596971928</v>
      </c>
      <c r="H168" s="3218">
        <f t="shared" si="2"/>
        <v>9.14</v>
      </c>
    </row>
    <row r="169" spans="1:8">
      <c r="A169">
        <v>168</v>
      </c>
      <c r="B169" t="s">
        <v>5942</v>
      </c>
      <c r="D169">
        <v>106</v>
      </c>
      <c r="E169" t="s">
        <v>3851</v>
      </c>
      <c r="F169">
        <v>23.69</v>
      </c>
      <c r="G169" s="3218">
        <v>10.520260676310174</v>
      </c>
      <c r="H169" s="3218">
        <f t="shared" si="2"/>
        <v>10.52</v>
      </c>
    </row>
    <row r="170" spans="1:8">
      <c r="A170">
        <v>169</v>
      </c>
      <c r="B170" t="s">
        <v>5942</v>
      </c>
      <c r="D170">
        <v>107</v>
      </c>
      <c r="E170" t="s">
        <v>3851</v>
      </c>
      <c r="F170">
        <v>56.77</v>
      </c>
      <c r="G170" s="3218">
        <v>25.210434723264189</v>
      </c>
      <c r="H170" s="3218">
        <f t="shared" si="2"/>
        <v>25.21</v>
      </c>
    </row>
    <row r="171" spans="1:8">
      <c r="A171">
        <v>170</v>
      </c>
      <c r="B171" t="s">
        <v>5942</v>
      </c>
      <c r="D171">
        <v>108</v>
      </c>
      <c r="E171" t="s">
        <v>3851</v>
      </c>
      <c r="F171">
        <v>41.51</v>
      </c>
      <c r="G171" s="3218">
        <v>18.433770395678991</v>
      </c>
      <c r="H171" s="3218">
        <f t="shared" si="2"/>
        <v>18.43</v>
      </c>
    </row>
    <row r="172" spans="1:8">
      <c r="A172">
        <v>171</v>
      </c>
      <c r="B172" t="s">
        <v>5942</v>
      </c>
      <c r="D172">
        <v>109</v>
      </c>
      <c r="E172" t="s">
        <v>3851</v>
      </c>
      <c r="F172">
        <v>41.51</v>
      </c>
      <c r="G172" s="3218">
        <v>18.433770395678991</v>
      </c>
      <c r="H172" s="3218">
        <f t="shared" si="2"/>
        <v>18.43</v>
      </c>
    </row>
    <row r="173" spans="1:8">
      <c r="A173">
        <v>172</v>
      </c>
      <c r="B173" t="s">
        <v>5942</v>
      </c>
      <c r="D173">
        <v>110</v>
      </c>
      <c r="E173" t="s">
        <v>3851</v>
      </c>
      <c r="F173">
        <v>56.77</v>
      </c>
      <c r="G173" s="3218">
        <v>25.210434723264189</v>
      </c>
      <c r="H173" s="3218">
        <f t="shared" si="2"/>
        <v>25.21</v>
      </c>
    </row>
    <row r="174" spans="1:8">
      <c r="A174">
        <v>173</v>
      </c>
      <c r="B174" t="s">
        <v>5942</v>
      </c>
      <c r="D174">
        <v>111</v>
      </c>
      <c r="E174" t="s">
        <v>3851</v>
      </c>
      <c r="F174">
        <v>23.69</v>
      </c>
      <c r="G174" s="3218">
        <v>10.520260676310174</v>
      </c>
      <c r="H174" s="3218">
        <f t="shared" si="2"/>
        <v>10.52</v>
      </c>
    </row>
    <row r="175" spans="1:8">
      <c r="A175">
        <v>174</v>
      </c>
      <c r="B175" t="s">
        <v>5942</v>
      </c>
      <c r="D175">
        <v>123</v>
      </c>
      <c r="E175" t="s">
        <v>3851</v>
      </c>
      <c r="F175">
        <v>27.69</v>
      </c>
      <c r="G175" s="3218">
        <v>12.296581600972086</v>
      </c>
      <c r="H175" s="3218">
        <f t="shared" si="2"/>
        <v>12.3</v>
      </c>
    </row>
    <row r="176" spans="1:8">
      <c r="A176">
        <v>175</v>
      </c>
      <c r="B176" t="s">
        <v>5942</v>
      </c>
      <c r="D176">
        <v>124</v>
      </c>
      <c r="E176" t="s">
        <v>3851</v>
      </c>
      <c r="F176">
        <v>19.2</v>
      </c>
      <c r="G176" s="3218">
        <v>8.5263404383771775</v>
      </c>
      <c r="H176" s="3218">
        <f t="shared" si="2"/>
        <v>8.5299999999999994</v>
      </c>
    </row>
    <row r="177" spans="1:8">
      <c r="A177">
        <v>176</v>
      </c>
      <c r="B177" t="s">
        <v>5942</v>
      </c>
      <c r="D177">
        <v>125</v>
      </c>
      <c r="E177" t="s">
        <v>3851</v>
      </c>
      <c r="F177">
        <v>19.2</v>
      </c>
      <c r="G177" s="3218">
        <v>8.5263404383771775</v>
      </c>
      <c r="H177" s="3218">
        <f t="shared" si="2"/>
        <v>8.5299999999999994</v>
      </c>
    </row>
    <row r="178" spans="1:8">
      <c r="A178">
        <v>177</v>
      </c>
      <c r="B178" t="s">
        <v>5942</v>
      </c>
      <c r="D178">
        <v>127</v>
      </c>
      <c r="E178" t="s">
        <v>3851</v>
      </c>
      <c r="F178">
        <v>27.69</v>
      </c>
      <c r="G178" s="3218">
        <v>12.296581600972086</v>
      </c>
      <c r="H178" s="3218">
        <f t="shared" si="2"/>
        <v>12.3</v>
      </c>
    </row>
    <row r="179" spans="1:8">
      <c r="A179">
        <v>178</v>
      </c>
      <c r="B179" t="s">
        <v>5942</v>
      </c>
      <c r="D179">
        <v>128</v>
      </c>
      <c r="E179" t="s">
        <v>3851</v>
      </c>
      <c r="F179">
        <v>19.84</v>
      </c>
      <c r="G179" s="3218">
        <v>8.8105517863230833</v>
      </c>
      <c r="H179" s="3218">
        <f t="shared" si="2"/>
        <v>8.81</v>
      </c>
    </row>
    <row r="180" spans="1:8">
      <c r="A180">
        <v>179</v>
      </c>
      <c r="B180" t="s">
        <v>5942</v>
      </c>
      <c r="D180">
        <v>129</v>
      </c>
      <c r="E180" t="s">
        <v>3851</v>
      </c>
      <c r="F180">
        <v>19.84</v>
      </c>
      <c r="G180" s="3218">
        <v>8.8105517863230833</v>
      </c>
      <c r="H180" s="3218">
        <f t="shared" si="2"/>
        <v>8.81</v>
      </c>
    </row>
    <row r="181" spans="1:8">
      <c r="A181">
        <v>180</v>
      </c>
      <c r="B181" t="s">
        <v>5942</v>
      </c>
      <c r="D181">
        <v>130</v>
      </c>
      <c r="E181" t="s">
        <v>3851</v>
      </c>
      <c r="F181">
        <v>27.69</v>
      </c>
      <c r="G181" s="3218">
        <v>12.296581600972086</v>
      </c>
      <c r="H181" s="3218">
        <f t="shared" si="2"/>
        <v>12.3</v>
      </c>
    </row>
    <row r="182" spans="1:8">
      <c r="A182">
        <v>181</v>
      </c>
      <c r="B182" t="s">
        <v>5942</v>
      </c>
      <c r="D182">
        <v>202</v>
      </c>
      <c r="E182" t="s">
        <v>3851</v>
      </c>
      <c r="F182">
        <v>16.39</v>
      </c>
      <c r="G182" s="3218">
        <v>7.2784749888021851</v>
      </c>
      <c r="H182" s="3218">
        <f t="shared" si="2"/>
        <v>7.28</v>
      </c>
    </row>
    <row r="183" spans="1:8">
      <c r="A183">
        <v>182</v>
      </c>
      <c r="B183" t="s">
        <v>5942</v>
      </c>
      <c r="D183">
        <v>203</v>
      </c>
      <c r="E183" t="s">
        <v>3851</v>
      </c>
      <c r="F183">
        <v>12.42</v>
      </c>
      <c r="G183" s="3218">
        <v>5.5154764710752371</v>
      </c>
      <c r="H183" s="3218">
        <f t="shared" si="2"/>
        <v>5.52</v>
      </c>
    </row>
    <row r="184" spans="1:8">
      <c r="A184">
        <v>183</v>
      </c>
      <c r="B184" t="s">
        <v>5943</v>
      </c>
      <c r="D184">
        <v>106</v>
      </c>
      <c r="E184" t="s">
        <v>3851</v>
      </c>
      <c r="F184">
        <v>34.1</v>
      </c>
      <c r="G184" s="3218">
        <v>15.143135882742801</v>
      </c>
      <c r="H184" s="3218">
        <f t="shared" si="2"/>
        <v>15.14</v>
      </c>
    </row>
    <row r="185" spans="1:8">
      <c r="A185">
        <v>184</v>
      </c>
      <c r="B185" t="s">
        <v>5943</v>
      </c>
      <c r="D185">
        <v>107</v>
      </c>
      <c r="E185" t="s">
        <v>3851</v>
      </c>
      <c r="F185">
        <v>62.51</v>
      </c>
      <c r="G185" s="3218">
        <v>27.75945525015403</v>
      </c>
      <c r="H185" s="3218">
        <f t="shared" si="2"/>
        <v>27.76</v>
      </c>
    </row>
    <row r="186" spans="1:8">
      <c r="A186">
        <v>185</v>
      </c>
      <c r="B186" t="s">
        <v>5943</v>
      </c>
      <c r="D186">
        <v>108</v>
      </c>
      <c r="E186" t="s">
        <v>3851</v>
      </c>
      <c r="F186">
        <v>47.4</v>
      </c>
      <c r="G186" s="3218">
        <v>21.049402957243657</v>
      </c>
      <c r="H186" s="3218">
        <f t="shared" si="2"/>
        <v>21.05</v>
      </c>
    </row>
    <row r="187" spans="1:8">
      <c r="A187">
        <v>186</v>
      </c>
      <c r="B187" t="s">
        <v>5943</v>
      </c>
      <c r="D187">
        <v>109</v>
      </c>
      <c r="E187" t="s">
        <v>3851</v>
      </c>
      <c r="F187">
        <v>47.4</v>
      </c>
      <c r="G187" s="3218">
        <v>21.049402957243657</v>
      </c>
      <c r="H187" s="3218">
        <f t="shared" si="2"/>
        <v>21.05</v>
      </c>
    </row>
    <row r="188" spans="1:8">
      <c r="A188">
        <v>187</v>
      </c>
      <c r="B188" t="s">
        <v>5943</v>
      </c>
      <c r="D188">
        <v>110</v>
      </c>
      <c r="E188" t="s">
        <v>3851</v>
      </c>
      <c r="F188">
        <v>62.51</v>
      </c>
      <c r="G188" s="3218">
        <v>27.75945525015403</v>
      </c>
      <c r="H188" s="3218">
        <f t="shared" si="2"/>
        <v>27.76</v>
      </c>
    </row>
    <row r="189" spans="1:8">
      <c r="A189">
        <v>188</v>
      </c>
      <c r="B189" t="s">
        <v>5943</v>
      </c>
      <c r="D189">
        <v>111</v>
      </c>
      <c r="E189" t="s">
        <v>3851</v>
      </c>
      <c r="F189">
        <v>34.1</v>
      </c>
      <c r="G189" s="3218">
        <v>15.143135882742801</v>
      </c>
      <c r="H189" s="3218">
        <f t="shared" si="2"/>
        <v>15.14</v>
      </c>
    </row>
    <row r="190" spans="1:8">
      <c r="A190">
        <v>189</v>
      </c>
      <c r="B190" t="s">
        <v>5943</v>
      </c>
      <c r="D190">
        <v>112</v>
      </c>
      <c r="E190" t="s">
        <v>3851</v>
      </c>
      <c r="F190">
        <v>34.1</v>
      </c>
      <c r="G190" s="3218">
        <v>15.143135882742801</v>
      </c>
      <c r="H190" s="3218">
        <f t="shared" si="2"/>
        <v>15.14</v>
      </c>
    </row>
    <row r="191" spans="1:8">
      <c r="A191">
        <v>190</v>
      </c>
      <c r="B191" t="s">
        <v>5943</v>
      </c>
      <c r="D191">
        <v>113</v>
      </c>
      <c r="E191" t="s">
        <v>3851</v>
      </c>
      <c r="F191">
        <v>62.51</v>
      </c>
      <c r="G191" s="3218">
        <v>27.75945525015403</v>
      </c>
      <c r="H191" s="3218">
        <f t="shared" si="2"/>
        <v>27.76</v>
      </c>
    </row>
    <row r="192" spans="1:8">
      <c r="A192">
        <v>191</v>
      </c>
      <c r="B192" t="s">
        <v>5943</v>
      </c>
      <c r="D192">
        <v>114</v>
      </c>
      <c r="E192" t="s">
        <v>3851</v>
      </c>
      <c r="F192">
        <v>47.06</v>
      </c>
      <c r="G192" s="3218">
        <v>20.898415678647396</v>
      </c>
      <c r="H192" s="3218">
        <f t="shared" si="2"/>
        <v>20.9</v>
      </c>
    </row>
    <row r="193" spans="1:8">
      <c r="A193">
        <v>192</v>
      </c>
      <c r="B193" t="s">
        <v>5943</v>
      </c>
      <c r="D193">
        <v>115</v>
      </c>
      <c r="E193" t="s">
        <v>3851</v>
      </c>
      <c r="F193">
        <v>47.06</v>
      </c>
      <c r="G193" s="3218">
        <v>20.898415678647396</v>
      </c>
      <c r="H193" s="3218">
        <f t="shared" si="2"/>
        <v>20.9</v>
      </c>
    </row>
    <row r="194" spans="1:8">
      <c r="A194">
        <v>193</v>
      </c>
      <c r="B194" t="s">
        <v>5943</v>
      </c>
      <c r="D194">
        <v>116</v>
      </c>
      <c r="E194" t="s">
        <v>3851</v>
      </c>
      <c r="F194">
        <v>62.51</v>
      </c>
      <c r="G194" s="3218">
        <v>27.75945525015403</v>
      </c>
      <c r="H194" s="3218">
        <f t="shared" si="2"/>
        <v>27.76</v>
      </c>
    </row>
    <row r="195" spans="1:8">
      <c r="A195">
        <v>194</v>
      </c>
      <c r="B195" t="s">
        <v>5943</v>
      </c>
      <c r="D195">
        <v>117</v>
      </c>
      <c r="E195" t="s">
        <v>3851</v>
      </c>
      <c r="F195">
        <v>34.1</v>
      </c>
      <c r="G195" s="3218">
        <v>15.143135882742801</v>
      </c>
      <c r="H195" s="3218">
        <f t="shared" ref="H195:H258" si="3">ROUND(G195,2)</f>
        <v>15.14</v>
      </c>
    </row>
    <row r="196" spans="1:8">
      <c r="A196">
        <v>195</v>
      </c>
      <c r="B196" t="s">
        <v>5943</v>
      </c>
      <c r="D196">
        <v>118</v>
      </c>
      <c r="E196" t="s">
        <v>3851</v>
      </c>
      <c r="F196">
        <v>34.1</v>
      </c>
      <c r="G196" s="3218">
        <v>15.143135882742801</v>
      </c>
      <c r="H196" s="3218">
        <f t="shared" si="3"/>
        <v>15.14</v>
      </c>
    </row>
    <row r="197" spans="1:8">
      <c r="A197">
        <v>196</v>
      </c>
      <c r="B197" t="s">
        <v>5943</v>
      </c>
      <c r="D197">
        <v>119</v>
      </c>
      <c r="E197" t="s">
        <v>3851</v>
      </c>
      <c r="F197">
        <v>62.51</v>
      </c>
      <c r="G197" s="3218">
        <v>27.75945525015403</v>
      </c>
      <c r="H197" s="3218">
        <f t="shared" si="3"/>
        <v>27.76</v>
      </c>
    </row>
    <row r="198" spans="1:8">
      <c r="A198">
        <v>197</v>
      </c>
      <c r="B198" t="s">
        <v>5943</v>
      </c>
      <c r="D198">
        <v>120</v>
      </c>
      <c r="E198" t="s">
        <v>3851</v>
      </c>
      <c r="F198">
        <v>55.87</v>
      </c>
      <c r="G198" s="3218">
        <v>24.810762515215256</v>
      </c>
      <c r="H198" s="3218">
        <f t="shared" si="3"/>
        <v>24.81</v>
      </c>
    </row>
    <row r="199" spans="1:8">
      <c r="A199">
        <v>198</v>
      </c>
      <c r="B199" t="s">
        <v>5943</v>
      </c>
      <c r="D199">
        <v>121</v>
      </c>
      <c r="E199" t="s">
        <v>3851</v>
      </c>
      <c r="F199">
        <v>28.64</v>
      </c>
      <c r="G199" s="3218">
        <v>12.718457820579291</v>
      </c>
      <c r="H199" s="3218">
        <f t="shared" si="3"/>
        <v>12.72</v>
      </c>
    </row>
    <row r="200" spans="1:8">
      <c r="A200">
        <v>199</v>
      </c>
      <c r="B200" t="s">
        <v>5943</v>
      </c>
      <c r="D200">
        <v>122</v>
      </c>
      <c r="E200" t="s">
        <v>3851</v>
      </c>
      <c r="F200">
        <v>22.65</v>
      </c>
      <c r="G200" s="3218">
        <v>10.058417235898077</v>
      </c>
      <c r="H200" s="3218">
        <f t="shared" si="3"/>
        <v>10.06</v>
      </c>
    </row>
    <row r="201" spans="1:8">
      <c r="A201">
        <v>200</v>
      </c>
      <c r="B201" t="s">
        <v>5943</v>
      </c>
      <c r="D201">
        <v>123</v>
      </c>
      <c r="E201" t="s">
        <v>3851</v>
      </c>
      <c r="F201">
        <v>28.58</v>
      </c>
      <c r="G201" s="3218">
        <v>12.69181300670936</v>
      </c>
      <c r="H201" s="3218">
        <f t="shared" si="3"/>
        <v>12.69</v>
      </c>
    </row>
    <row r="202" spans="1:8">
      <c r="A202">
        <v>201</v>
      </c>
      <c r="B202" t="s">
        <v>5943</v>
      </c>
      <c r="D202">
        <v>124</v>
      </c>
      <c r="E202" t="s">
        <v>3851</v>
      </c>
      <c r="F202">
        <v>28.58</v>
      </c>
      <c r="G202" s="3218">
        <v>12.69181300670936</v>
      </c>
      <c r="H202" s="3218">
        <f t="shared" si="3"/>
        <v>12.69</v>
      </c>
    </row>
    <row r="203" spans="1:8">
      <c r="A203">
        <v>202</v>
      </c>
      <c r="B203" t="s">
        <v>5943</v>
      </c>
      <c r="D203">
        <v>126</v>
      </c>
      <c r="E203" t="s">
        <v>3851</v>
      </c>
      <c r="F203">
        <v>43.21</v>
      </c>
      <c r="G203" s="3218">
        <v>19.188706788660305</v>
      </c>
      <c r="H203" s="3218">
        <f t="shared" si="3"/>
        <v>19.190000000000001</v>
      </c>
    </row>
    <row r="204" spans="1:8">
      <c r="A204">
        <v>203</v>
      </c>
      <c r="B204" t="s">
        <v>5943</v>
      </c>
      <c r="D204">
        <v>127</v>
      </c>
      <c r="E204" t="s">
        <v>3851</v>
      </c>
      <c r="F204">
        <v>43.12</v>
      </c>
      <c r="G204" s="3218">
        <v>19.148739567855412</v>
      </c>
      <c r="H204" s="3218">
        <f t="shared" si="3"/>
        <v>19.149999999999999</v>
      </c>
    </row>
    <row r="205" spans="1:8">
      <c r="A205">
        <v>204</v>
      </c>
      <c r="B205" t="s">
        <v>5943</v>
      </c>
      <c r="D205">
        <v>202</v>
      </c>
      <c r="E205" t="s">
        <v>3851</v>
      </c>
      <c r="F205">
        <v>19.97</v>
      </c>
      <c r="G205" s="3218">
        <v>8.8682822163745954</v>
      </c>
      <c r="H205" s="3218">
        <f t="shared" si="3"/>
        <v>8.8699999999999992</v>
      </c>
    </row>
    <row r="206" spans="1:8">
      <c r="A206">
        <v>205</v>
      </c>
      <c r="B206" t="s">
        <v>5943</v>
      </c>
      <c r="D206">
        <v>203</v>
      </c>
      <c r="E206" t="s">
        <v>3851</v>
      </c>
      <c r="F206">
        <v>19.97</v>
      </c>
      <c r="G206" s="3218">
        <v>8.8682822163745954</v>
      </c>
      <c r="H206" s="3218">
        <f t="shared" si="3"/>
        <v>8.8699999999999992</v>
      </c>
    </row>
    <row r="207" spans="1:8">
      <c r="A207">
        <v>206</v>
      </c>
      <c r="B207" t="s">
        <v>5943</v>
      </c>
      <c r="D207">
        <v>204</v>
      </c>
      <c r="E207" t="s">
        <v>3851</v>
      </c>
      <c r="F207">
        <v>19.97</v>
      </c>
      <c r="G207" s="3218">
        <v>8.8682822163745954</v>
      </c>
      <c r="H207" s="3218">
        <f t="shared" si="3"/>
        <v>8.8699999999999992</v>
      </c>
    </row>
    <row r="208" spans="1:8">
      <c r="A208">
        <v>207</v>
      </c>
      <c r="B208" t="s">
        <v>5943</v>
      </c>
      <c r="D208">
        <v>205</v>
      </c>
      <c r="E208" t="s">
        <v>3851</v>
      </c>
      <c r="F208">
        <v>19.97</v>
      </c>
      <c r="G208" s="3218">
        <v>8.8682822163745954</v>
      </c>
      <c r="H208" s="3218">
        <f t="shared" si="3"/>
        <v>8.8699999999999992</v>
      </c>
    </row>
    <row r="209" spans="1:8">
      <c r="A209">
        <v>208</v>
      </c>
      <c r="B209" t="s">
        <v>5943</v>
      </c>
      <c r="D209">
        <v>206</v>
      </c>
      <c r="E209" t="s">
        <v>3851</v>
      </c>
      <c r="F209">
        <v>19.97</v>
      </c>
      <c r="G209" s="3218">
        <v>8.8682822163745954</v>
      </c>
      <c r="H209" s="3218">
        <f t="shared" si="3"/>
        <v>8.8699999999999992</v>
      </c>
    </row>
    <row r="210" spans="1:8">
      <c r="A210">
        <v>209</v>
      </c>
      <c r="B210" t="s">
        <v>5944</v>
      </c>
      <c r="D210">
        <v>102</v>
      </c>
      <c r="E210" t="s">
        <v>3851</v>
      </c>
      <c r="F210">
        <v>42.4</v>
      </c>
      <c r="G210" s="3218">
        <v>18.829001801416268</v>
      </c>
      <c r="H210" s="3218">
        <f t="shared" si="3"/>
        <v>18.829999999999998</v>
      </c>
    </row>
    <row r="211" spans="1:8">
      <c r="A211">
        <v>210</v>
      </c>
      <c r="B211" t="s">
        <v>5944</v>
      </c>
      <c r="D211">
        <v>103</v>
      </c>
      <c r="E211" t="s">
        <v>3851</v>
      </c>
      <c r="F211">
        <v>47.18</v>
      </c>
      <c r="G211" s="3218">
        <v>20.951705306387254</v>
      </c>
      <c r="H211" s="3218">
        <f t="shared" si="3"/>
        <v>20.95</v>
      </c>
    </row>
    <row r="212" spans="1:8">
      <c r="A212">
        <v>211</v>
      </c>
      <c r="B212" t="s">
        <v>5944</v>
      </c>
      <c r="D212">
        <v>104</v>
      </c>
      <c r="E212" t="s">
        <v>3851</v>
      </c>
      <c r="F212">
        <v>62.35</v>
      </c>
      <c r="G212" s="3218">
        <v>27.688402413167555</v>
      </c>
      <c r="H212" s="3218">
        <f t="shared" si="3"/>
        <v>27.69</v>
      </c>
    </row>
    <row r="213" spans="1:8">
      <c r="A213">
        <v>212</v>
      </c>
      <c r="B213" t="s">
        <v>5944</v>
      </c>
      <c r="D213">
        <v>105</v>
      </c>
      <c r="E213" t="s">
        <v>3851</v>
      </c>
      <c r="F213">
        <v>61.39</v>
      </c>
      <c r="G213" s="3218">
        <v>27.262085391248696</v>
      </c>
      <c r="H213" s="3218">
        <f t="shared" si="3"/>
        <v>27.26</v>
      </c>
    </row>
    <row r="214" spans="1:8">
      <c r="A214">
        <v>213</v>
      </c>
      <c r="B214" t="s">
        <v>5944</v>
      </c>
      <c r="D214">
        <v>106</v>
      </c>
      <c r="E214" t="s">
        <v>3851</v>
      </c>
      <c r="F214">
        <v>61.39</v>
      </c>
      <c r="G214" s="3218">
        <v>27.262085391248696</v>
      </c>
      <c r="H214" s="3218">
        <f t="shared" si="3"/>
        <v>27.26</v>
      </c>
    </row>
    <row r="215" spans="1:8">
      <c r="A215">
        <v>214</v>
      </c>
      <c r="B215" t="s">
        <v>5944</v>
      </c>
      <c r="D215">
        <v>107</v>
      </c>
      <c r="E215" t="s">
        <v>3851</v>
      </c>
      <c r="F215">
        <v>62.35</v>
      </c>
      <c r="G215" s="3218">
        <v>27.688402413167555</v>
      </c>
      <c r="H215" s="3218">
        <f t="shared" si="3"/>
        <v>27.69</v>
      </c>
    </row>
    <row r="216" spans="1:8">
      <c r="A216">
        <v>215</v>
      </c>
      <c r="B216" t="s">
        <v>5944</v>
      </c>
      <c r="D216">
        <v>108</v>
      </c>
      <c r="E216" t="s">
        <v>3851</v>
      </c>
      <c r="F216">
        <v>47.18</v>
      </c>
      <c r="G216" s="3218">
        <v>20.951705306387254</v>
      </c>
      <c r="H216" s="3218">
        <f t="shared" si="3"/>
        <v>20.95</v>
      </c>
    </row>
    <row r="217" spans="1:8">
      <c r="A217">
        <v>216</v>
      </c>
      <c r="B217" t="s">
        <v>5944</v>
      </c>
      <c r="D217">
        <v>109</v>
      </c>
      <c r="E217" t="s">
        <v>3851</v>
      </c>
      <c r="F217">
        <v>42.77</v>
      </c>
      <c r="G217" s="3218">
        <v>18.993311486947498</v>
      </c>
      <c r="H217" s="3218">
        <f t="shared" si="3"/>
        <v>18.989999999999998</v>
      </c>
    </row>
    <row r="218" spans="1:8">
      <c r="A218">
        <v>217</v>
      </c>
      <c r="B218" t="s">
        <v>5944</v>
      </c>
      <c r="D218">
        <v>110</v>
      </c>
      <c r="E218" t="s">
        <v>3851</v>
      </c>
      <c r="F218">
        <v>42.77</v>
      </c>
      <c r="G218" s="3218">
        <v>18.993311486947498</v>
      </c>
      <c r="H218" s="3218">
        <f t="shared" si="3"/>
        <v>18.989999999999998</v>
      </c>
    </row>
    <row r="219" spans="1:8">
      <c r="A219">
        <v>218</v>
      </c>
      <c r="B219" t="s">
        <v>5944</v>
      </c>
      <c r="D219">
        <v>111</v>
      </c>
      <c r="E219" t="s">
        <v>3851</v>
      </c>
      <c r="F219">
        <v>47.18</v>
      </c>
      <c r="G219" s="3218">
        <v>20.951705306387254</v>
      </c>
      <c r="H219" s="3218">
        <f t="shared" si="3"/>
        <v>20.95</v>
      </c>
    </row>
    <row r="220" spans="1:8">
      <c r="A220">
        <v>219</v>
      </c>
      <c r="B220" t="s">
        <v>5944</v>
      </c>
      <c r="D220">
        <v>112</v>
      </c>
      <c r="E220" t="s">
        <v>3851</v>
      </c>
      <c r="F220">
        <v>62.35</v>
      </c>
      <c r="G220" s="3218">
        <v>27.688402413167555</v>
      </c>
      <c r="H220" s="3218">
        <f t="shared" si="3"/>
        <v>27.69</v>
      </c>
    </row>
    <row r="221" spans="1:8">
      <c r="A221">
        <v>220</v>
      </c>
      <c r="B221" t="s">
        <v>5944</v>
      </c>
      <c r="D221">
        <v>113</v>
      </c>
      <c r="E221" t="s">
        <v>3851</v>
      </c>
      <c r="F221">
        <v>61.39</v>
      </c>
      <c r="G221" s="3218">
        <v>27.262085391248696</v>
      </c>
      <c r="H221" s="3218">
        <f t="shared" si="3"/>
        <v>27.26</v>
      </c>
    </row>
    <row r="222" spans="1:8">
      <c r="A222">
        <v>221</v>
      </c>
      <c r="B222" t="s">
        <v>5944</v>
      </c>
      <c r="D222">
        <v>114</v>
      </c>
      <c r="E222" t="s">
        <v>3851</v>
      </c>
      <c r="F222">
        <v>61.39</v>
      </c>
      <c r="G222" s="3218">
        <v>27.262085391248696</v>
      </c>
      <c r="H222" s="3218">
        <f t="shared" si="3"/>
        <v>27.26</v>
      </c>
    </row>
    <row r="223" spans="1:8">
      <c r="A223">
        <v>222</v>
      </c>
      <c r="B223" t="s">
        <v>5944</v>
      </c>
      <c r="D223">
        <v>115</v>
      </c>
      <c r="E223" t="s">
        <v>3851</v>
      </c>
      <c r="F223">
        <v>62.35</v>
      </c>
      <c r="G223" s="3218">
        <v>27.688402413167555</v>
      </c>
      <c r="H223" s="3218">
        <f t="shared" si="3"/>
        <v>27.69</v>
      </c>
    </row>
    <row r="224" spans="1:8">
      <c r="A224">
        <v>223</v>
      </c>
      <c r="B224" t="s">
        <v>5944</v>
      </c>
      <c r="D224">
        <v>116</v>
      </c>
      <c r="E224" t="s">
        <v>3851</v>
      </c>
      <c r="F224">
        <v>47.18</v>
      </c>
      <c r="G224" s="3218">
        <v>20.951705306387254</v>
      </c>
      <c r="H224" s="3218">
        <f t="shared" si="3"/>
        <v>20.95</v>
      </c>
    </row>
    <row r="225" spans="1:8">
      <c r="A225">
        <v>224</v>
      </c>
      <c r="B225" t="s">
        <v>5944</v>
      </c>
      <c r="D225">
        <v>117</v>
      </c>
      <c r="E225" t="s">
        <v>3851</v>
      </c>
      <c r="F225">
        <v>54.43</v>
      </c>
      <c r="G225" s="3218">
        <v>24.171286982336969</v>
      </c>
      <c r="H225" s="3218">
        <f t="shared" si="3"/>
        <v>24.17</v>
      </c>
    </row>
    <row r="226" spans="1:8">
      <c r="A226">
        <v>225</v>
      </c>
      <c r="B226" t="s">
        <v>5944</v>
      </c>
      <c r="D226">
        <v>118</v>
      </c>
      <c r="E226" t="s">
        <v>3851</v>
      </c>
      <c r="F226">
        <v>15.15</v>
      </c>
      <c r="G226" s="3218">
        <v>6.7278155021569921</v>
      </c>
      <c r="H226" s="3218">
        <f t="shared" si="3"/>
        <v>6.73</v>
      </c>
    </row>
    <row r="227" spans="1:8">
      <c r="A227">
        <v>226</v>
      </c>
      <c r="B227" t="s">
        <v>5944</v>
      </c>
      <c r="D227">
        <v>119</v>
      </c>
      <c r="E227" t="s">
        <v>3851</v>
      </c>
      <c r="F227">
        <v>14.91</v>
      </c>
      <c r="G227" s="3218">
        <v>6.6212362466772774</v>
      </c>
      <c r="H227" s="3218">
        <f t="shared" si="3"/>
        <v>6.62</v>
      </c>
    </row>
    <row r="228" spans="1:8">
      <c r="A228">
        <v>227</v>
      </c>
      <c r="B228" t="s">
        <v>5944</v>
      </c>
      <c r="D228">
        <v>201</v>
      </c>
      <c r="E228" t="s">
        <v>3851</v>
      </c>
      <c r="F228">
        <v>22.9</v>
      </c>
      <c r="G228" s="3218">
        <v>10.169437293689446</v>
      </c>
      <c r="H228" s="3218">
        <f t="shared" si="3"/>
        <v>10.17</v>
      </c>
    </row>
    <row r="229" spans="1:8">
      <c r="A229">
        <v>228</v>
      </c>
      <c r="B229" t="s">
        <v>5944</v>
      </c>
      <c r="D229">
        <v>202</v>
      </c>
      <c r="E229" t="s">
        <v>3851</v>
      </c>
      <c r="F229">
        <v>22.9</v>
      </c>
      <c r="G229" s="3218">
        <v>10.169437293689446</v>
      </c>
      <c r="H229" s="3218">
        <f t="shared" si="3"/>
        <v>10.17</v>
      </c>
    </row>
    <row r="230" spans="1:8">
      <c r="A230">
        <v>229</v>
      </c>
      <c r="B230" t="s">
        <v>5944</v>
      </c>
      <c r="D230">
        <v>203</v>
      </c>
      <c r="E230" t="s">
        <v>3851</v>
      </c>
      <c r="F230">
        <v>22.9</v>
      </c>
      <c r="G230" s="3218">
        <v>10.169437293689446</v>
      </c>
      <c r="H230" s="3218">
        <f t="shared" si="3"/>
        <v>10.17</v>
      </c>
    </row>
    <row r="231" spans="1:8">
      <c r="A231">
        <v>230</v>
      </c>
      <c r="B231" t="s">
        <v>5944</v>
      </c>
      <c r="D231">
        <v>204</v>
      </c>
      <c r="E231" t="s">
        <v>3851</v>
      </c>
      <c r="F231">
        <v>21.51</v>
      </c>
      <c r="G231" s="3218">
        <v>9.5521657723694329</v>
      </c>
      <c r="H231" s="3218">
        <f t="shared" si="3"/>
        <v>9.5500000000000007</v>
      </c>
    </row>
    <row r="232" spans="1:8">
      <c r="A232">
        <v>231</v>
      </c>
      <c r="B232" t="s">
        <v>5945</v>
      </c>
      <c r="D232">
        <v>202</v>
      </c>
      <c r="E232" t="s">
        <v>3851</v>
      </c>
      <c r="F232">
        <v>30.16</v>
      </c>
      <c r="G232" s="3218">
        <v>13.393459771950816</v>
      </c>
      <c r="H232" s="3218">
        <f t="shared" si="3"/>
        <v>13.39</v>
      </c>
    </row>
    <row r="233" spans="1:8">
      <c r="A233">
        <v>232</v>
      </c>
      <c r="B233" t="s">
        <v>5946</v>
      </c>
      <c r="D233">
        <v>106</v>
      </c>
      <c r="E233" t="s">
        <v>3851</v>
      </c>
      <c r="F233">
        <v>61.69</v>
      </c>
      <c r="G233" s="3218">
        <v>27.395309460598337</v>
      </c>
      <c r="H233" s="3218">
        <f t="shared" si="3"/>
        <v>27.4</v>
      </c>
    </row>
    <row r="234" spans="1:8">
      <c r="A234">
        <v>233</v>
      </c>
      <c r="B234" t="s">
        <v>5946</v>
      </c>
      <c r="D234">
        <v>107</v>
      </c>
      <c r="E234" t="s">
        <v>3851</v>
      </c>
      <c r="F234">
        <v>62.66</v>
      </c>
      <c r="G234" s="3218">
        <v>27.826067284828852</v>
      </c>
      <c r="H234" s="3218">
        <f t="shared" si="3"/>
        <v>27.83</v>
      </c>
    </row>
    <row r="235" spans="1:8">
      <c r="A235">
        <v>234</v>
      </c>
      <c r="B235" t="s">
        <v>5946</v>
      </c>
      <c r="D235">
        <v>108</v>
      </c>
      <c r="E235" t="s">
        <v>3851</v>
      </c>
      <c r="F235">
        <v>47.41</v>
      </c>
      <c r="G235" s="3218">
        <v>21.05384375955531</v>
      </c>
      <c r="H235" s="3218">
        <f t="shared" si="3"/>
        <v>21.05</v>
      </c>
    </row>
    <row r="236" spans="1:8">
      <c r="A236">
        <v>235</v>
      </c>
      <c r="B236" t="s">
        <v>5946</v>
      </c>
      <c r="D236">
        <v>109</v>
      </c>
      <c r="E236" t="s">
        <v>3851</v>
      </c>
      <c r="F236">
        <v>42.6</v>
      </c>
      <c r="G236" s="3218">
        <v>18.917817847649363</v>
      </c>
      <c r="H236" s="3218">
        <f t="shared" si="3"/>
        <v>18.920000000000002</v>
      </c>
    </row>
    <row r="237" spans="1:8">
      <c r="A237">
        <v>236</v>
      </c>
      <c r="B237" t="s">
        <v>5946</v>
      </c>
      <c r="D237">
        <v>202</v>
      </c>
      <c r="E237" t="s">
        <v>3851</v>
      </c>
      <c r="F237">
        <v>23.01</v>
      </c>
      <c r="G237" s="3218">
        <v>10.21828611911765</v>
      </c>
      <c r="H237" s="3218">
        <f t="shared" si="3"/>
        <v>10.220000000000001</v>
      </c>
    </row>
    <row r="238" spans="1:8">
      <c r="A238">
        <v>237</v>
      </c>
      <c r="B238" t="s">
        <v>5947</v>
      </c>
      <c r="D238">
        <v>101</v>
      </c>
      <c r="E238" t="s">
        <v>3851</v>
      </c>
      <c r="F238">
        <v>12.98</v>
      </c>
      <c r="G238" s="3218">
        <v>5.7641614005279047</v>
      </c>
      <c r="H238" s="3218">
        <f t="shared" si="3"/>
        <v>5.76</v>
      </c>
    </row>
    <row r="239" spans="1:8">
      <c r="A239">
        <v>238</v>
      </c>
      <c r="B239" t="s">
        <v>5947</v>
      </c>
      <c r="D239">
        <v>102</v>
      </c>
      <c r="E239" t="s">
        <v>3851</v>
      </c>
      <c r="F239">
        <v>38.93</v>
      </c>
      <c r="G239" s="3218">
        <v>17.288043399272059</v>
      </c>
      <c r="H239" s="3218">
        <f t="shared" si="3"/>
        <v>17.29</v>
      </c>
    </row>
    <row r="240" spans="1:8">
      <c r="A240">
        <v>239</v>
      </c>
      <c r="B240" t="s">
        <v>5947</v>
      </c>
      <c r="D240">
        <v>103</v>
      </c>
      <c r="E240" t="s">
        <v>3851</v>
      </c>
      <c r="F240">
        <v>47.03</v>
      </c>
      <c r="G240" s="3218">
        <v>20.885093271712432</v>
      </c>
      <c r="H240" s="3218">
        <f t="shared" si="3"/>
        <v>20.89</v>
      </c>
    </row>
    <row r="241" spans="1:8">
      <c r="A241">
        <v>240</v>
      </c>
      <c r="B241" t="s">
        <v>5947</v>
      </c>
      <c r="D241">
        <v>104</v>
      </c>
      <c r="E241" t="s">
        <v>3851</v>
      </c>
      <c r="F241">
        <v>62.16</v>
      </c>
      <c r="G241" s="3218">
        <v>27.604027169246113</v>
      </c>
      <c r="H241" s="3218">
        <f t="shared" si="3"/>
        <v>27.6</v>
      </c>
    </row>
    <row r="242" spans="1:8">
      <c r="A242">
        <v>241</v>
      </c>
      <c r="B242" t="s">
        <v>5947</v>
      </c>
      <c r="D242">
        <v>105</v>
      </c>
      <c r="E242" t="s">
        <v>3851</v>
      </c>
      <c r="F242">
        <v>61.2</v>
      </c>
      <c r="G242" s="3218">
        <v>27.177710147327257</v>
      </c>
      <c r="H242" s="3218">
        <f t="shared" si="3"/>
        <v>27.18</v>
      </c>
    </row>
    <row r="243" spans="1:8">
      <c r="A243">
        <v>242</v>
      </c>
      <c r="B243" t="s">
        <v>5947</v>
      </c>
      <c r="D243">
        <v>106</v>
      </c>
      <c r="E243" t="s">
        <v>3851</v>
      </c>
      <c r="F243">
        <v>61.2</v>
      </c>
      <c r="G243" s="3218">
        <v>27.177710147327257</v>
      </c>
      <c r="H243" s="3218">
        <f t="shared" si="3"/>
        <v>27.18</v>
      </c>
    </row>
    <row r="244" spans="1:8">
      <c r="A244">
        <v>243</v>
      </c>
      <c r="B244" t="s">
        <v>5947</v>
      </c>
      <c r="D244">
        <v>107</v>
      </c>
      <c r="E244" t="s">
        <v>3851</v>
      </c>
      <c r="F244">
        <v>62.16</v>
      </c>
      <c r="G244" s="3218">
        <v>27.604027169246113</v>
      </c>
      <c r="H244" s="3218">
        <f t="shared" si="3"/>
        <v>27.6</v>
      </c>
    </row>
    <row r="245" spans="1:8">
      <c r="A245">
        <v>244</v>
      </c>
      <c r="B245" t="s">
        <v>5947</v>
      </c>
      <c r="D245">
        <v>108</v>
      </c>
      <c r="E245" t="s">
        <v>3851</v>
      </c>
      <c r="F245">
        <v>47.03</v>
      </c>
      <c r="G245" s="3218">
        <v>20.885093271712432</v>
      </c>
      <c r="H245" s="3218">
        <f t="shared" si="3"/>
        <v>20.89</v>
      </c>
    </row>
    <row r="246" spans="1:8">
      <c r="A246">
        <v>245</v>
      </c>
      <c r="B246" t="s">
        <v>5947</v>
      </c>
      <c r="D246">
        <v>109</v>
      </c>
      <c r="E246" t="s">
        <v>3851</v>
      </c>
      <c r="F246">
        <v>42.64</v>
      </c>
      <c r="G246" s="3218">
        <v>18.935581056895984</v>
      </c>
      <c r="H246" s="3218">
        <f t="shared" si="3"/>
        <v>18.940000000000001</v>
      </c>
    </row>
    <row r="247" spans="1:8">
      <c r="A247">
        <v>246</v>
      </c>
      <c r="B247" t="s">
        <v>5947</v>
      </c>
      <c r="D247">
        <v>110</v>
      </c>
      <c r="E247" t="s">
        <v>3851</v>
      </c>
      <c r="F247">
        <v>42.64</v>
      </c>
      <c r="G247" s="3218">
        <v>18.935581056895984</v>
      </c>
      <c r="H247" s="3218">
        <f t="shared" si="3"/>
        <v>18.940000000000001</v>
      </c>
    </row>
    <row r="248" spans="1:8">
      <c r="A248">
        <v>247</v>
      </c>
      <c r="B248" t="s">
        <v>5947</v>
      </c>
      <c r="D248">
        <v>111</v>
      </c>
      <c r="E248" t="s">
        <v>3851</v>
      </c>
      <c r="F248">
        <v>47.03</v>
      </c>
      <c r="G248" s="3218">
        <v>20.885093271712432</v>
      </c>
      <c r="H248" s="3218">
        <f t="shared" si="3"/>
        <v>20.89</v>
      </c>
    </row>
    <row r="249" spans="1:8">
      <c r="A249">
        <v>248</v>
      </c>
      <c r="B249" t="s">
        <v>5947</v>
      </c>
      <c r="D249">
        <v>112</v>
      </c>
      <c r="E249" t="s">
        <v>3851</v>
      </c>
      <c r="F249">
        <v>62.16</v>
      </c>
      <c r="G249" s="3218">
        <v>27.604027169246113</v>
      </c>
      <c r="H249" s="3218">
        <f t="shared" si="3"/>
        <v>27.6</v>
      </c>
    </row>
    <row r="250" spans="1:8">
      <c r="A250">
        <v>249</v>
      </c>
      <c r="B250" t="s">
        <v>5947</v>
      </c>
      <c r="D250">
        <v>113</v>
      </c>
      <c r="E250" t="s">
        <v>3851</v>
      </c>
      <c r="F250">
        <v>61.2</v>
      </c>
      <c r="G250" s="3218">
        <v>27.177710147327257</v>
      </c>
      <c r="H250" s="3218">
        <f t="shared" si="3"/>
        <v>27.18</v>
      </c>
    </row>
    <row r="251" spans="1:8">
      <c r="A251">
        <v>250</v>
      </c>
      <c r="B251" t="s">
        <v>5947</v>
      </c>
      <c r="D251">
        <v>114</v>
      </c>
      <c r="E251" t="s">
        <v>3851</v>
      </c>
      <c r="F251">
        <v>61.2</v>
      </c>
      <c r="G251" s="3218">
        <v>27.177710147327257</v>
      </c>
      <c r="H251" s="3218">
        <f t="shared" si="3"/>
        <v>27.18</v>
      </c>
    </row>
    <row r="252" spans="1:8">
      <c r="A252">
        <v>251</v>
      </c>
      <c r="B252" t="s">
        <v>5947</v>
      </c>
      <c r="D252">
        <v>115</v>
      </c>
      <c r="E252" t="s">
        <v>3851</v>
      </c>
      <c r="F252">
        <v>62.16</v>
      </c>
      <c r="G252" s="3218">
        <v>27.604027169246113</v>
      </c>
      <c r="H252" s="3218">
        <f t="shared" si="3"/>
        <v>27.6</v>
      </c>
    </row>
    <row r="253" spans="1:8">
      <c r="A253">
        <v>252</v>
      </c>
      <c r="B253" t="s">
        <v>5947</v>
      </c>
      <c r="D253">
        <v>116</v>
      </c>
      <c r="E253" t="s">
        <v>3851</v>
      </c>
      <c r="F253">
        <v>47.03</v>
      </c>
      <c r="G253" s="3218">
        <v>20.885093271712432</v>
      </c>
      <c r="H253" s="3218">
        <f t="shared" si="3"/>
        <v>20.89</v>
      </c>
    </row>
    <row r="254" spans="1:8">
      <c r="A254">
        <v>253</v>
      </c>
      <c r="B254" t="s">
        <v>5947</v>
      </c>
      <c r="D254">
        <v>117</v>
      </c>
      <c r="E254" t="s">
        <v>3851</v>
      </c>
      <c r="F254">
        <v>54.26</v>
      </c>
      <c r="G254" s="3218">
        <v>24.095793343038835</v>
      </c>
      <c r="H254" s="3218">
        <f t="shared" si="3"/>
        <v>24.1</v>
      </c>
    </row>
    <row r="255" spans="1:8">
      <c r="A255">
        <v>254</v>
      </c>
      <c r="B255" t="s">
        <v>5947</v>
      </c>
      <c r="D255">
        <v>118</v>
      </c>
      <c r="E255" t="s">
        <v>3851</v>
      </c>
      <c r="F255">
        <v>15.1</v>
      </c>
      <c r="G255" s="3218">
        <v>6.7056114905987174</v>
      </c>
      <c r="H255" s="3218">
        <f t="shared" si="3"/>
        <v>6.71</v>
      </c>
    </row>
    <row r="256" spans="1:8">
      <c r="A256">
        <v>255</v>
      </c>
      <c r="B256" t="s">
        <v>5947</v>
      </c>
      <c r="D256">
        <v>201</v>
      </c>
      <c r="E256" t="s">
        <v>3851</v>
      </c>
      <c r="F256">
        <v>22.83</v>
      </c>
      <c r="G256" s="3218">
        <v>10.138351677507861</v>
      </c>
      <c r="H256" s="3218">
        <f t="shared" si="3"/>
        <v>10.14</v>
      </c>
    </row>
    <row r="257" spans="1:8">
      <c r="A257">
        <v>256</v>
      </c>
      <c r="B257" t="s">
        <v>5947</v>
      </c>
      <c r="D257">
        <v>202</v>
      </c>
      <c r="E257" t="s">
        <v>3851</v>
      </c>
      <c r="F257">
        <v>22.83</v>
      </c>
      <c r="G257" s="3218">
        <v>10.138351677507861</v>
      </c>
      <c r="H257" s="3218">
        <f t="shared" si="3"/>
        <v>10.14</v>
      </c>
    </row>
    <row r="258" spans="1:8">
      <c r="A258">
        <v>257</v>
      </c>
      <c r="B258" t="s">
        <v>5947</v>
      </c>
      <c r="D258">
        <v>203</v>
      </c>
      <c r="E258" t="s">
        <v>3851</v>
      </c>
      <c r="F258">
        <v>23.27</v>
      </c>
      <c r="G258" s="3218">
        <v>10.333746979220674</v>
      </c>
      <c r="H258" s="3218">
        <f t="shared" si="3"/>
        <v>10.33</v>
      </c>
    </row>
    <row r="259" spans="1:8">
      <c r="A259">
        <v>258</v>
      </c>
      <c r="B259" t="s">
        <v>5947</v>
      </c>
      <c r="D259">
        <v>204</v>
      </c>
      <c r="E259" t="s">
        <v>3851</v>
      </c>
      <c r="F259">
        <v>23.49</v>
      </c>
      <c r="G259" s="3218">
        <v>10.431444630077078</v>
      </c>
      <c r="H259" s="3218">
        <f t="shared" ref="H259:H322" si="4">ROUND(G259,2)</f>
        <v>10.43</v>
      </c>
    </row>
    <row r="260" spans="1:8">
      <c r="A260">
        <v>259</v>
      </c>
      <c r="B260" t="s">
        <v>5948</v>
      </c>
      <c r="D260">
        <v>109</v>
      </c>
      <c r="E260" t="s">
        <v>3851</v>
      </c>
      <c r="F260">
        <v>40.76</v>
      </c>
      <c r="G260" s="3218">
        <v>18.100710222304883</v>
      </c>
      <c r="H260" s="3218">
        <f t="shared" si="4"/>
        <v>18.100000000000001</v>
      </c>
    </row>
    <row r="261" spans="1:8">
      <c r="A261">
        <v>260</v>
      </c>
      <c r="B261" t="s">
        <v>5948</v>
      </c>
      <c r="D261">
        <v>110</v>
      </c>
      <c r="E261" t="s">
        <v>3851</v>
      </c>
      <c r="F261">
        <v>55.74</v>
      </c>
      <c r="G261" s="3218">
        <v>24.753032085163746</v>
      </c>
      <c r="H261" s="3218">
        <f t="shared" si="4"/>
        <v>24.75</v>
      </c>
    </row>
    <row r="262" spans="1:8">
      <c r="A262">
        <v>261</v>
      </c>
      <c r="B262" t="s">
        <v>5948</v>
      </c>
      <c r="D262">
        <v>111</v>
      </c>
      <c r="E262" t="s">
        <v>3851</v>
      </c>
      <c r="F262">
        <v>23.26</v>
      </c>
      <c r="G262" s="3218">
        <v>10.32930617690902</v>
      </c>
      <c r="H262" s="3218">
        <f t="shared" si="4"/>
        <v>10.33</v>
      </c>
    </row>
    <row r="263" spans="1:8">
      <c r="A263">
        <v>262</v>
      </c>
      <c r="B263" t="s">
        <v>5948</v>
      </c>
      <c r="D263">
        <v>115</v>
      </c>
      <c r="E263" t="s">
        <v>3851</v>
      </c>
      <c r="F263">
        <v>40.46</v>
      </c>
      <c r="G263" s="3218">
        <v>17.967486152955242</v>
      </c>
      <c r="H263" s="3218">
        <f t="shared" si="4"/>
        <v>17.97</v>
      </c>
    </row>
    <row r="264" spans="1:8">
      <c r="A264">
        <v>263</v>
      </c>
      <c r="B264" t="s">
        <v>5948</v>
      </c>
      <c r="D264">
        <v>116</v>
      </c>
      <c r="E264" t="s">
        <v>3851</v>
      </c>
      <c r="F264">
        <v>55.74</v>
      </c>
      <c r="G264" s="3218">
        <v>24.753032085163746</v>
      </c>
      <c r="H264" s="3218">
        <f t="shared" si="4"/>
        <v>24.75</v>
      </c>
    </row>
    <row r="265" spans="1:8">
      <c r="A265">
        <v>264</v>
      </c>
      <c r="B265" t="s">
        <v>5948</v>
      </c>
      <c r="D265">
        <v>117</v>
      </c>
      <c r="E265" t="s">
        <v>3851</v>
      </c>
      <c r="F265">
        <v>23.26</v>
      </c>
      <c r="G265" s="3218">
        <v>10.32930617690902</v>
      </c>
      <c r="H265" s="3218">
        <f t="shared" si="4"/>
        <v>10.33</v>
      </c>
    </row>
    <row r="266" spans="1:8">
      <c r="A266">
        <v>265</v>
      </c>
      <c r="B266" t="s">
        <v>5948</v>
      </c>
      <c r="D266">
        <v>118</v>
      </c>
      <c r="E266" t="s">
        <v>3851</v>
      </c>
      <c r="F266">
        <v>23.26</v>
      </c>
      <c r="G266" s="3218">
        <v>10.32930617690902</v>
      </c>
      <c r="H266" s="3218">
        <f t="shared" si="4"/>
        <v>10.33</v>
      </c>
    </row>
    <row r="267" spans="1:8">
      <c r="A267">
        <v>266</v>
      </c>
      <c r="B267" t="s">
        <v>5948</v>
      </c>
      <c r="D267">
        <v>119</v>
      </c>
      <c r="E267" t="s">
        <v>3851</v>
      </c>
      <c r="F267">
        <v>52.86</v>
      </c>
      <c r="G267" s="3218">
        <v>23.474081019407169</v>
      </c>
      <c r="H267" s="3218">
        <f t="shared" si="4"/>
        <v>23.47</v>
      </c>
    </row>
    <row r="268" spans="1:8">
      <c r="A268">
        <v>267</v>
      </c>
      <c r="B268" t="s">
        <v>5948</v>
      </c>
      <c r="D268">
        <v>120</v>
      </c>
      <c r="E268" t="s">
        <v>3851</v>
      </c>
      <c r="F268">
        <v>45.76</v>
      </c>
      <c r="G268" s="3218">
        <v>20.321111378132272</v>
      </c>
      <c r="H268" s="3218">
        <f t="shared" si="4"/>
        <v>20.32</v>
      </c>
    </row>
    <row r="269" spans="1:8">
      <c r="A269">
        <v>268</v>
      </c>
      <c r="B269" t="s">
        <v>5948</v>
      </c>
      <c r="D269">
        <v>121</v>
      </c>
      <c r="E269" t="s">
        <v>3851</v>
      </c>
      <c r="F269">
        <v>16.02</v>
      </c>
      <c r="G269" s="3218">
        <v>7.1141653032709575</v>
      </c>
      <c r="H269" s="3218">
        <f t="shared" si="4"/>
        <v>7.11</v>
      </c>
    </row>
    <row r="270" spans="1:8">
      <c r="A270">
        <v>269</v>
      </c>
      <c r="B270" t="s">
        <v>5948</v>
      </c>
      <c r="D270">
        <v>122</v>
      </c>
      <c r="E270" t="s">
        <v>3851</v>
      </c>
      <c r="F270">
        <v>30.5</v>
      </c>
      <c r="G270" s="3218">
        <v>13.544447050547079</v>
      </c>
      <c r="H270" s="3218">
        <f t="shared" si="4"/>
        <v>13.54</v>
      </c>
    </row>
    <row r="271" spans="1:8">
      <c r="A271">
        <v>270</v>
      </c>
      <c r="B271" t="s">
        <v>5948</v>
      </c>
      <c r="D271">
        <v>123</v>
      </c>
      <c r="E271" t="s">
        <v>3851</v>
      </c>
      <c r="F271">
        <v>15.08</v>
      </c>
      <c r="G271" s="3218">
        <v>6.6967298859754081</v>
      </c>
      <c r="H271" s="3218">
        <f t="shared" si="4"/>
        <v>6.7</v>
      </c>
    </row>
    <row r="272" spans="1:8">
      <c r="A272">
        <v>271</v>
      </c>
      <c r="B272" t="s">
        <v>5948</v>
      </c>
      <c r="D272">
        <v>125</v>
      </c>
      <c r="E272" t="s">
        <v>3851</v>
      </c>
      <c r="F272">
        <v>18.850000000000001</v>
      </c>
      <c r="G272" s="3218">
        <v>8.3709123574692619</v>
      </c>
      <c r="H272" s="3218">
        <f t="shared" si="4"/>
        <v>8.3699999999999992</v>
      </c>
    </row>
    <row r="273" spans="1:8">
      <c r="A273">
        <v>272</v>
      </c>
      <c r="B273" t="s">
        <v>5948</v>
      </c>
      <c r="D273">
        <v>126</v>
      </c>
      <c r="E273" t="s">
        <v>3851</v>
      </c>
      <c r="F273">
        <v>15.08</v>
      </c>
      <c r="G273" s="3218">
        <v>6.6967298859754081</v>
      </c>
      <c r="H273" s="3218">
        <f t="shared" si="4"/>
        <v>6.7</v>
      </c>
    </row>
    <row r="274" spans="1:8">
      <c r="A274">
        <v>273</v>
      </c>
      <c r="B274" t="s">
        <v>5948</v>
      </c>
      <c r="D274">
        <v>127</v>
      </c>
      <c r="E274" t="s">
        <v>3851</v>
      </c>
      <c r="F274">
        <v>27.19</v>
      </c>
      <c r="G274" s="3218">
        <v>12.074541485389348</v>
      </c>
      <c r="H274" s="3218">
        <f t="shared" si="4"/>
        <v>12.07</v>
      </c>
    </row>
    <row r="275" spans="1:8">
      <c r="A275">
        <v>274</v>
      </c>
      <c r="B275" t="s">
        <v>5948</v>
      </c>
      <c r="D275">
        <v>128</v>
      </c>
      <c r="E275" t="s">
        <v>3851</v>
      </c>
      <c r="F275">
        <v>19.48</v>
      </c>
      <c r="G275" s="3218">
        <v>8.6506829031035117</v>
      </c>
      <c r="H275" s="3218">
        <f t="shared" si="4"/>
        <v>8.65</v>
      </c>
    </row>
    <row r="276" spans="1:8">
      <c r="A276">
        <v>275</v>
      </c>
      <c r="B276" t="s">
        <v>5948</v>
      </c>
      <c r="D276">
        <v>130</v>
      </c>
      <c r="E276" t="s">
        <v>3851</v>
      </c>
      <c r="F276">
        <v>15.08</v>
      </c>
      <c r="G276" s="3218">
        <v>6.6967298859754081</v>
      </c>
      <c r="H276" s="3218">
        <f t="shared" si="4"/>
        <v>6.7</v>
      </c>
    </row>
    <row r="277" spans="1:8">
      <c r="A277">
        <v>276</v>
      </c>
      <c r="B277" t="s">
        <v>5948</v>
      </c>
      <c r="D277">
        <v>203</v>
      </c>
      <c r="E277" t="s">
        <v>3851</v>
      </c>
      <c r="F277">
        <v>16.489999999999998</v>
      </c>
      <c r="G277" s="3218">
        <v>7.3228830119187318</v>
      </c>
      <c r="H277" s="3218">
        <f t="shared" si="4"/>
        <v>7.32</v>
      </c>
    </row>
    <row r="278" spans="1:8">
      <c r="A278">
        <v>277</v>
      </c>
      <c r="B278" t="s">
        <v>5948</v>
      </c>
      <c r="D278">
        <v>210</v>
      </c>
      <c r="E278" t="s">
        <v>3851</v>
      </c>
      <c r="F278">
        <v>19.71</v>
      </c>
      <c r="G278" s="3218">
        <v>8.7528213562715713</v>
      </c>
      <c r="H278" s="3218">
        <f t="shared" si="4"/>
        <v>8.75</v>
      </c>
    </row>
    <row r="279" spans="1:8">
      <c r="A279">
        <v>278</v>
      </c>
      <c r="B279" t="s">
        <v>5948</v>
      </c>
      <c r="D279">
        <v>211</v>
      </c>
      <c r="E279" t="s">
        <v>3851</v>
      </c>
      <c r="F279">
        <v>17.079999999999998</v>
      </c>
      <c r="G279" s="3218">
        <v>7.5848903483063639</v>
      </c>
      <c r="H279" s="3218">
        <f t="shared" si="4"/>
        <v>7.58</v>
      </c>
    </row>
    <row r="280" spans="1:8">
      <c r="A280">
        <v>279</v>
      </c>
      <c r="B280" t="s">
        <v>5948</v>
      </c>
      <c r="D280">
        <v>212</v>
      </c>
      <c r="E280" t="s">
        <v>3851</v>
      </c>
      <c r="F280">
        <v>19.04</v>
      </c>
      <c r="G280" s="3218">
        <v>8.455287601390701</v>
      </c>
      <c r="H280" s="3218">
        <f t="shared" si="4"/>
        <v>8.4600000000000009</v>
      </c>
    </row>
    <row r="281" spans="1:8">
      <c r="A281">
        <v>280</v>
      </c>
      <c r="B281" t="s">
        <v>5948</v>
      </c>
      <c r="D281">
        <v>213</v>
      </c>
      <c r="E281" t="s">
        <v>3851</v>
      </c>
      <c r="F281">
        <v>16.489999999999998</v>
      </c>
      <c r="G281" s="3218">
        <v>7.3228830119187318</v>
      </c>
      <c r="H281" s="3218">
        <f t="shared" si="4"/>
        <v>7.32</v>
      </c>
    </row>
    <row r="282" spans="1:8">
      <c r="A282">
        <v>281</v>
      </c>
      <c r="B282" t="s">
        <v>5949</v>
      </c>
      <c r="D282">
        <v>102</v>
      </c>
      <c r="E282" t="s">
        <v>3851</v>
      </c>
      <c r="F282">
        <v>42.57</v>
      </c>
      <c r="G282" s="3218">
        <v>18.904495440714399</v>
      </c>
      <c r="H282" s="3218">
        <f t="shared" si="4"/>
        <v>18.899999999999999</v>
      </c>
    </row>
    <row r="283" spans="1:8">
      <c r="A283">
        <v>282</v>
      </c>
      <c r="B283" t="s">
        <v>5949</v>
      </c>
      <c r="D283">
        <v>103</v>
      </c>
      <c r="E283" t="s">
        <v>3851</v>
      </c>
      <c r="F283">
        <v>47.19</v>
      </c>
      <c r="G283" s="3218">
        <v>20.956146108698906</v>
      </c>
      <c r="H283" s="3218">
        <f t="shared" si="4"/>
        <v>20.96</v>
      </c>
    </row>
    <row r="284" spans="1:8">
      <c r="A284">
        <v>283</v>
      </c>
      <c r="B284" t="s">
        <v>5949</v>
      </c>
      <c r="D284">
        <v>104</v>
      </c>
      <c r="E284" t="s">
        <v>3851</v>
      </c>
      <c r="F284">
        <v>62.37</v>
      </c>
      <c r="G284" s="3218">
        <v>27.697284017790864</v>
      </c>
      <c r="H284" s="3218">
        <f t="shared" si="4"/>
        <v>27.7</v>
      </c>
    </row>
    <row r="285" spans="1:8">
      <c r="A285">
        <v>284</v>
      </c>
      <c r="B285" t="s">
        <v>5949</v>
      </c>
      <c r="D285">
        <v>105</v>
      </c>
      <c r="E285" t="s">
        <v>3851</v>
      </c>
      <c r="F285">
        <v>61.41</v>
      </c>
      <c r="G285" s="3218">
        <v>27.270966995872005</v>
      </c>
      <c r="H285" s="3218">
        <f t="shared" si="4"/>
        <v>27.27</v>
      </c>
    </row>
    <row r="286" spans="1:8">
      <c r="A286">
        <v>285</v>
      </c>
      <c r="B286" t="s">
        <v>5949</v>
      </c>
      <c r="D286">
        <v>106</v>
      </c>
      <c r="E286" t="s">
        <v>3851</v>
      </c>
      <c r="F286">
        <v>61.41</v>
      </c>
      <c r="G286" s="3218">
        <v>27.270966995872005</v>
      </c>
      <c r="H286" s="3218">
        <f t="shared" si="4"/>
        <v>27.27</v>
      </c>
    </row>
    <row r="287" spans="1:8">
      <c r="A287">
        <v>286</v>
      </c>
      <c r="B287" t="s">
        <v>5949</v>
      </c>
      <c r="D287">
        <v>107</v>
      </c>
      <c r="E287" t="s">
        <v>3851</v>
      </c>
      <c r="F287">
        <v>62.37</v>
      </c>
      <c r="G287" s="3218">
        <v>27.697284017790864</v>
      </c>
      <c r="H287" s="3218">
        <f t="shared" si="4"/>
        <v>27.7</v>
      </c>
    </row>
    <row r="288" spans="1:8">
      <c r="A288">
        <v>287</v>
      </c>
      <c r="B288" t="s">
        <v>5949</v>
      </c>
      <c r="D288">
        <v>108</v>
      </c>
      <c r="E288" t="s">
        <v>3851</v>
      </c>
      <c r="F288">
        <v>47.19</v>
      </c>
      <c r="G288" s="3218">
        <v>20.956146108698906</v>
      </c>
      <c r="H288" s="3218">
        <f t="shared" si="4"/>
        <v>20.96</v>
      </c>
    </row>
    <row r="289" spans="1:8">
      <c r="A289">
        <v>288</v>
      </c>
      <c r="B289" t="s">
        <v>5949</v>
      </c>
      <c r="D289">
        <v>109</v>
      </c>
      <c r="E289" t="s">
        <v>3851</v>
      </c>
      <c r="F289">
        <v>42.78</v>
      </c>
      <c r="G289" s="3218">
        <v>18.99775228925915</v>
      </c>
      <c r="H289" s="3218">
        <f t="shared" si="4"/>
        <v>19</v>
      </c>
    </row>
    <row r="290" spans="1:8">
      <c r="A290">
        <v>289</v>
      </c>
      <c r="B290" t="s">
        <v>5949</v>
      </c>
      <c r="D290">
        <v>110</v>
      </c>
      <c r="E290" t="s">
        <v>3851</v>
      </c>
      <c r="F290">
        <v>42.78</v>
      </c>
      <c r="G290" s="3218">
        <v>18.99775228925915</v>
      </c>
      <c r="H290" s="3218">
        <f t="shared" si="4"/>
        <v>19</v>
      </c>
    </row>
    <row r="291" spans="1:8">
      <c r="A291">
        <v>290</v>
      </c>
      <c r="B291" t="s">
        <v>5949</v>
      </c>
      <c r="D291">
        <v>111</v>
      </c>
      <c r="E291" t="s">
        <v>3851</v>
      </c>
      <c r="F291">
        <v>47.19</v>
      </c>
      <c r="G291" s="3218">
        <v>20.956146108698906</v>
      </c>
      <c r="H291" s="3218">
        <f t="shared" si="4"/>
        <v>20.96</v>
      </c>
    </row>
    <row r="292" spans="1:8">
      <c r="A292">
        <v>291</v>
      </c>
      <c r="B292" t="s">
        <v>5949</v>
      </c>
      <c r="D292">
        <v>112</v>
      </c>
      <c r="E292" t="s">
        <v>3851</v>
      </c>
      <c r="F292">
        <v>62.37</v>
      </c>
      <c r="G292" s="3218">
        <v>27.697284017790864</v>
      </c>
      <c r="H292" s="3218">
        <f t="shared" si="4"/>
        <v>27.7</v>
      </c>
    </row>
    <row r="293" spans="1:8">
      <c r="A293">
        <v>292</v>
      </c>
      <c r="B293" t="s">
        <v>5949</v>
      </c>
      <c r="D293">
        <v>113</v>
      </c>
      <c r="E293" t="s">
        <v>3851</v>
      </c>
      <c r="F293">
        <v>61.41</v>
      </c>
      <c r="G293" s="3218">
        <v>27.270966995872005</v>
      </c>
      <c r="H293" s="3218">
        <f t="shared" si="4"/>
        <v>27.27</v>
      </c>
    </row>
    <row r="294" spans="1:8">
      <c r="A294">
        <v>293</v>
      </c>
      <c r="B294" t="s">
        <v>5949</v>
      </c>
      <c r="D294">
        <v>120</v>
      </c>
      <c r="E294" t="s">
        <v>3851</v>
      </c>
      <c r="F294">
        <v>14.91</v>
      </c>
      <c r="G294" s="3218">
        <v>6.6212362466772774</v>
      </c>
      <c r="H294" s="3218">
        <f t="shared" si="4"/>
        <v>6.62</v>
      </c>
    </row>
    <row r="295" spans="1:8">
      <c r="A295">
        <v>294</v>
      </c>
      <c r="B295" t="s">
        <v>5949</v>
      </c>
      <c r="D295">
        <v>201</v>
      </c>
      <c r="E295" t="s">
        <v>3851</v>
      </c>
      <c r="F295">
        <v>22.9</v>
      </c>
      <c r="G295" s="3218">
        <v>10.169437293689446</v>
      </c>
      <c r="H295" s="3218">
        <f t="shared" si="4"/>
        <v>10.17</v>
      </c>
    </row>
    <row r="296" spans="1:8">
      <c r="A296">
        <v>295</v>
      </c>
      <c r="B296" t="s">
        <v>5949</v>
      </c>
      <c r="D296">
        <v>202</v>
      </c>
      <c r="E296" t="s">
        <v>3851</v>
      </c>
      <c r="F296">
        <v>22.9</v>
      </c>
      <c r="G296" s="3218">
        <v>10.169437293689446</v>
      </c>
      <c r="H296" s="3218">
        <f t="shared" si="4"/>
        <v>10.17</v>
      </c>
    </row>
    <row r="297" spans="1:8">
      <c r="A297">
        <v>296</v>
      </c>
      <c r="B297" t="s">
        <v>5949</v>
      </c>
      <c r="D297">
        <v>203</v>
      </c>
      <c r="E297" t="s">
        <v>3851</v>
      </c>
      <c r="F297">
        <v>22.9</v>
      </c>
      <c r="G297" s="3218">
        <v>10.169437293689446</v>
      </c>
      <c r="H297" s="3218">
        <f t="shared" si="4"/>
        <v>10.17</v>
      </c>
    </row>
    <row r="298" spans="1:8">
      <c r="A298">
        <v>297</v>
      </c>
      <c r="B298" t="s">
        <v>5950</v>
      </c>
      <c r="D298">
        <v>106</v>
      </c>
      <c r="E298" t="s">
        <v>3851</v>
      </c>
      <c r="F298">
        <v>34.520000000000003</v>
      </c>
      <c r="G298" s="3218">
        <v>15.329649579832303</v>
      </c>
      <c r="H298" s="3218">
        <f t="shared" si="4"/>
        <v>15.33</v>
      </c>
    </row>
    <row r="299" spans="1:8">
      <c r="A299">
        <v>298</v>
      </c>
      <c r="B299" t="s">
        <v>5950</v>
      </c>
      <c r="D299">
        <v>107</v>
      </c>
      <c r="E299" t="s">
        <v>3851</v>
      </c>
      <c r="F299">
        <v>63.28</v>
      </c>
      <c r="G299" s="3218">
        <v>28.10139702815145</v>
      </c>
      <c r="H299" s="3218">
        <f t="shared" si="4"/>
        <v>28.1</v>
      </c>
    </row>
    <row r="300" spans="1:8">
      <c r="A300">
        <v>299</v>
      </c>
      <c r="B300" t="s">
        <v>5950</v>
      </c>
      <c r="D300">
        <v>108</v>
      </c>
      <c r="E300" t="s">
        <v>3851</v>
      </c>
      <c r="F300">
        <v>47.64</v>
      </c>
      <c r="G300" s="3218">
        <v>21.155982212723373</v>
      </c>
      <c r="H300" s="3218">
        <f t="shared" si="4"/>
        <v>21.16</v>
      </c>
    </row>
    <row r="301" spans="1:8">
      <c r="A301">
        <v>300</v>
      </c>
      <c r="B301" t="s">
        <v>5950</v>
      </c>
      <c r="D301">
        <v>109</v>
      </c>
      <c r="E301" t="s">
        <v>3851</v>
      </c>
      <c r="F301">
        <v>47.64</v>
      </c>
      <c r="G301" s="3218">
        <v>21.155982212723373</v>
      </c>
      <c r="H301" s="3218">
        <f t="shared" si="4"/>
        <v>21.16</v>
      </c>
    </row>
    <row r="302" spans="1:8">
      <c r="A302">
        <v>301</v>
      </c>
      <c r="B302" t="s">
        <v>5950</v>
      </c>
      <c r="D302">
        <v>110</v>
      </c>
      <c r="E302" t="s">
        <v>3851</v>
      </c>
      <c r="F302">
        <v>63.28</v>
      </c>
      <c r="G302" s="3218">
        <v>28.10139702815145</v>
      </c>
      <c r="H302" s="3218">
        <f t="shared" si="4"/>
        <v>28.1</v>
      </c>
    </row>
    <row r="303" spans="1:8">
      <c r="A303">
        <v>302</v>
      </c>
      <c r="B303" t="s">
        <v>5950</v>
      </c>
      <c r="D303">
        <v>111</v>
      </c>
      <c r="E303" t="s">
        <v>3851</v>
      </c>
      <c r="F303">
        <v>34.520000000000003</v>
      </c>
      <c r="G303" s="3218">
        <v>15.329649579832303</v>
      </c>
      <c r="H303" s="3218">
        <f t="shared" si="4"/>
        <v>15.33</v>
      </c>
    </row>
    <row r="304" spans="1:8">
      <c r="A304">
        <v>303</v>
      </c>
      <c r="B304" t="s">
        <v>5950</v>
      </c>
      <c r="D304">
        <v>112</v>
      </c>
      <c r="E304" t="s">
        <v>3851</v>
      </c>
      <c r="F304">
        <v>34.520000000000003</v>
      </c>
      <c r="G304" s="3218">
        <v>15.329649579832303</v>
      </c>
      <c r="H304" s="3218">
        <f t="shared" si="4"/>
        <v>15.33</v>
      </c>
    </row>
    <row r="305" spans="1:8">
      <c r="A305">
        <v>304</v>
      </c>
      <c r="B305" t="s">
        <v>5950</v>
      </c>
      <c r="D305">
        <v>113</v>
      </c>
      <c r="E305" t="s">
        <v>3851</v>
      </c>
      <c r="F305">
        <v>63.57</v>
      </c>
      <c r="G305" s="3218">
        <v>28.230180295189438</v>
      </c>
      <c r="H305" s="3218">
        <f t="shared" si="4"/>
        <v>28.23</v>
      </c>
    </row>
    <row r="306" spans="1:8">
      <c r="A306">
        <v>305</v>
      </c>
      <c r="B306" t="s">
        <v>5950</v>
      </c>
      <c r="D306">
        <v>114</v>
      </c>
      <c r="E306" t="s">
        <v>3851</v>
      </c>
      <c r="F306">
        <v>57.85</v>
      </c>
      <c r="G306" s="3218">
        <v>25.690041372922902</v>
      </c>
      <c r="H306" s="3218">
        <f t="shared" si="4"/>
        <v>25.69</v>
      </c>
    </row>
    <row r="307" spans="1:8">
      <c r="A307">
        <v>306</v>
      </c>
      <c r="B307" t="s">
        <v>5950</v>
      </c>
      <c r="D307">
        <v>115</v>
      </c>
      <c r="E307" t="s">
        <v>3851</v>
      </c>
      <c r="F307">
        <v>30.97</v>
      </c>
      <c r="G307" s="3218">
        <v>13.753164759194853</v>
      </c>
      <c r="H307" s="3218">
        <f t="shared" si="4"/>
        <v>13.75</v>
      </c>
    </row>
    <row r="308" spans="1:8">
      <c r="A308">
        <v>307</v>
      </c>
      <c r="B308" t="s">
        <v>5950</v>
      </c>
      <c r="D308">
        <v>116</v>
      </c>
      <c r="E308" t="s">
        <v>3851</v>
      </c>
      <c r="F308">
        <v>25.56</v>
      </c>
      <c r="G308" s="3218">
        <v>11.350690708589617</v>
      </c>
      <c r="H308" s="3218">
        <f t="shared" si="4"/>
        <v>11.35</v>
      </c>
    </row>
    <row r="309" spans="1:8">
      <c r="A309">
        <v>308</v>
      </c>
      <c r="B309" t="s">
        <v>5950</v>
      </c>
      <c r="D309">
        <v>202</v>
      </c>
      <c r="E309" t="s">
        <v>3851</v>
      </c>
      <c r="F309">
        <v>20.2</v>
      </c>
      <c r="G309" s="3218">
        <v>8.9704206695426549</v>
      </c>
      <c r="H309" s="3218">
        <f t="shared" si="4"/>
        <v>8.9700000000000006</v>
      </c>
    </row>
    <row r="310" spans="1:8">
      <c r="A310">
        <v>309</v>
      </c>
      <c r="B310" t="s">
        <v>5950</v>
      </c>
      <c r="D310">
        <v>203</v>
      </c>
      <c r="E310" t="s">
        <v>3851</v>
      </c>
      <c r="F310">
        <v>17.68</v>
      </c>
      <c r="G310" s="3218">
        <v>7.8513384870056511</v>
      </c>
      <c r="H310" s="3218">
        <f t="shared" si="4"/>
        <v>7.85</v>
      </c>
    </row>
    <row r="311" spans="1:8">
      <c r="A311">
        <v>310</v>
      </c>
      <c r="B311" t="s">
        <v>5950</v>
      </c>
      <c r="D311">
        <v>204</v>
      </c>
      <c r="E311" t="s">
        <v>3851</v>
      </c>
      <c r="F311">
        <v>20.22</v>
      </c>
      <c r="G311" s="3218">
        <v>8.9793022741659652</v>
      </c>
      <c r="H311" s="3218">
        <f t="shared" si="4"/>
        <v>8.98</v>
      </c>
    </row>
    <row r="312" spans="1:8">
      <c r="A312">
        <v>311</v>
      </c>
      <c r="B312" t="s">
        <v>5951</v>
      </c>
      <c r="D312">
        <v>106</v>
      </c>
      <c r="E312" t="s">
        <v>3851</v>
      </c>
      <c r="F312">
        <v>34.020000000000003</v>
      </c>
      <c r="G312" s="3218">
        <v>15.107609464249563</v>
      </c>
      <c r="H312" s="3218">
        <f t="shared" si="4"/>
        <v>15.11</v>
      </c>
    </row>
    <row r="313" spans="1:8">
      <c r="A313">
        <v>312</v>
      </c>
      <c r="B313" t="s">
        <v>5951</v>
      </c>
      <c r="D313">
        <v>107</v>
      </c>
      <c r="E313" t="s">
        <v>3851</v>
      </c>
      <c r="F313">
        <v>62.35</v>
      </c>
      <c r="G313" s="3218">
        <v>27.688402413167555</v>
      </c>
      <c r="H313" s="3218">
        <f t="shared" si="4"/>
        <v>27.69</v>
      </c>
    </row>
    <row r="314" spans="1:8">
      <c r="A314">
        <v>313</v>
      </c>
      <c r="B314" t="s">
        <v>5951</v>
      </c>
      <c r="D314">
        <v>108</v>
      </c>
      <c r="E314" t="s">
        <v>3851</v>
      </c>
      <c r="F314">
        <v>47.28</v>
      </c>
      <c r="G314" s="3218">
        <v>20.9961133295038</v>
      </c>
      <c r="H314" s="3218">
        <f t="shared" si="4"/>
        <v>21</v>
      </c>
    </row>
    <row r="315" spans="1:8">
      <c r="A315">
        <v>314</v>
      </c>
      <c r="B315" t="s">
        <v>5951</v>
      </c>
      <c r="D315">
        <v>202</v>
      </c>
      <c r="E315" t="s">
        <v>3851</v>
      </c>
      <c r="F315">
        <v>19.920000000000002</v>
      </c>
      <c r="G315" s="3218">
        <v>8.8460782048163225</v>
      </c>
      <c r="H315" s="3218">
        <f t="shared" si="4"/>
        <v>8.85</v>
      </c>
    </row>
    <row r="316" spans="1:8">
      <c r="A316">
        <v>315</v>
      </c>
      <c r="B316" t="s">
        <v>5952</v>
      </c>
      <c r="D316">
        <v>101</v>
      </c>
      <c r="E316" t="s">
        <v>3851</v>
      </c>
      <c r="F316">
        <v>15.2</v>
      </c>
      <c r="G316" s="3218">
        <v>6.7500195137152659</v>
      </c>
      <c r="H316" s="3218">
        <f t="shared" si="4"/>
        <v>6.75</v>
      </c>
    </row>
    <row r="317" spans="1:8">
      <c r="A317">
        <v>316</v>
      </c>
      <c r="B317" t="s">
        <v>5952</v>
      </c>
      <c r="D317">
        <v>102</v>
      </c>
      <c r="E317" t="s">
        <v>3851</v>
      </c>
      <c r="F317">
        <v>54.63</v>
      </c>
      <c r="G317" s="3218">
        <v>24.260103028570065</v>
      </c>
      <c r="H317" s="3218">
        <f t="shared" si="4"/>
        <v>24.26</v>
      </c>
    </row>
    <row r="318" spans="1:8">
      <c r="A318">
        <v>317</v>
      </c>
      <c r="B318" t="s">
        <v>5952</v>
      </c>
      <c r="D318">
        <v>103</v>
      </c>
      <c r="E318" t="s">
        <v>3851</v>
      </c>
      <c r="F318">
        <v>47.35</v>
      </c>
      <c r="G318" s="3218">
        <v>21.027198945685385</v>
      </c>
      <c r="H318" s="3218">
        <f t="shared" si="4"/>
        <v>21.03</v>
      </c>
    </row>
    <row r="319" spans="1:8">
      <c r="A319">
        <v>318</v>
      </c>
      <c r="B319" t="s">
        <v>5952</v>
      </c>
      <c r="D319">
        <v>104</v>
      </c>
      <c r="E319" t="s">
        <v>3851</v>
      </c>
      <c r="F319">
        <v>62.57</v>
      </c>
      <c r="G319" s="3218">
        <v>27.786100064023959</v>
      </c>
      <c r="H319" s="3218">
        <f t="shared" si="4"/>
        <v>27.79</v>
      </c>
    </row>
    <row r="320" spans="1:8">
      <c r="A320">
        <v>319</v>
      </c>
      <c r="B320" t="s">
        <v>5952</v>
      </c>
      <c r="D320">
        <v>105</v>
      </c>
      <c r="E320" t="s">
        <v>3851</v>
      </c>
      <c r="F320">
        <v>61.61</v>
      </c>
      <c r="G320" s="3218">
        <v>27.3597830421051</v>
      </c>
      <c r="H320" s="3218">
        <f t="shared" si="4"/>
        <v>27.36</v>
      </c>
    </row>
    <row r="321" spans="1:8">
      <c r="A321">
        <v>320</v>
      </c>
      <c r="B321" t="s">
        <v>5952</v>
      </c>
      <c r="D321">
        <v>106</v>
      </c>
      <c r="E321" t="s">
        <v>3851</v>
      </c>
      <c r="F321">
        <v>61.61</v>
      </c>
      <c r="G321" s="3218">
        <v>27.3597830421051</v>
      </c>
      <c r="H321" s="3218">
        <f t="shared" si="4"/>
        <v>27.36</v>
      </c>
    </row>
    <row r="322" spans="1:8">
      <c r="A322">
        <v>321</v>
      </c>
      <c r="B322" t="s">
        <v>5952</v>
      </c>
      <c r="D322">
        <v>107</v>
      </c>
      <c r="E322" t="s">
        <v>3851</v>
      </c>
      <c r="F322">
        <v>62.57</v>
      </c>
      <c r="G322" s="3218">
        <v>27.786100064023959</v>
      </c>
      <c r="H322" s="3218">
        <f t="shared" si="4"/>
        <v>27.79</v>
      </c>
    </row>
    <row r="323" spans="1:8">
      <c r="A323">
        <v>322</v>
      </c>
      <c r="B323" t="s">
        <v>5952</v>
      </c>
      <c r="D323">
        <v>108</v>
      </c>
      <c r="E323" t="s">
        <v>3851</v>
      </c>
      <c r="F323">
        <v>47.35</v>
      </c>
      <c r="G323" s="3218">
        <v>21.027198945685385</v>
      </c>
      <c r="H323" s="3218">
        <f t="shared" ref="H323:H386" si="5">ROUND(G323,2)</f>
        <v>21.03</v>
      </c>
    </row>
    <row r="324" spans="1:8">
      <c r="A324">
        <v>323</v>
      </c>
      <c r="B324" t="s">
        <v>5952</v>
      </c>
      <c r="D324">
        <v>109</v>
      </c>
      <c r="E324" t="s">
        <v>3851</v>
      </c>
      <c r="F324">
        <v>42.93</v>
      </c>
      <c r="G324" s="3218">
        <v>19.064364323933972</v>
      </c>
      <c r="H324" s="3218">
        <f t="shared" si="5"/>
        <v>19.059999999999999</v>
      </c>
    </row>
    <row r="325" spans="1:8">
      <c r="A325">
        <v>324</v>
      </c>
      <c r="B325" t="s">
        <v>5952</v>
      </c>
      <c r="D325">
        <v>110</v>
      </c>
      <c r="E325" t="s">
        <v>3851</v>
      </c>
      <c r="F325">
        <v>42.93</v>
      </c>
      <c r="G325" s="3218">
        <v>19.064364323933972</v>
      </c>
      <c r="H325" s="3218">
        <f t="shared" si="5"/>
        <v>19.059999999999999</v>
      </c>
    </row>
    <row r="326" spans="1:8">
      <c r="A326">
        <v>325</v>
      </c>
      <c r="B326" t="s">
        <v>5952</v>
      </c>
      <c r="D326">
        <v>111</v>
      </c>
      <c r="E326" t="s">
        <v>3851</v>
      </c>
      <c r="F326">
        <v>47.35</v>
      </c>
      <c r="G326" s="3218">
        <v>21.027198945685385</v>
      </c>
      <c r="H326" s="3218">
        <f t="shared" si="5"/>
        <v>21.03</v>
      </c>
    </row>
    <row r="327" spans="1:8">
      <c r="A327">
        <v>326</v>
      </c>
      <c r="B327" t="s">
        <v>5952</v>
      </c>
      <c r="D327">
        <v>112</v>
      </c>
      <c r="E327" t="s">
        <v>3851</v>
      </c>
      <c r="F327">
        <v>62.57</v>
      </c>
      <c r="G327" s="3218">
        <v>27.786100064023959</v>
      </c>
      <c r="H327" s="3218">
        <f t="shared" si="5"/>
        <v>27.79</v>
      </c>
    </row>
    <row r="328" spans="1:8">
      <c r="A328">
        <v>327</v>
      </c>
      <c r="B328" t="s">
        <v>5952</v>
      </c>
      <c r="D328">
        <v>113</v>
      </c>
      <c r="E328" t="s">
        <v>3851</v>
      </c>
      <c r="F328">
        <v>61.61</v>
      </c>
      <c r="G328" s="3218">
        <v>27.3597830421051</v>
      </c>
      <c r="H328" s="3218">
        <f t="shared" si="5"/>
        <v>27.36</v>
      </c>
    </row>
    <row r="329" spans="1:8">
      <c r="A329">
        <v>328</v>
      </c>
      <c r="B329" t="s">
        <v>5952</v>
      </c>
      <c r="D329">
        <v>118</v>
      </c>
      <c r="E329" t="s">
        <v>3851</v>
      </c>
      <c r="F329">
        <v>15.15</v>
      </c>
      <c r="G329" s="3218">
        <v>6.7278155021569921</v>
      </c>
      <c r="H329" s="3218">
        <f t="shared" si="5"/>
        <v>6.73</v>
      </c>
    </row>
    <row r="330" spans="1:8">
      <c r="A330">
        <v>329</v>
      </c>
      <c r="B330" t="s">
        <v>5952</v>
      </c>
      <c r="D330">
        <v>119</v>
      </c>
      <c r="E330" t="s">
        <v>3851</v>
      </c>
      <c r="F330">
        <v>14.96</v>
      </c>
      <c r="G330" s="3218">
        <v>6.6434402582355512</v>
      </c>
      <c r="H330" s="3218">
        <f t="shared" si="5"/>
        <v>6.64</v>
      </c>
    </row>
    <row r="331" spans="1:8">
      <c r="A331">
        <v>330</v>
      </c>
      <c r="B331" t="s">
        <v>5952</v>
      </c>
      <c r="D331">
        <v>120</v>
      </c>
      <c r="E331" t="s">
        <v>3851</v>
      </c>
      <c r="F331">
        <v>14.96</v>
      </c>
      <c r="G331" s="3218">
        <v>6.6434402582355512</v>
      </c>
      <c r="H331" s="3218">
        <f t="shared" si="5"/>
        <v>6.64</v>
      </c>
    </row>
    <row r="332" spans="1:8">
      <c r="A332">
        <v>331</v>
      </c>
      <c r="B332" t="s">
        <v>5952</v>
      </c>
      <c r="D332">
        <v>201</v>
      </c>
      <c r="E332" t="s">
        <v>3851</v>
      </c>
      <c r="F332">
        <v>22.98</v>
      </c>
      <c r="G332" s="3218">
        <v>10.204963712182685</v>
      </c>
      <c r="H332" s="3218">
        <f t="shared" si="5"/>
        <v>10.199999999999999</v>
      </c>
    </row>
    <row r="333" spans="1:8">
      <c r="A333">
        <v>332</v>
      </c>
      <c r="B333" t="s">
        <v>5952</v>
      </c>
      <c r="D333">
        <v>202</v>
      </c>
      <c r="E333" t="s">
        <v>3851</v>
      </c>
      <c r="F333">
        <v>22.98</v>
      </c>
      <c r="G333" s="3218">
        <v>10.204963712182685</v>
      </c>
      <c r="H333" s="3218">
        <f t="shared" si="5"/>
        <v>10.199999999999999</v>
      </c>
    </row>
    <row r="334" spans="1:8">
      <c r="A334">
        <v>333</v>
      </c>
      <c r="B334" t="s">
        <v>5952</v>
      </c>
      <c r="D334">
        <v>203</v>
      </c>
      <c r="E334" t="s">
        <v>3851</v>
      </c>
      <c r="F334">
        <v>22.98</v>
      </c>
      <c r="G334" s="3218">
        <v>10.204963712182685</v>
      </c>
      <c r="H334" s="3218">
        <f t="shared" si="5"/>
        <v>10.199999999999999</v>
      </c>
    </row>
    <row r="335" spans="1:8">
      <c r="A335">
        <v>334</v>
      </c>
      <c r="B335" t="s">
        <v>5953</v>
      </c>
      <c r="D335">
        <v>106</v>
      </c>
      <c r="E335" t="s">
        <v>3851</v>
      </c>
      <c r="F335">
        <v>33.5</v>
      </c>
      <c r="G335" s="3218">
        <v>14.876687744043513</v>
      </c>
      <c r="H335" s="3218">
        <f t="shared" si="5"/>
        <v>14.88</v>
      </c>
    </row>
    <row r="336" spans="1:8">
      <c r="A336">
        <v>335</v>
      </c>
      <c r="B336" t="s">
        <v>5953</v>
      </c>
      <c r="D336">
        <v>107</v>
      </c>
      <c r="E336" t="s">
        <v>3851</v>
      </c>
      <c r="F336">
        <v>61.4</v>
      </c>
      <c r="G336" s="3218">
        <v>27.266526193560349</v>
      </c>
      <c r="H336" s="3218">
        <f t="shared" si="5"/>
        <v>27.27</v>
      </c>
    </row>
    <row r="337" spans="1:8">
      <c r="A337">
        <v>336</v>
      </c>
      <c r="B337" t="s">
        <v>5953</v>
      </c>
      <c r="D337">
        <v>108</v>
      </c>
      <c r="E337" t="s">
        <v>3851</v>
      </c>
      <c r="F337">
        <v>46.55</v>
      </c>
      <c r="G337" s="3218">
        <v>20.671934760753</v>
      </c>
      <c r="H337" s="3218">
        <f t="shared" si="5"/>
        <v>20.67</v>
      </c>
    </row>
    <row r="338" spans="1:8">
      <c r="A338">
        <v>337</v>
      </c>
      <c r="B338" t="s">
        <v>5953</v>
      </c>
      <c r="D338">
        <v>109</v>
      </c>
      <c r="E338" t="s">
        <v>3851</v>
      </c>
      <c r="F338">
        <v>46.55</v>
      </c>
      <c r="G338" s="3218">
        <v>20.671934760753</v>
      </c>
      <c r="H338" s="3218">
        <f t="shared" si="5"/>
        <v>20.67</v>
      </c>
    </row>
    <row r="339" spans="1:8">
      <c r="A339">
        <v>338</v>
      </c>
      <c r="B339" t="s">
        <v>5953</v>
      </c>
      <c r="D339">
        <v>110</v>
      </c>
      <c r="E339" t="s">
        <v>3851</v>
      </c>
      <c r="F339">
        <v>61.4</v>
      </c>
      <c r="G339" s="3218">
        <v>27.266526193560349</v>
      </c>
      <c r="H339" s="3218">
        <f t="shared" si="5"/>
        <v>27.27</v>
      </c>
    </row>
    <row r="340" spans="1:8">
      <c r="A340">
        <v>339</v>
      </c>
      <c r="B340" t="s">
        <v>5953</v>
      </c>
      <c r="D340">
        <v>111</v>
      </c>
      <c r="E340" t="s">
        <v>3851</v>
      </c>
      <c r="F340">
        <v>33.5</v>
      </c>
      <c r="G340" s="3218">
        <v>14.876687744043513</v>
      </c>
      <c r="H340" s="3218">
        <f t="shared" si="5"/>
        <v>14.88</v>
      </c>
    </row>
    <row r="341" spans="1:8">
      <c r="A341">
        <v>340</v>
      </c>
      <c r="B341" t="s">
        <v>5953</v>
      </c>
      <c r="D341">
        <v>112</v>
      </c>
      <c r="E341" t="s">
        <v>3851</v>
      </c>
      <c r="F341">
        <v>33.5</v>
      </c>
      <c r="G341" s="3218">
        <v>14.876687744043513</v>
      </c>
      <c r="H341" s="3218">
        <f t="shared" si="5"/>
        <v>14.88</v>
      </c>
    </row>
    <row r="342" spans="1:8">
      <c r="A342">
        <v>341</v>
      </c>
      <c r="B342" t="s">
        <v>5953</v>
      </c>
      <c r="D342">
        <v>113</v>
      </c>
      <c r="E342" t="s">
        <v>3851</v>
      </c>
      <c r="F342">
        <v>61.4</v>
      </c>
      <c r="G342" s="3218">
        <v>27.266526193560349</v>
      </c>
      <c r="H342" s="3218">
        <f t="shared" si="5"/>
        <v>27.27</v>
      </c>
    </row>
    <row r="343" spans="1:8">
      <c r="A343">
        <v>342</v>
      </c>
      <c r="B343" t="s">
        <v>5953</v>
      </c>
      <c r="D343">
        <v>114</v>
      </c>
      <c r="E343" t="s">
        <v>3851</v>
      </c>
      <c r="F343">
        <v>46.23</v>
      </c>
      <c r="G343" s="3218">
        <v>20.529829086780047</v>
      </c>
      <c r="H343" s="3218">
        <f t="shared" si="5"/>
        <v>20.53</v>
      </c>
    </row>
    <row r="344" spans="1:8">
      <c r="A344">
        <v>343</v>
      </c>
      <c r="B344" t="s">
        <v>5953</v>
      </c>
      <c r="D344">
        <v>115</v>
      </c>
      <c r="E344" t="s">
        <v>3851</v>
      </c>
      <c r="F344">
        <v>46.23</v>
      </c>
      <c r="G344" s="3218">
        <v>20.529829086780047</v>
      </c>
      <c r="H344" s="3218">
        <f t="shared" si="5"/>
        <v>20.53</v>
      </c>
    </row>
    <row r="345" spans="1:8">
      <c r="A345">
        <v>344</v>
      </c>
      <c r="B345" t="s">
        <v>5953</v>
      </c>
      <c r="D345">
        <v>116</v>
      </c>
      <c r="E345" t="s">
        <v>3851</v>
      </c>
      <c r="F345">
        <v>61.4</v>
      </c>
      <c r="G345" s="3218">
        <v>27.266526193560349</v>
      </c>
      <c r="H345" s="3218">
        <f t="shared" si="5"/>
        <v>27.27</v>
      </c>
    </row>
    <row r="346" spans="1:8">
      <c r="A346">
        <v>345</v>
      </c>
      <c r="B346" t="s">
        <v>5953</v>
      </c>
      <c r="D346">
        <v>117</v>
      </c>
      <c r="E346" t="s">
        <v>3851</v>
      </c>
      <c r="F346">
        <v>33.5</v>
      </c>
      <c r="G346" s="3218">
        <v>14.876687744043513</v>
      </c>
      <c r="H346" s="3218">
        <f t="shared" si="5"/>
        <v>14.88</v>
      </c>
    </row>
    <row r="347" spans="1:8">
      <c r="A347">
        <v>346</v>
      </c>
      <c r="B347" t="s">
        <v>5953</v>
      </c>
      <c r="D347">
        <v>123</v>
      </c>
      <c r="E347" t="s">
        <v>3851</v>
      </c>
      <c r="F347">
        <v>28.07</v>
      </c>
      <c r="G347" s="3218">
        <v>12.465332088814968</v>
      </c>
      <c r="H347" s="3218">
        <f t="shared" si="5"/>
        <v>12.47</v>
      </c>
    </row>
    <row r="348" spans="1:8">
      <c r="A348">
        <v>347</v>
      </c>
      <c r="B348" t="s">
        <v>5953</v>
      </c>
      <c r="D348">
        <v>124</v>
      </c>
      <c r="E348" t="s">
        <v>3851</v>
      </c>
      <c r="F348">
        <v>32.71</v>
      </c>
      <c r="G348" s="3218">
        <v>14.525864361422785</v>
      </c>
      <c r="H348" s="3218">
        <f t="shared" si="5"/>
        <v>14.53</v>
      </c>
    </row>
    <row r="349" spans="1:8">
      <c r="A349">
        <v>348</v>
      </c>
      <c r="B349" t="s">
        <v>5953</v>
      </c>
      <c r="D349">
        <v>126</v>
      </c>
      <c r="E349" t="s">
        <v>3851</v>
      </c>
      <c r="F349">
        <v>42.5</v>
      </c>
      <c r="G349" s="3218">
        <v>18.873409824532814</v>
      </c>
      <c r="H349" s="3218">
        <f t="shared" si="5"/>
        <v>18.87</v>
      </c>
    </row>
    <row r="350" spans="1:8">
      <c r="A350">
        <v>349</v>
      </c>
      <c r="B350" t="s">
        <v>5953</v>
      </c>
      <c r="D350">
        <v>127</v>
      </c>
      <c r="E350" t="s">
        <v>3851</v>
      </c>
      <c r="F350">
        <v>31.82</v>
      </c>
      <c r="G350" s="3218">
        <v>14.13063295568551</v>
      </c>
      <c r="H350" s="3218">
        <f t="shared" si="5"/>
        <v>14.13</v>
      </c>
    </row>
    <row r="351" spans="1:8">
      <c r="A351">
        <v>350</v>
      </c>
      <c r="B351" t="s">
        <v>5953</v>
      </c>
      <c r="D351">
        <v>202</v>
      </c>
      <c r="E351" t="s">
        <v>3851</v>
      </c>
      <c r="F351">
        <v>30.24</v>
      </c>
      <c r="G351" s="3218">
        <v>13.428986190444054</v>
      </c>
      <c r="H351" s="3218">
        <f t="shared" si="5"/>
        <v>13.43</v>
      </c>
    </row>
    <row r="352" spans="1:8">
      <c r="A352">
        <v>351</v>
      </c>
      <c r="B352" t="s">
        <v>5953</v>
      </c>
      <c r="D352">
        <v>203</v>
      </c>
      <c r="E352" t="s">
        <v>3851</v>
      </c>
      <c r="F352">
        <v>24.05</v>
      </c>
      <c r="G352" s="3218">
        <v>10.680129559529746</v>
      </c>
      <c r="H352" s="3218">
        <f t="shared" si="5"/>
        <v>10.68</v>
      </c>
    </row>
    <row r="353" spans="1:8">
      <c r="A353">
        <v>352</v>
      </c>
      <c r="B353" t="s">
        <v>5953</v>
      </c>
      <c r="D353">
        <v>204</v>
      </c>
      <c r="E353" t="s">
        <v>3851</v>
      </c>
      <c r="F353">
        <v>24.05</v>
      </c>
      <c r="G353" s="3218">
        <v>10.680129559529746</v>
      </c>
      <c r="H353" s="3218">
        <f t="shared" si="5"/>
        <v>10.68</v>
      </c>
    </row>
    <row r="354" spans="1:8">
      <c r="A354">
        <v>353</v>
      </c>
      <c r="B354" t="s">
        <v>5953</v>
      </c>
      <c r="D354">
        <v>205</v>
      </c>
      <c r="E354" t="s">
        <v>3851</v>
      </c>
      <c r="F354">
        <v>25.51</v>
      </c>
      <c r="G354" s="3218">
        <v>11.328486697031344</v>
      </c>
      <c r="H354" s="3218">
        <f t="shared" si="5"/>
        <v>11.33</v>
      </c>
    </row>
    <row r="355" spans="1:8">
      <c r="A355">
        <v>354</v>
      </c>
      <c r="B355" t="s">
        <v>5953</v>
      </c>
      <c r="D355">
        <v>206</v>
      </c>
      <c r="E355" t="s">
        <v>3851</v>
      </c>
      <c r="F355">
        <v>25.51</v>
      </c>
      <c r="G355" s="3218">
        <v>11.328486697031344</v>
      </c>
      <c r="H355" s="3218">
        <f t="shared" si="5"/>
        <v>11.33</v>
      </c>
    </row>
    <row r="356" spans="1:8">
      <c r="A356">
        <v>355</v>
      </c>
      <c r="B356" t="s">
        <v>5953</v>
      </c>
      <c r="D356">
        <v>207</v>
      </c>
      <c r="E356" t="s">
        <v>3851</v>
      </c>
      <c r="F356">
        <v>24.05</v>
      </c>
      <c r="G356" s="3218">
        <v>10.680129559529746</v>
      </c>
      <c r="H356" s="3218">
        <f t="shared" si="5"/>
        <v>10.68</v>
      </c>
    </row>
    <row r="357" spans="1:8">
      <c r="A357">
        <v>356</v>
      </c>
      <c r="B357" t="s">
        <v>5953</v>
      </c>
      <c r="D357">
        <v>209</v>
      </c>
      <c r="E357" t="s">
        <v>3851</v>
      </c>
      <c r="F357">
        <v>31.7</v>
      </c>
      <c r="G357" s="3218">
        <v>14.077343327945652</v>
      </c>
      <c r="H357" s="3218">
        <f t="shared" si="5"/>
        <v>14.08</v>
      </c>
    </row>
    <row r="358" spans="1:8">
      <c r="A358">
        <v>357</v>
      </c>
      <c r="B358" t="s">
        <v>5953</v>
      </c>
      <c r="D358">
        <v>211</v>
      </c>
      <c r="E358" t="s">
        <v>3851</v>
      </c>
      <c r="F358">
        <v>22.65</v>
      </c>
      <c r="G358" s="3218">
        <v>10.058417235898077</v>
      </c>
      <c r="H358" s="3218">
        <f t="shared" si="5"/>
        <v>10.06</v>
      </c>
    </row>
    <row r="359" spans="1:8">
      <c r="A359">
        <v>358</v>
      </c>
      <c r="B359" t="s">
        <v>5953</v>
      </c>
      <c r="D359">
        <v>212</v>
      </c>
      <c r="E359" t="s">
        <v>3851</v>
      </c>
      <c r="F359">
        <v>22.65</v>
      </c>
      <c r="G359" s="3218">
        <v>10.058417235898077</v>
      </c>
      <c r="H359" s="3218">
        <f t="shared" si="5"/>
        <v>10.06</v>
      </c>
    </row>
    <row r="360" spans="1:8">
      <c r="A360">
        <v>359</v>
      </c>
      <c r="B360" t="s">
        <v>5953</v>
      </c>
      <c r="D360">
        <v>213</v>
      </c>
      <c r="E360" t="s">
        <v>3851</v>
      </c>
      <c r="F360">
        <v>22.65</v>
      </c>
      <c r="G360" s="3218">
        <v>10.058417235898077</v>
      </c>
      <c r="H360" s="3218">
        <f t="shared" si="5"/>
        <v>10.06</v>
      </c>
    </row>
    <row r="361" spans="1:8">
      <c r="A361">
        <v>360</v>
      </c>
      <c r="B361" t="s">
        <v>5953</v>
      </c>
      <c r="D361">
        <v>214</v>
      </c>
      <c r="E361" t="s">
        <v>3851</v>
      </c>
      <c r="F361">
        <v>22.65</v>
      </c>
      <c r="G361" s="3218">
        <v>10.058417235898077</v>
      </c>
      <c r="H361" s="3218">
        <f t="shared" si="5"/>
        <v>10.06</v>
      </c>
    </row>
    <row r="362" spans="1:8">
      <c r="A362">
        <v>361</v>
      </c>
      <c r="B362" t="s">
        <v>5954</v>
      </c>
      <c r="D362">
        <v>106</v>
      </c>
      <c r="E362" t="s">
        <v>3851</v>
      </c>
      <c r="F362">
        <v>33.86</v>
      </c>
      <c r="G362" s="3218">
        <v>15.036556627263085</v>
      </c>
      <c r="H362" s="3218">
        <f t="shared" si="5"/>
        <v>15.04</v>
      </c>
    </row>
    <row r="363" spans="1:8">
      <c r="A363">
        <v>362</v>
      </c>
      <c r="B363" t="s">
        <v>5954</v>
      </c>
      <c r="D363">
        <v>107</v>
      </c>
      <c r="E363" t="s">
        <v>3851</v>
      </c>
      <c r="F363">
        <v>62.06</v>
      </c>
      <c r="G363" s="3218">
        <v>27.559619146129567</v>
      </c>
      <c r="H363" s="3218">
        <f t="shared" si="5"/>
        <v>27.56</v>
      </c>
    </row>
    <row r="364" spans="1:8">
      <c r="A364">
        <v>363</v>
      </c>
      <c r="B364" t="s">
        <v>5954</v>
      </c>
      <c r="D364">
        <v>108</v>
      </c>
      <c r="E364" t="s">
        <v>3851</v>
      </c>
      <c r="F364">
        <v>47.05</v>
      </c>
      <c r="G364" s="3218">
        <v>20.89397487633574</v>
      </c>
      <c r="H364" s="3218">
        <f t="shared" si="5"/>
        <v>20.89</v>
      </c>
    </row>
    <row r="365" spans="1:8">
      <c r="A365">
        <v>364</v>
      </c>
      <c r="B365" t="s">
        <v>5954</v>
      </c>
      <c r="D365">
        <v>109</v>
      </c>
      <c r="E365" t="s">
        <v>3851</v>
      </c>
      <c r="F365">
        <v>47.05</v>
      </c>
      <c r="G365" s="3218">
        <v>20.89397487633574</v>
      </c>
      <c r="H365" s="3218">
        <f t="shared" si="5"/>
        <v>20.89</v>
      </c>
    </row>
    <row r="366" spans="1:8">
      <c r="A366">
        <v>365</v>
      </c>
      <c r="B366" t="s">
        <v>5954</v>
      </c>
      <c r="D366">
        <v>110</v>
      </c>
      <c r="E366" t="s">
        <v>3851</v>
      </c>
      <c r="F366">
        <v>62.06</v>
      </c>
      <c r="G366" s="3218">
        <v>27.559619146129567</v>
      </c>
      <c r="H366" s="3218">
        <f t="shared" si="5"/>
        <v>27.56</v>
      </c>
    </row>
    <row r="367" spans="1:8">
      <c r="A367">
        <v>366</v>
      </c>
      <c r="B367" t="s">
        <v>5954</v>
      </c>
      <c r="D367">
        <v>111</v>
      </c>
      <c r="E367" t="s">
        <v>3851</v>
      </c>
      <c r="F367">
        <v>33.86</v>
      </c>
      <c r="G367" s="3218">
        <v>15.036556627263085</v>
      </c>
      <c r="H367" s="3218">
        <f t="shared" si="5"/>
        <v>15.04</v>
      </c>
    </row>
    <row r="368" spans="1:8">
      <c r="A368">
        <v>367</v>
      </c>
      <c r="B368" t="s">
        <v>5954</v>
      </c>
      <c r="D368">
        <v>112</v>
      </c>
      <c r="E368" t="s">
        <v>3851</v>
      </c>
      <c r="F368">
        <v>33.86</v>
      </c>
      <c r="G368" s="3218">
        <v>15.036556627263085</v>
      </c>
      <c r="H368" s="3218">
        <f t="shared" si="5"/>
        <v>15.04</v>
      </c>
    </row>
    <row r="369" spans="1:8">
      <c r="A369">
        <v>368</v>
      </c>
      <c r="B369" t="s">
        <v>5954</v>
      </c>
      <c r="D369">
        <v>113</v>
      </c>
      <c r="E369" t="s">
        <v>3851</v>
      </c>
      <c r="F369">
        <v>62.06</v>
      </c>
      <c r="G369" s="3218">
        <v>27.559619146129567</v>
      </c>
      <c r="H369" s="3218">
        <f t="shared" si="5"/>
        <v>27.56</v>
      </c>
    </row>
    <row r="370" spans="1:8">
      <c r="A370">
        <v>369</v>
      </c>
      <c r="B370" t="s">
        <v>5954</v>
      </c>
      <c r="D370">
        <v>114</v>
      </c>
      <c r="E370" t="s">
        <v>3851</v>
      </c>
      <c r="F370">
        <v>46.72</v>
      </c>
      <c r="G370" s="3218">
        <v>20.747428400051131</v>
      </c>
      <c r="H370" s="3218">
        <f t="shared" si="5"/>
        <v>20.75</v>
      </c>
    </row>
    <row r="371" spans="1:8">
      <c r="A371">
        <v>370</v>
      </c>
      <c r="B371" t="s">
        <v>5954</v>
      </c>
      <c r="D371">
        <v>115</v>
      </c>
      <c r="E371" t="s">
        <v>3851</v>
      </c>
      <c r="F371">
        <v>46.72</v>
      </c>
      <c r="G371" s="3218">
        <v>20.747428400051131</v>
      </c>
      <c r="H371" s="3218">
        <f t="shared" si="5"/>
        <v>20.75</v>
      </c>
    </row>
    <row r="372" spans="1:8">
      <c r="A372">
        <v>371</v>
      </c>
      <c r="B372" t="s">
        <v>5954</v>
      </c>
      <c r="D372">
        <v>116</v>
      </c>
      <c r="E372" t="s">
        <v>3851</v>
      </c>
      <c r="F372">
        <v>62.06</v>
      </c>
      <c r="G372" s="3218">
        <v>27.559619146129567</v>
      </c>
      <c r="H372" s="3218">
        <f t="shared" si="5"/>
        <v>27.56</v>
      </c>
    </row>
    <row r="373" spans="1:8">
      <c r="A373">
        <v>372</v>
      </c>
      <c r="B373" t="s">
        <v>5954</v>
      </c>
      <c r="D373">
        <v>117</v>
      </c>
      <c r="E373" t="s">
        <v>3851</v>
      </c>
      <c r="F373">
        <v>33.86</v>
      </c>
      <c r="G373" s="3218">
        <v>15.036556627263085</v>
      </c>
      <c r="H373" s="3218">
        <f t="shared" si="5"/>
        <v>15.04</v>
      </c>
    </row>
    <row r="374" spans="1:8">
      <c r="A374">
        <v>373</v>
      </c>
      <c r="B374" t="s">
        <v>5954</v>
      </c>
      <c r="D374">
        <v>118</v>
      </c>
      <c r="E374" t="s">
        <v>3851</v>
      </c>
      <c r="F374">
        <v>33.86</v>
      </c>
      <c r="G374" s="3218">
        <v>15.036556627263085</v>
      </c>
      <c r="H374" s="3218">
        <f t="shared" si="5"/>
        <v>15.04</v>
      </c>
    </row>
    <row r="375" spans="1:8">
      <c r="A375">
        <v>374</v>
      </c>
      <c r="B375" t="s">
        <v>5954</v>
      </c>
      <c r="D375">
        <v>119</v>
      </c>
      <c r="E375" t="s">
        <v>3851</v>
      </c>
      <c r="F375">
        <v>62.34</v>
      </c>
      <c r="G375" s="3218">
        <v>27.683961610855899</v>
      </c>
      <c r="H375" s="3218">
        <f t="shared" si="5"/>
        <v>27.68</v>
      </c>
    </row>
    <row r="376" spans="1:8">
      <c r="A376">
        <v>375</v>
      </c>
      <c r="B376" t="s">
        <v>5954</v>
      </c>
      <c r="D376">
        <v>120</v>
      </c>
      <c r="E376" t="s">
        <v>3851</v>
      </c>
      <c r="F376">
        <v>56.73</v>
      </c>
      <c r="G376" s="3218">
        <v>25.192671514017565</v>
      </c>
      <c r="H376" s="3218">
        <f t="shared" si="5"/>
        <v>25.19</v>
      </c>
    </row>
    <row r="377" spans="1:8">
      <c r="A377">
        <v>376</v>
      </c>
      <c r="B377" t="s">
        <v>5954</v>
      </c>
      <c r="D377">
        <v>121</v>
      </c>
      <c r="E377" t="s">
        <v>3851</v>
      </c>
      <c r="F377">
        <v>30.59</v>
      </c>
      <c r="G377" s="3218">
        <v>13.584414271351973</v>
      </c>
      <c r="H377" s="3218">
        <f t="shared" si="5"/>
        <v>13.58</v>
      </c>
    </row>
    <row r="378" spans="1:8">
      <c r="A378">
        <v>377</v>
      </c>
      <c r="B378" t="s">
        <v>5954</v>
      </c>
      <c r="D378">
        <v>122</v>
      </c>
      <c r="E378" t="s">
        <v>3851</v>
      </c>
      <c r="F378">
        <v>25.07</v>
      </c>
      <c r="G378" s="3218">
        <v>11.133091395318534</v>
      </c>
      <c r="H378" s="3218">
        <f t="shared" si="5"/>
        <v>11.13</v>
      </c>
    </row>
    <row r="379" spans="1:8">
      <c r="A379">
        <v>378</v>
      </c>
      <c r="B379" t="s">
        <v>5954</v>
      </c>
      <c r="D379">
        <v>123</v>
      </c>
      <c r="E379" t="s">
        <v>3851</v>
      </c>
      <c r="F379">
        <v>28.37</v>
      </c>
      <c r="G379" s="3218">
        <v>12.598556158164612</v>
      </c>
      <c r="H379" s="3218">
        <f t="shared" si="5"/>
        <v>12.6</v>
      </c>
    </row>
    <row r="380" spans="1:8">
      <c r="A380">
        <v>379</v>
      </c>
      <c r="B380" t="s">
        <v>5954</v>
      </c>
      <c r="D380">
        <v>124</v>
      </c>
      <c r="E380" t="s">
        <v>3851</v>
      </c>
      <c r="F380">
        <v>28.37</v>
      </c>
      <c r="G380" s="3218">
        <v>12.598556158164612</v>
      </c>
      <c r="H380" s="3218">
        <f t="shared" si="5"/>
        <v>12.6</v>
      </c>
    </row>
    <row r="381" spans="1:8">
      <c r="A381">
        <v>380</v>
      </c>
      <c r="B381" t="s">
        <v>5954</v>
      </c>
      <c r="D381">
        <v>125</v>
      </c>
      <c r="E381" t="s">
        <v>3851</v>
      </c>
      <c r="F381">
        <v>22.18</v>
      </c>
      <c r="G381" s="3218">
        <v>9.8496995272503014</v>
      </c>
      <c r="H381" s="3218">
        <f t="shared" si="5"/>
        <v>9.85</v>
      </c>
    </row>
    <row r="382" spans="1:8">
      <c r="A382">
        <v>381</v>
      </c>
      <c r="B382" t="s">
        <v>5954</v>
      </c>
      <c r="D382">
        <v>126</v>
      </c>
      <c r="E382" t="s">
        <v>3851</v>
      </c>
      <c r="F382">
        <v>42.89</v>
      </c>
      <c r="G382" s="3218">
        <v>19.046601114687352</v>
      </c>
      <c r="H382" s="3218">
        <f t="shared" si="5"/>
        <v>19.05</v>
      </c>
    </row>
    <row r="383" spans="1:8">
      <c r="A383">
        <v>382</v>
      </c>
      <c r="B383" t="s">
        <v>5954</v>
      </c>
      <c r="D383">
        <v>127</v>
      </c>
      <c r="E383" t="s">
        <v>3851</v>
      </c>
      <c r="F383">
        <v>42.81</v>
      </c>
      <c r="G383" s="3218">
        <v>19.011074696194115</v>
      </c>
      <c r="H383" s="3218">
        <f t="shared" si="5"/>
        <v>19.010000000000002</v>
      </c>
    </row>
    <row r="384" spans="1:8">
      <c r="A384">
        <v>383</v>
      </c>
      <c r="B384" t="s">
        <v>5954</v>
      </c>
      <c r="D384">
        <v>202</v>
      </c>
      <c r="E384" t="s">
        <v>3851</v>
      </c>
      <c r="F384">
        <v>19.829999999999998</v>
      </c>
      <c r="G384" s="3218">
        <v>8.8061109840114291</v>
      </c>
      <c r="H384" s="3218">
        <f t="shared" si="5"/>
        <v>8.81</v>
      </c>
    </row>
    <row r="385" spans="1:8">
      <c r="A385">
        <v>384</v>
      </c>
      <c r="B385" t="s">
        <v>5954</v>
      </c>
      <c r="D385">
        <v>203</v>
      </c>
      <c r="E385" t="s">
        <v>3851</v>
      </c>
      <c r="F385">
        <v>19.829999999999998</v>
      </c>
      <c r="G385" s="3218">
        <v>8.8061109840114291</v>
      </c>
      <c r="H385" s="3218">
        <f t="shared" si="5"/>
        <v>8.81</v>
      </c>
    </row>
    <row r="386" spans="1:8">
      <c r="A386">
        <v>385</v>
      </c>
      <c r="B386" t="s">
        <v>5954</v>
      </c>
      <c r="D386">
        <v>204</v>
      </c>
      <c r="E386" t="s">
        <v>3851</v>
      </c>
      <c r="F386">
        <v>19.829999999999998</v>
      </c>
      <c r="G386" s="3218">
        <v>8.8061109840114291</v>
      </c>
      <c r="H386" s="3218">
        <f t="shared" si="5"/>
        <v>8.81</v>
      </c>
    </row>
    <row r="387" spans="1:8">
      <c r="A387">
        <v>386</v>
      </c>
      <c r="B387" t="s">
        <v>5954</v>
      </c>
      <c r="D387">
        <v>205</v>
      </c>
      <c r="E387" t="s">
        <v>3851</v>
      </c>
      <c r="F387">
        <v>19.829999999999998</v>
      </c>
      <c r="G387" s="3218">
        <v>8.8061109840114291</v>
      </c>
      <c r="H387" s="3218">
        <f t="shared" ref="H387:H434" si="6">ROUND(G387,2)</f>
        <v>8.81</v>
      </c>
    </row>
    <row r="388" spans="1:8">
      <c r="A388">
        <v>387</v>
      </c>
      <c r="B388" t="s">
        <v>5954</v>
      </c>
      <c r="D388">
        <v>206</v>
      </c>
      <c r="E388" t="s">
        <v>3851</v>
      </c>
      <c r="F388">
        <v>19.829999999999998</v>
      </c>
      <c r="G388" s="3218">
        <v>8.8061109840114291</v>
      </c>
      <c r="H388" s="3218">
        <f t="shared" si="6"/>
        <v>8.81</v>
      </c>
    </row>
    <row r="389" spans="1:8">
      <c r="A389">
        <v>388</v>
      </c>
      <c r="B389" t="s">
        <v>5954</v>
      </c>
      <c r="D389">
        <v>207</v>
      </c>
      <c r="E389" t="s">
        <v>3851</v>
      </c>
      <c r="F389">
        <v>23.63</v>
      </c>
      <c r="G389" s="3218">
        <v>10.493615862440246</v>
      </c>
      <c r="H389" s="3218">
        <f t="shared" si="6"/>
        <v>10.49</v>
      </c>
    </row>
    <row r="390" spans="1:8">
      <c r="A390">
        <v>389</v>
      </c>
      <c r="B390" t="s">
        <v>5955</v>
      </c>
      <c r="D390">
        <v>101</v>
      </c>
      <c r="E390" t="s">
        <v>3851</v>
      </c>
      <c r="F390">
        <v>24.3</v>
      </c>
      <c r="G390" s="3218">
        <v>10.791149617321116</v>
      </c>
      <c r="H390" s="3218">
        <f t="shared" si="6"/>
        <v>10.79</v>
      </c>
    </row>
    <row r="391" spans="1:8">
      <c r="A391">
        <v>390</v>
      </c>
      <c r="B391" t="s">
        <v>5955</v>
      </c>
      <c r="D391">
        <v>102</v>
      </c>
      <c r="E391" t="s">
        <v>3851</v>
      </c>
      <c r="F391">
        <v>30.33</v>
      </c>
      <c r="G391" s="3218">
        <v>13.468953411248947</v>
      </c>
      <c r="H391" s="3218">
        <f t="shared" si="6"/>
        <v>13.47</v>
      </c>
    </row>
    <row r="392" spans="1:8">
      <c r="A392">
        <v>391</v>
      </c>
      <c r="B392" t="s">
        <v>5955</v>
      </c>
      <c r="D392">
        <v>103</v>
      </c>
      <c r="E392" t="s">
        <v>3851</v>
      </c>
      <c r="F392">
        <v>56.23</v>
      </c>
      <c r="G392" s="3218">
        <v>24.970631398434826</v>
      </c>
      <c r="H392" s="3218">
        <f t="shared" si="6"/>
        <v>24.97</v>
      </c>
    </row>
    <row r="393" spans="1:8">
      <c r="A393">
        <v>392</v>
      </c>
      <c r="B393" t="s">
        <v>5955</v>
      </c>
      <c r="D393">
        <v>104</v>
      </c>
      <c r="E393" t="s">
        <v>3851</v>
      </c>
      <c r="F393">
        <v>61.8</v>
      </c>
      <c r="G393" s="3218">
        <v>27.444158286026539</v>
      </c>
      <c r="H393" s="3218">
        <f t="shared" si="6"/>
        <v>27.44</v>
      </c>
    </row>
    <row r="394" spans="1:8">
      <c r="A394">
        <v>393</v>
      </c>
      <c r="B394" t="s">
        <v>5955</v>
      </c>
      <c r="D394">
        <v>105</v>
      </c>
      <c r="E394" t="s">
        <v>3851</v>
      </c>
      <c r="F394">
        <v>33.21</v>
      </c>
      <c r="G394" s="3218">
        <v>14.747904477005525</v>
      </c>
      <c r="H394" s="3218">
        <f t="shared" si="6"/>
        <v>14.75</v>
      </c>
    </row>
    <row r="395" spans="1:8">
      <c r="A395">
        <v>394</v>
      </c>
      <c r="B395" t="s">
        <v>5955</v>
      </c>
      <c r="D395">
        <v>106</v>
      </c>
      <c r="E395" t="s">
        <v>3851</v>
      </c>
      <c r="F395">
        <v>33.21</v>
      </c>
      <c r="G395" s="3218">
        <v>14.747904477005525</v>
      </c>
      <c r="H395" s="3218">
        <f t="shared" si="6"/>
        <v>14.75</v>
      </c>
    </row>
    <row r="396" spans="1:8">
      <c r="A396">
        <v>395</v>
      </c>
      <c r="B396" t="s">
        <v>5955</v>
      </c>
      <c r="D396">
        <v>107</v>
      </c>
      <c r="E396" t="s">
        <v>3851</v>
      </c>
      <c r="F396">
        <v>61.52</v>
      </c>
      <c r="G396" s="3218">
        <v>27.31981582130021</v>
      </c>
      <c r="H396" s="3218">
        <f t="shared" si="6"/>
        <v>27.32</v>
      </c>
    </row>
    <row r="397" spans="1:8">
      <c r="A397">
        <v>396</v>
      </c>
      <c r="B397" t="s">
        <v>5955</v>
      </c>
      <c r="D397">
        <v>108</v>
      </c>
      <c r="E397" t="s">
        <v>3851</v>
      </c>
      <c r="F397">
        <v>46.65</v>
      </c>
      <c r="G397" s="3218">
        <v>20.71634278386955</v>
      </c>
      <c r="H397" s="3218">
        <f t="shared" si="6"/>
        <v>20.72</v>
      </c>
    </row>
    <row r="398" spans="1:8">
      <c r="A398">
        <v>397</v>
      </c>
      <c r="B398" t="s">
        <v>5955</v>
      </c>
      <c r="D398">
        <v>109</v>
      </c>
      <c r="E398" t="s">
        <v>3851</v>
      </c>
      <c r="F398">
        <v>46.65</v>
      </c>
      <c r="G398" s="3218">
        <v>20.71634278386955</v>
      </c>
      <c r="H398" s="3218">
        <f t="shared" si="6"/>
        <v>20.72</v>
      </c>
    </row>
    <row r="399" spans="1:8">
      <c r="A399">
        <v>398</v>
      </c>
      <c r="B399" t="s">
        <v>5955</v>
      </c>
      <c r="D399">
        <v>110</v>
      </c>
      <c r="E399" t="s">
        <v>3851</v>
      </c>
      <c r="F399">
        <v>61.52</v>
      </c>
      <c r="G399" s="3218">
        <v>27.31981582130021</v>
      </c>
      <c r="H399" s="3218">
        <f t="shared" si="6"/>
        <v>27.32</v>
      </c>
    </row>
    <row r="400" spans="1:8">
      <c r="A400">
        <v>399</v>
      </c>
      <c r="B400" t="s">
        <v>5955</v>
      </c>
      <c r="D400">
        <v>111</v>
      </c>
      <c r="E400" t="s">
        <v>3851</v>
      </c>
      <c r="F400">
        <v>33.21</v>
      </c>
      <c r="G400" s="3218">
        <v>14.747904477005525</v>
      </c>
      <c r="H400" s="3218">
        <f t="shared" si="6"/>
        <v>14.75</v>
      </c>
    </row>
    <row r="401" spans="1:8">
      <c r="A401">
        <v>400</v>
      </c>
      <c r="B401" t="s">
        <v>5955</v>
      </c>
      <c r="D401">
        <v>112</v>
      </c>
      <c r="E401" t="s">
        <v>3851</v>
      </c>
      <c r="F401">
        <v>33.21</v>
      </c>
      <c r="G401" s="3218">
        <v>14.747904477005525</v>
      </c>
      <c r="H401" s="3218">
        <f t="shared" si="6"/>
        <v>14.75</v>
      </c>
    </row>
    <row r="402" spans="1:8">
      <c r="A402">
        <v>401</v>
      </c>
      <c r="B402" t="s">
        <v>5955</v>
      </c>
      <c r="D402">
        <v>113</v>
      </c>
      <c r="E402" t="s">
        <v>3851</v>
      </c>
      <c r="F402">
        <v>61.52</v>
      </c>
      <c r="G402" s="3218">
        <v>27.31981582130021</v>
      </c>
      <c r="H402" s="3218">
        <f t="shared" si="6"/>
        <v>27.32</v>
      </c>
    </row>
    <row r="403" spans="1:8">
      <c r="A403">
        <v>402</v>
      </c>
      <c r="B403" t="s">
        <v>5955</v>
      </c>
      <c r="D403">
        <v>114</v>
      </c>
      <c r="E403" t="s">
        <v>3851</v>
      </c>
      <c r="F403">
        <v>46.32</v>
      </c>
      <c r="G403" s="3218">
        <v>20.569796307584941</v>
      </c>
      <c r="H403" s="3218">
        <f t="shared" si="6"/>
        <v>20.57</v>
      </c>
    </row>
    <row r="404" spans="1:8">
      <c r="A404">
        <v>403</v>
      </c>
      <c r="B404" t="s">
        <v>5955</v>
      </c>
      <c r="D404">
        <v>124</v>
      </c>
      <c r="E404" t="s">
        <v>3851</v>
      </c>
      <c r="F404">
        <v>32.770000000000003</v>
      </c>
      <c r="G404" s="3218">
        <v>14.552509175292716</v>
      </c>
      <c r="H404" s="3218">
        <f t="shared" si="6"/>
        <v>14.55</v>
      </c>
    </row>
    <row r="405" spans="1:8">
      <c r="A405">
        <v>404</v>
      </c>
      <c r="B405" t="s">
        <v>5955</v>
      </c>
      <c r="D405">
        <v>125</v>
      </c>
      <c r="E405" t="s">
        <v>3851</v>
      </c>
      <c r="F405">
        <v>21.44</v>
      </c>
      <c r="G405" s="3218">
        <v>9.5210801561878498</v>
      </c>
      <c r="H405" s="3218">
        <f t="shared" si="6"/>
        <v>9.52</v>
      </c>
    </row>
    <row r="406" spans="1:8">
      <c r="A406">
        <v>405</v>
      </c>
      <c r="B406" t="s">
        <v>5955</v>
      </c>
      <c r="D406">
        <v>126</v>
      </c>
      <c r="E406" t="s">
        <v>3851</v>
      </c>
      <c r="F406">
        <v>42.48</v>
      </c>
      <c r="G406" s="3218">
        <v>18.864528219909506</v>
      </c>
      <c r="H406" s="3218">
        <f t="shared" si="6"/>
        <v>18.86</v>
      </c>
    </row>
    <row r="407" spans="1:8">
      <c r="A407">
        <v>406</v>
      </c>
      <c r="B407" t="s">
        <v>5955</v>
      </c>
      <c r="D407">
        <v>201</v>
      </c>
      <c r="E407" t="s">
        <v>3851</v>
      </c>
      <c r="F407">
        <v>22.34</v>
      </c>
      <c r="G407" s="3218">
        <v>9.9207523642367779</v>
      </c>
      <c r="H407" s="3218">
        <f t="shared" si="6"/>
        <v>9.92</v>
      </c>
    </row>
    <row r="408" spans="1:8">
      <c r="A408">
        <v>407</v>
      </c>
      <c r="B408" t="s">
        <v>5955</v>
      </c>
      <c r="D408">
        <v>202</v>
      </c>
      <c r="E408" t="s">
        <v>3851</v>
      </c>
      <c r="F408">
        <v>22.59</v>
      </c>
      <c r="G408" s="3218">
        <v>10.031772422028148</v>
      </c>
      <c r="H408" s="3218">
        <f t="shared" si="6"/>
        <v>10.029999999999999</v>
      </c>
    </row>
    <row r="409" spans="1:8">
      <c r="A409">
        <v>408</v>
      </c>
      <c r="B409" t="s">
        <v>5955</v>
      </c>
      <c r="D409">
        <v>203</v>
      </c>
      <c r="E409" t="s">
        <v>3851</v>
      </c>
      <c r="F409">
        <v>22.59</v>
      </c>
      <c r="G409" s="3218">
        <v>10.031772422028148</v>
      </c>
      <c r="H409" s="3218">
        <f t="shared" si="6"/>
        <v>10.029999999999999</v>
      </c>
    </row>
    <row r="410" spans="1:8">
      <c r="A410">
        <v>409</v>
      </c>
      <c r="B410" t="s">
        <v>5955</v>
      </c>
      <c r="D410">
        <v>207</v>
      </c>
      <c r="E410" t="s">
        <v>3851</v>
      </c>
      <c r="F410">
        <v>24.1</v>
      </c>
      <c r="G410" s="3218">
        <v>10.702333571088021</v>
      </c>
      <c r="H410" s="3218">
        <f t="shared" si="6"/>
        <v>10.7</v>
      </c>
    </row>
    <row r="411" spans="1:8">
      <c r="A411">
        <v>410</v>
      </c>
      <c r="B411" t="s">
        <v>5955</v>
      </c>
      <c r="D411">
        <v>208</v>
      </c>
      <c r="E411" t="s">
        <v>3851</v>
      </c>
      <c r="F411">
        <v>30.67</v>
      </c>
      <c r="G411" s="3218">
        <v>13.619940689845212</v>
      </c>
      <c r="H411" s="3218">
        <f t="shared" si="6"/>
        <v>13.62</v>
      </c>
    </row>
    <row r="412" spans="1:8">
      <c r="A412">
        <v>411</v>
      </c>
      <c r="B412" t="s">
        <v>5955</v>
      </c>
      <c r="D412">
        <v>209</v>
      </c>
      <c r="E412" t="s">
        <v>3851</v>
      </c>
      <c r="F412">
        <v>27.09</v>
      </c>
      <c r="G412" s="3218">
        <v>12.030133462272799</v>
      </c>
      <c r="H412" s="3218">
        <f t="shared" si="6"/>
        <v>12.03</v>
      </c>
    </row>
    <row r="413" spans="1:8">
      <c r="A413">
        <v>412</v>
      </c>
      <c r="B413" t="s">
        <v>5955</v>
      </c>
      <c r="D413">
        <v>213</v>
      </c>
      <c r="E413" t="s">
        <v>3851</v>
      </c>
      <c r="F413">
        <v>16.12</v>
      </c>
      <c r="G413" s="3218">
        <v>7.158573326387506</v>
      </c>
      <c r="H413" s="3218">
        <f t="shared" si="6"/>
        <v>7.16</v>
      </c>
    </row>
    <row r="414" spans="1:8">
      <c r="A414">
        <v>413</v>
      </c>
      <c r="B414" t="s">
        <v>5955</v>
      </c>
      <c r="D414">
        <v>216</v>
      </c>
      <c r="E414" t="s">
        <v>3851</v>
      </c>
      <c r="F414">
        <v>22.59</v>
      </c>
      <c r="G414" s="3218">
        <v>10.031772422028148</v>
      </c>
      <c r="H414" s="3218">
        <f t="shared" si="6"/>
        <v>10.029999999999999</v>
      </c>
    </row>
    <row r="415" spans="1:8">
      <c r="A415">
        <v>414</v>
      </c>
      <c r="B415" t="s">
        <v>5956</v>
      </c>
      <c r="D415">
        <v>101</v>
      </c>
      <c r="E415" t="s">
        <v>3851</v>
      </c>
      <c r="F415">
        <v>24.49</v>
      </c>
      <c r="G415" s="3218">
        <v>10.875524861242555</v>
      </c>
      <c r="H415" s="3218">
        <f t="shared" si="6"/>
        <v>10.88</v>
      </c>
    </row>
    <row r="416" spans="1:8">
      <c r="A416">
        <v>415</v>
      </c>
      <c r="B416" t="s">
        <v>5956</v>
      </c>
      <c r="D416">
        <v>102</v>
      </c>
      <c r="E416" t="s">
        <v>3851</v>
      </c>
      <c r="F416">
        <v>30.56</v>
      </c>
      <c r="G416" s="3218">
        <v>13.571091864417008</v>
      </c>
      <c r="H416" s="3218">
        <f t="shared" si="6"/>
        <v>13.57</v>
      </c>
    </row>
    <row r="417" spans="1:8">
      <c r="A417">
        <v>416</v>
      </c>
      <c r="B417" t="s">
        <v>5956</v>
      </c>
      <c r="D417">
        <v>103</v>
      </c>
      <c r="E417" t="s">
        <v>3851</v>
      </c>
      <c r="F417">
        <v>56.66</v>
      </c>
      <c r="G417" s="3218">
        <v>25.161585897835984</v>
      </c>
      <c r="H417" s="3218">
        <f t="shared" si="6"/>
        <v>25.16</v>
      </c>
    </row>
    <row r="418" spans="1:8">
      <c r="A418">
        <v>417</v>
      </c>
      <c r="B418" t="s">
        <v>5956</v>
      </c>
      <c r="D418">
        <v>104</v>
      </c>
      <c r="E418" t="s">
        <v>3851</v>
      </c>
      <c r="F418">
        <v>62.27</v>
      </c>
      <c r="G418" s="3218">
        <v>27.652875994674318</v>
      </c>
      <c r="H418" s="3218">
        <f t="shared" si="6"/>
        <v>27.65</v>
      </c>
    </row>
    <row r="419" spans="1:8">
      <c r="A419">
        <v>418</v>
      </c>
      <c r="B419" t="s">
        <v>5956</v>
      </c>
      <c r="D419">
        <v>105</v>
      </c>
      <c r="E419" t="s">
        <v>3851</v>
      </c>
      <c r="F419">
        <v>33.46</v>
      </c>
      <c r="G419" s="3218">
        <v>14.858924534796895</v>
      </c>
      <c r="H419" s="3218">
        <f t="shared" si="6"/>
        <v>14.86</v>
      </c>
    </row>
    <row r="420" spans="1:8">
      <c r="A420">
        <v>419</v>
      </c>
      <c r="B420" t="s">
        <v>5956</v>
      </c>
      <c r="D420">
        <v>115</v>
      </c>
      <c r="E420" t="s">
        <v>3851</v>
      </c>
      <c r="F420">
        <v>46.67</v>
      </c>
      <c r="G420" s="3218">
        <v>20.725224388492858</v>
      </c>
      <c r="H420" s="3218">
        <f t="shared" si="6"/>
        <v>20.73</v>
      </c>
    </row>
    <row r="421" spans="1:8">
      <c r="A421">
        <v>420</v>
      </c>
      <c r="B421" t="s">
        <v>5956</v>
      </c>
      <c r="D421">
        <v>116</v>
      </c>
      <c r="E421" t="s">
        <v>3851</v>
      </c>
      <c r="F421">
        <v>61.99</v>
      </c>
      <c r="G421" s="3218">
        <v>27.528533529947982</v>
      </c>
      <c r="H421" s="3218">
        <f t="shared" si="6"/>
        <v>27.53</v>
      </c>
    </row>
    <row r="422" spans="1:8">
      <c r="A422">
        <v>421</v>
      </c>
      <c r="B422" t="s">
        <v>5956</v>
      </c>
      <c r="D422">
        <v>117</v>
      </c>
      <c r="E422" t="s">
        <v>3851</v>
      </c>
      <c r="F422">
        <v>33.46</v>
      </c>
      <c r="G422" s="3218">
        <v>14.858924534796895</v>
      </c>
      <c r="H422" s="3218">
        <f t="shared" si="6"/>
        <v>14.86</v>
      </c>
    </row>
    <row r="423" spans="1:8">
      <c r="A423">
        <v>422</v>
      </c>
      <c r="B423" t="s">
        <v>5956</v>
      </c>
      <c r="D423">
        <v>118</v>
      </c>
      <c r="E423" t="s">
        <v>3851</v>
      </c>
      <c r="F423">
        <v>33.46</v>
      </c>
      <c r="G423" s="3218">
        <v>14.858924534796895</v>
      </c>
      <c r="H423" s="3218">
        <f t="shared" si="6"/>
        <v>14.86</v>
      </c>
    </row>
    <row r="424" spans="1:8">
      <c r="A424">
        <v>423</v>
      </c>
      <c r="B424" t="s">
        <v>5956</v>
      </c>
      <c r="D424">
        <v>119</v>
      </c>
      <c r="E424" t="s">
        <v>3851</v>
      </c>
      <c r="F424">
        <v>62.27</v>
      </c>
      <c r="G424" s="3218">
        <v>27.652875994674318</v>
      </c>
      <c r="H424" s="3218">
        <f t="shared" si="6"/>
        <v>27.65</v>
      </c>
    </row>
    <row r="425" spans="1:8">
      <c r="A425">
        <v>424</v>
      </c>
      <c r="B425" t="s">
        <v>5956</v>
      </c>
      <c r="D425">
        <v>120</v>
      </c>
      <c r="E425" t="s">
        <v>3851</v>
      </c>
      <c r="F425">
        <v>56.66</v>
      </c>
      <c r="G425" s="3218">
        <v>25.161585897835984</v>
      </c>
      <c r="H425" s="3218">
        <f t="shared" si="6"/>
        <v>25.16</v>
      </c>
    </row>
    <row r="426" spans="1:8">
      <c r="A426">
        <v>425</v>
      </c>
      <c r="B426" t="s">
        <v>5956</v>
      </c>
      <c r="D426">
        <v>121</v>
      </c>
      <c r="E426" t="s">
        <v>3851</v>
      </c>
      <c r="F426">
        <v>30.56</v>
      </c>
      <c r="G426" s="3218">
        <v>13.571091864417008</v>
      </c>
      <c r="H426" s="3218">
        <f t="shared" si="6"/>
        <v>13.57</v>
      </c>
    </row>
    <row r="427" spans="1:8">
      <c r="A427">
        <v>426</v>
      </c>
      <c r="B427" t="s">
        <v>5956</v>
      </c>
      <c r="D427">
        <v>122</v>
      </c>
      <c r="E427" t="s">
        <v>3851</v>
      </c>
      <c r="F427">
        <v>24.49</v>
      </c>
      <c r="G427" s="3218">
        <v>10.875524861242555</v>
      </c>
      <c r="H427" s="3218">
        <f t="shared" si="6"/>
        <v>10.88</v>
      </c>
    </row>
    <row r="428" spans="1:8">
      <c r="A428">
        <v>427</v>
      </c>
      <c r="B428" t="s">
        <v>5956</v>
      </c>
      <c r="D428">
        <v>126</v>
      </c>
      <c r="E428" t="s">
        <v>3851</v>
      </c>
      <c r="F428">
        <v>42.81</v>
      </c>
      <c r="G428" s="3218">
        <v>19.011074696194115</v>
      </c>
      <c r="H428" s="3218">
        <f t="shared" si="6"/>
        <v>19.010000000000002</v>
      </c>
    </row>
    <row r="429" spans="1:8">
      <c r="A429">
        <v>428</v>
      </c>
      <c r="B429" t="s">
        <v>5956</v>
      </c>
      <c r="D429">
        <v>201</v>
      </c>
      <c r="E429" t="s">
        <v>3851</v>
      </c>
      <c r="F429">
        <v>22.51</v>
      </c>
      <c r="G429" s="3218">
        <v>9.9962460035349103</v>
      </c>
      <c r="H429" s="3218">
        <f t="shared" si="6"/>
        <v>10</v>
      </c>
    </row>
    <row r="430" spans="1:8">
      <c r="A430">
        <v>429</v>
      </c>
      <c r="B430" t="s">
        <v>5956</v>
      </c>
      <c r="D430">
        <v>202</v>
      </c>
      <c r="E430" t="s">
        <v>3851</v>
      </c>
      <c r="F430">
        <v>25.39</v>
      </c>
      <c r="G430" s="3218">
        <v>11.275197069291487</v>
      </c>
      <c r="H430" s="3218">
        <f t="shared" si="6"/>
        <v>11.28</v>
      </c>
    </row>
    <row r="431" spans="1:8">
      <c r="A431">
        <v>430</v>
      </c>
      <c r="B431" t="s">
        <v>5956</v>
      </c>
      <c r="D431">
        <v>203</v>
      </c>
      <c r="E431" t="s">
        <v>3851</v>
      </c>
      <c r="F431">
        <v>26.12</v>
      </c>
      <c r="G431" s="3218">
        <v>11.599375638042286</v>
      </c>
      <c r="H431" s="3218">
        <f t="shared" si="6"/>
        <v>11.6</v>
      </c>
    </row>
    <row r="432" spans="1:8">
      <c r="A432">
        <v>431</v>
      </c>
      <c r="B432" t="s">
        <v>5956</v>
      </c>
      <c r="D432">
        <v>204</v>
      </c>
      <c r="E432" t="s">
        <v>3851</v>
      </c>
      <c r="F432">
        <v>24.28</v>
      </c>
      <c r="G432" s="3218">
        <v>10.782268012697807</v>
      </c>
      <c r="H432" s="3218">
        <f t="shared" si="6"/>
        <v>10.78</v>
      </c>
    </row>
    <row r="433" spans="1:8">
      <c r="A433">
        <v>432</v>
      </c>
      <c r="B433" t="s">
        <v>5956</v>
      </c>
      <c r="D433">
        <v>208</v>
      </c>
      <c r="E433" t="s">
        <v>3851</v>
      </c>
      <c r="F433">
        <v>21.5</v>
      </c>
      <c r="G433" s="3218">
        <v>9.5477249700577769</v>
      </c>
      <c r="H433" s="3218">
        <f t="shared" si="6"/>
        <v>9.5500000000000007</v>
      </c>
    </row>
    <row r="434" spans="1:8">
      <c r="A434">
        <v>433</v>
      </c>
      <c r="B434" t="s">
        <v>5956</v>
      </c>
      <c r="D434">
        <v>209</v>
      </c>
      <c r="E434" t="s">
        <v>3851</v>
      </c>
      <c r="F434">
        <v>22.76</v>
      </c>
      <c r="G434" s="3218">
        <v>10.10726606132628</v>
      </c>
      <c r="H434" s="3218">
        <f t="shared" si="6"/>
        <v>10.11</v>
      </c>
    </row>
    <row r="435" spans="1:8">
      <c r="F435">
        <f>SUM(F2:F434)</f>
        <v>15395.17</v>
      </c>
      <c r="G435" s="3218">
        <f>ROUND(SUM(G2:G434),2)</f>
        <v>6836.69</v>
      </c>
      <c r="H435" s="3218">
        <f>SUM(H2:H434)</f>
        <v>6836.8000000000011</v>
      </c>
    </row>
  </sheetData>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429"/>
  <sheetViews>
    <sheetView topLeftCell="A411" workbookViewId="0">
      <selection activeCell="M434" sqref="M434"/>
    </sheetView>
  </sheetViews>
  <sheetFormatPr defaultRowHeight="13.5"/>
  <cols>
    <col min="1" max="1" width="5.5" bestFit="1" customWidth="1"/>
    <col min="3" max="4" width="7.125" bestFit="1" customWidth="1"/>
    <col min="7" max="7" width="13.875" style="3212" bestFit="1" customWidth="1"/>
  </cols>
  <sheetData>
    <row r="1" spans="1:8" ht="27">
      <c r="A1" s="3219" t="s">
        <v>3433</v>
      </c>
      <c r="B1" s="3220" t="s">
        <v>3434</v>
      </c>
      <c r="C1" s="3220" t="s">
        <v>3438</v>
      </c>
      <c r="D1" s="3220" t="s">
        <v>5927</v>
      </c>
      <c r="E1" s="3220" t="s">
        <v>5928</v>
      </c>
      <c r="F1" s="3220" t="s">
        <v>3440</v>
      </c>
      <c r="G1" s="3225" t="s">
        <v>5929</v>
      </c>
    </row>
    <row r="2" spans="1:8">
      <c r="A2">
        <v>1</v>
      </c>
      <c r="B2" t="s">
        <v>5958</v>
      </c>
      <c r="D2">
        <v>1001</v>
      </c>
      <c r="E2" t="s">
        <v>4786</v>
      </c>
      <c r="F2">
        <v>35.9</v>
      </c>
      <c r="G2" s="3212">
        <v>15.94248029884066</v>
      </c>
      <c r="H2" s="3218">
        <f t="shared" ref="H2:H65" si="0">ROUND(G2,2)</f>
        <v>15.94</v>
      </c>
    </row>
    <row r="3" spans="1:8">
      <c r="A3">
        <v>2</v>
      </c>
      <c r="B3" t="s">
        <v>5958</v>
      </c>
      <c r="D3">
        <v>1002</v>
      </c>
      <c r="E3" t="s">
        <v>4786</v>
      </c>
      <c r="F3">
        <v>35.9</v>
      </c>
      <c r="G3" s="3212">
        <v>15.94248029884066</v>
      </c>
      <c r="H3" s="3218">
        <f t="shared" si="0"/>
        <v>15.94</v>
      </c>
    </row>
    <row r="4" spans="1:8">
      <c r="A4">
        <v>3</v>
      </c>
      <c r="B4" t="s">
        <v>5958</v>
      </c>
      <c r="D4">
        <v>1003</v>
      </c>
      <c r="E4" t="s">
        <v>4786</v>
      </c>
      <c r="F4">
        <v>35.9</v>
      </c>
      <c r="G4" s="3212">
        <v>15.94248029884066</v>
      </c>
      <c r="H4" s="3218">
        <f t="shared" si="0"/>
        <v>15.94</v>
      </c>
    </row>
    <row r="5" spans="1:8">
      <c r="A5">
        <v>4</v>
      </c>
      <c r="B5" t="s">
        <v>5958</v>
      </c>
      <c r="D5">
        <v>1004</v>
      </c>
      <c r="E5" t="s">
        <v>4786</v>
      </c>
      <c r="F5">
        <v>35.9</v>
      </c>
      <c r="G5" s="3212">
        <v>15.94248029884066</v>
      </c>
      <c r="H5" s="3218">
        <f t="shared" si="0"/>
        <v>15.94</v>
      </c>
    </row>
    <row r="6" spans="1:8">
      <c r="A6">
        <v>5</v>
      </c>
      <c r="B6" t="s">
        <v>5958</v>
      </c>
      <c r="D6">
        <v>1005</v>
      </c>
      <c r="E6" t="s">
        <v>4786</v>
      </c>
      <c r="F6">
        <v>37.39</v>
      </c>
      <c r="G6" s="3212">
        <v>16.604159843277223</v>
      </c>
      <c r="H6" s="3218">
        <f t="shared" si="0"/>
        <v>16.600000000000001</v>
      </c>
    </row>
    <row r="7" spans="1:8">
      <c r="A7">
        <v>6</v>
      </c>
      <c r="B7" t="s">
        <v>5958</v>
      </c>
      <c r="D7">
        <v>1006</v>
      </c>
      <c r="E7" t="s">
        <v>4786</v>
      </c>
      <c r="F7">
        <v>37.39</v>
      </c>
      <c r="G7" s="3212">
        <v>16.604159843277223</v>
      </c>
      <c r="H7" s="3218">
        <f t="shared" si="0"/>
        <v>16.600000000000001</v>
      </c>
    </row>
    <row r="8" spans="1:8">
      <c r="A8">
        <v>7</v>
      </c>
      <c r="B8" t="s">
        <v>5958</v>
      </c>
      <c r="D8">
        <v>1007</v>
      </c>
      <c r="E8" t="s">
        <v>4786</v>
      </c>
      <c r="F8">
        <v>37.39</v>
      </c>
      <c r="G8" s="3212">
        <v>16.604159843277223</v>
      </c>
      <c r="H8" s="3218">
        <f t="shared" si="0"/>
        <v>16.600000000000001</v>
      </c>
    </row>
    <row r="9" spans="1:8">
      <c r="A9">
        <v>8</v>
      </c>
      <c r="B9" t="s">
        <v>5958</v>
      </c>
      <c r="D9">
        <v>1008</v>
      </c>
      <c r="E9" t="s">
        <v>4786</v>
      </c>
      <c r="F9">
        <v>37.39</v>
      </c>
      <c r="G9" s="3212">
        <v>16.604159843277223</v>
      </c>
      <c r="H9" s="3218">
        <f t="shared" si="0"/>
        <v>16.600000000000001</v>
      </c>
    </row>
    <row r="10" spans="1:8">
      <c r="A10">
        <v>9</v>
      </c>
      <c r="B10" t="s">
        <v>5958</v>
      </c>
      <c r="D10">
        <v>1009</v>
      </c>
      <c r="E10" t="s">
        <v>4786</v>
      </c>
      <c r="F10">
        <v>37.39</v>
      </c>
      <c r="G10" s="3212">
        <v>16.604159843277223</v>
      </c>
      <c r="H10" s="3218">
        <f t="shared" si="0"/>
        <v>16.600000000000001</v>
      </c>
    </row>
    <row r="11" spans="1:8">
      <c r="A11">
        <v>10</v>
      </c>
      <c r="B11" t="s">
        <v>5958</v>
      </c>
      <c r="D11">
        <v>1010</v>
      </c>
      <c r="E11" t="s">
        <v>4786</v>
      </c>
      <c r="F11">
        <v>37.39</v>
      </c>
      <c r="G11" s="3212">
        <v>16.604159843277223</v>
      </c>
      <c r="H11" s="3218">
        <f t="shared" si="0"/>
        <v>16.600000000000001</v>
      </c>
    </row>
    <row r="12" spans="1:8">
      <c r="A12">
        <v>11</v>
      </c>
      <c r="B12" t="s">
        <v>5958</v>
      </c>
      <c r="D12">
        <v>1011</v>
      </c>
      <c r="E12" t="s">
        <v>4786</v>
      </c>
      <c r="F12">
        <v>37.39</v>
      </c>
      <c r="G12" s="3212">
        <v>16.604159843277223</v>
      </c>
      <c r="H12" s="3218">
        <f t="shared" si="0"/>
        <v>16.600000000000001</v>
      </c>
    </row>
    <row r="13" spans="1:8">
      <c r="A13">
        <v>12</v>
      </c>
      <c r="B13" t="s">
        <v>5958</v>
      </c>
      <c r="D13">
        <v>1012</v>
      </c>
      <c r="E13" t="s">
        <v>4786</v>
      </c>
      <c r="F13">
        <v>37.39</v>
      </c>
      <c r="G13" s="3212">
        <v>16.604159843277223</v>
      </c>
      <c r="H13" s="3218">
        <f t="shared" si="0"/>
        <v>16.600000000000001</v>
      </c>
    </row>
    <row r="14" spans="1:8">
      <c r="A14">
        <v>13</v>
      </c>
      <c r="B14" t="s">
        <v>5958</v>
      </c>
      <c r="D14">
        <v>1013</v>
      </c>
      <c r="E14" t="s">
        <v>4786</v>
      </c>
      <c r="F14">
        <v>37.39</v>
      </c>
      <c r="G14" s="3212">
        <v>16.604159843277223</v>
      </c>
      <c r="H14" s="3218">
        <f t="shared" si="0"/>
        <v>16.600000000000001</v>
      </c>
    </row>
    <row r="15" spans="1:8">
      <c r="A15">
        <v>14</v>
      </c>
      <c r="B15" t="s">
        <v>5958</v>
      </c>
      <c r="D15">
        <v>1014</v>
      </c>
      <c r="E15" t="s">
        <v>4786</v>
      </c>
      <c r="F15">
        <v>35.9</v>
      </c>
      <c r="G15" s="3212">
        <v>15.94248029884066</v>
      </c>
      <c r="H15" s="3218">
        <f t="shared" si="0"/>
        <v>15.94</v>
      </c>
    </row>
    <row r="16" spans="1:8">
      <c r="A16">
        <v>15</v>
      </c>
      <c r="B16" t="s">
        <v>5958</v>
      </c>
      <c r="D16">
        <v>1015</v>
      </c>
      <c r="E16" t="s">
        <v>4786</v>
      </c>
      <c r="F16">
        <v>35.9</v>
      </c>
      <c r="G16" s="3212">
        <v>15.94248029884066</v>
      </c>
      <c r="H16" s="3218">
        <f t="shared" si="0"/>
        <v>15.94</v>
      </c>
    </row>
    <row r="17" spans="1:8">
      <c r="A17">
        <v>16</v>
      </c>
      <c r="B17" t="s">
        <v>5958</v>
      </c>
      <c r="D17">
        <v>1016</v>
      </c>
      <c r="E17" t="s">
        <v>4786</v>
      </c>
      <c r="F17">
        <v>35.9</v>
      </c>
      <c r="G17" s="3212">
        <v>15.94248029884066</v>
      </c>
      <c r="H17" s="3218">
        <f t="shared" si="0"/>
        <v>15.94</v>
      </c>
    </row>
    <row r="18" spans="1:8">
      <c r="A18">
        <v>17</v>
      </c>
      <c r="B18" t="s">
        <v>5958</v>
      </c>
      <c r="D18">
        <v>1017</v>
      </c>
      <c r="E18" t="s">
        <v>4786</v>
      </c>
      <c r="F18">
        <v>35.9</v>
      </c>
      <c r="G18" s="3212">
        <v>15.94248029884066</v>
      </c>
      <c r="H18" s="3218">
        <f t="shared" si="0"/>
        <v>15.94</v>
      </c>
    </row>
    <row r="19" spans="1:8">
      <c r="A19">
        <v>18</v>
      </c>
      <c r="B19" t="s">
        <v>5958</v>
      </c>
      <c r="D19">
        <v>1018</v>
      </c>
      <c r="E19" t="s">
        <v>4786</v>
      </c>
      <c r="F19">
        <v>37.39</v>
      </c>
      <c r="G19" s="3212">
        <v>16.604159843277223</v>
      </c>
      <c r="H19" s="3218">
        <f t="shared" si="0"/>
        <v>16.600000000000001</v>
      </c>
    </row>
    <row r="20" spans="1:8">
      <c r="A20">
        <v>19</v>
      </c>
      <c r="B20" t="s">
        <v>5958</v>
      </c>
      <c r="D20">
        <v>1019</v>
      </c>
      <c r="E20" t="s">
        <v>4786</v>
      </c>
      <c r="F20">
        <v>37.39</v>
      </c>
      <c r="G20" s="3212">
        <v>16.604159843277223</v>
      </c>
      <c r="H20" s="3218">
        <f t="shared" si="0"/>
        <v>16.600000000000001</v>
      </c>
    </row>
    <row r="21" spans="1:8">
      <c r="A21">
        <v>20</v>
      </c>
      <c r="B21" t="s">
        <v>5958</v>
      </c>
      <c r="D21">
        <v>1020</v>
      </c>
      <c r="E21" t="s">
        <v>4786</v>
      </c>
      <c r="F21">
        <v>55.34</v>
      </c>
      <c r="G21" s="3212">
        <v>24.575399992697555</v>
      </c>
      <c r="H21" s="3218">
        <f t="shared" si="0"/>
        <v>24.58</v>
      </c>
    </row>
    <row r="22" spans="1:8">
      <c r="A22">
        <v>21</v>
      </c>
      <c r="B22" t="s">
        <v>5958</v>
      </c>
      <c r="D22">
        <v>1021</v>
      </c>
      <c r="E22" t="s">
        <v>4786</v>
      </c>
      <c r="F22">
        <v>35.9</v>
      </c>
      <c r="G22" s="3212">
        <v>15.94248029884066</v>
      </c>
      <c r="H22" s="3218">
        <f t="shared" si="0"/>
        <v>15.94</v>
      </c>
    </row>
    <row r="23" spans="1:8">
      <c r="A23">
        <v>22</v>
      </c>
      <c r="B23" t="s">
        <v>5958</v>
      </c>
      <c r="D23">
        <v>1022</v>
      </c>
      <c r="E23" t="s">
        <v>4786</v>
      </c>
      <c r="F23">
        <v>35.9</v>
      </c>
      <c r="G23" s="3212">
        <v>15.94248029884066</v>
      </c>
      <c r="H23" s="3218">
        <f t="shared" si="0"/>
        <v>15.94</v>
      </c>
    </row>
    <row r="24" spans="1:8">
      <c r="A24">
        <v>23</v>
      </c>
      <c r="B24" t="s">
        <v>5958</v>
      </c>
      <c r="D24">
        <v>1023</v>
      </c>
      <c r="E24" t="s">
        <v>4786</v>
      </c>
      <c r="F24">
        <v>37.39</v>
      </c>
      <c r="G24" s="3212">
        <v>16.604159843277223</v>
      </c>
      <c r="H24" s="3218">
        <f t="shared" si="0"/>
        <v>16.600000000000001</v>
      </c>
    </row>
    <row r="25" spans="1:8">
      <c r="A25">
        <v>24</v>
      </c>
      <c r="B25" t="s">
        <v>5958</v>
      </c>
      <c r="D25">
        <v>1024</v>
      </c>
      <c r="E25" t="s">
        <v>4786</v>
      </c>
      <c r="F25">
        <v>37.39</v>
      </c>
      <c r="G25" s="3212">
        <v>16.604159843277223</v>
      </c>
      <c r="H25" s="3218">
        <f t="shared" si="0"/>
        <v>16.600000000000001</v>
      </c>
    </row>
    <row r="26" spans="1:8">
      <c r="A26">
        <v>25</v>
      </c>
      <c r="B26" t="s">
        <v>5958</v>
      </c>
      <c r="D26">
        <v>1027</v>
      </c>
      <c r="E26" t="s">
        <v>4786</v>
      </c>
      <c r="F26">
        <v>35.9</v>
      </c>
      <c r="G26" s="3212">
        <v>15.94248029884066</v>
      </c>
      <c r="H26" s="3218">
        <f t="shared" si="0"/>
        <v>15.94</v>
      </c>
    </row>
    <row r="27" spans="1:8">
      <c r="A27">
        <v>26</v>
      </c>
      <c r="B27" t="s">
        <v>5958</v>
      </c>
      <c r="D27">
        <v>1028</v>
      </c>
      <c r="E27" t="s">
        <v>4786</v>
      </c>
      <c r="F27">
        <v>35.9</v>
      </c>
      <c r="G27" s="3212">
        <v>15.94248029884066</v>
      </c>
      <c r="H27" s="3218">
        <f t="shared" si="0"/>
        <v>15.94</v>
      </c>
    </row>
    <row r="28" spans="1:8">
      <c r="A28">
        <v>27</v>
      </c>
      <c r="B28" t="s">
        <v>5958</v>
      </c>
      <c r="D28">
        <v>1031</v>
      </c>
      <c r="E28" t="s">
        <v>4786</v>
      </c>
      <c r="F28">
        <v>37.39</v>
      </c>
      <c r="G28" s="3212">
        <v>16.604159843277223</v>
      </c>
      <c r="H28" s="3218">
        <f t="shared" si="0"/>
        <v>16.600000000000001</v>
      </c>
    </row>
    <row r="29" spans="1:8">
      <c r="A29">
        <v>28</v>
      </c>
      <c r="B29" t="s">
        <v>5958</v>
      </c>
      <c r="D29">
        <v>1032</v>
      </c>
      <c r="E29" t="s">
        <v>4786</v>
      </c>
      <c r="F29">
        <v>37.39</v>
      </c>
      <c r="G29" s="3212">
        <v>16.604159843277223</v>
      </c>
      <c r="H29" s="3218">
        <f t="shared" si="0"/>
        <v>16.600000000000001</v>
      </c>
    </row>
    <row r="30" spans="1:8">
      <c r="A30">
        <v>29</v>
      </c>
      <c r="B30" t="s">
        <v>5958</v>
      </c>
      <c r="D30">
        <v>1034</v>
      </c>
      <c r="E30" t="s">
        <v>4786</v>
      </c>
      <c r="F30">
        <v>37.39</v>
      </c>
      <c r="G30" s="3212">
        <v>16.604159843277223</v>
      </c>
      <c r="H30" s="3218">
        <f t="shared" si="0"/>
        <v>16.600000000000001</v>
      </c>
    </row>
    <row r="31" spans="1:8">
      <c r="A31">
        <v>30</v>
      </c>
      <c r="B31" t="s">
        <v>5958</v>
      </c>
      <c r="D31">
        <v>1035</v>
      </c>
      <c r="E31" t="s">
        <v>4786</v>
      </c>
      <c r="F31">
        <v>37.39</v>
      </c>
      <c r="G31" s="3212">
        <v>16.604159843277223</v>
      </c>
      <c r="H31" s="3218">
        <f t="shared" si="0"/>
        <v>16.600000000000001</v>
      </c>
    </row>
    <row r="32" spans="1:8">
      <c r="A32">
        <v>31</v>
      </c>
      <c r="B32" t="s">
        <v>5958</v>
      </c>
      <c r="D32">
        <v>1036</v>
      </c>
      <c r="E32" t="s">
        <v>4786</v>
      </c>
      <c r="F32">
        <v>37.39</v>
      </c>
      <c r="G32" s="3212">
        <v>16.604159843277223</v>
      </c>
      <c r="H32" s="3218">
        <f t="shared" si="0"/>
        <v>16.600000000000001</v>
      </c>
    </row>
    <row r="33" spans="1:8">
      <c r="A33">
        <v>32</v>
      </c>
      <c r="B33" t="s">
        <v>5958</v>
      </c>
      <c r="D33">
        <v>1037</v>
      </c>
      <c r="E33" t="s">
        <v>4786</v>
      </c>
      <c r="F33">
        <v>37.39</v>
      </c>
      <c r="G33" s="3212">
        <v>16.604159843277223</v>
      </c>
      <c r="H33" s="3218">
        <f t="shared" si="0"/>
        <v>16.600000000000001</v>
      </c>
    </row>
    <row r="34" spans="1:8">
      <c r="A34">
        <v>33</v>
      </c>
      <c r="B34" t="s">
        <v>5958</v>
      </c>
      <c r="D34">
        <v>1038</v>
      </c>
      <c r="E34" t="s">
        <v>4786</v>
      </c>
      <c r="F34">
        <v>37.39</v>
      </c>
      <c r="G34" s="3212">
        <v>16.604159843277223</v>
      </c>
      <c r="H34" s="3218">
        <f t="shared" si="0"/>
        <v>16.600000000000001</v>
      </c>
    </row>
    <row r="35" spans="1:8">
      <c r="A35">
        <v>34</v>
      </c>
      <c r="B35" t="s">
        <v>5958</v>
      </c>
      <c r="D35">
        <v>1040</v>
      </c>
      <c r="E35" t="s">
        <v>4786</v>
      </c>
      <c r="F35">
        <v>37.39</v>
      </c>
      <c r="G35" s="3212">
        <v>16.604159843277223</v>
      </c>
      <c r="H35" s="3218">
        <f t="shared" si="0"/>
        <v>16.600000000000001</v>
      </c>
    </row>
    <row r="36" spans="1:8">
      <c r="A36">
        <v>35</v>
      </c>
      <c r="B36" t="s">
        <v>5958</v>
      </c>
      <c r="D36">
        <v>1041</v>
      </c>
      <c r="E36" t="s">
        <v>4786</v>
      </c>
      <c r="F36">
        <v>37.39</v>
      </c>
      <c r="G36" s="3212">
        <v>16.604159843277223</v>
      </c>
      <c r="H36" s="3218">
        <f t="shared" si="0"/>
        <v>16.600000000000001</v>
      </c>
    </row>
    <row r="37" spans="1:8">
      <c r="A37">
        <v>36</v>
      </c>
      <c r="B37" t="s">
        <v>5958</v>
      </c>
      <c r="D37">
        <v>1044</v>
      </c>
      <c r="E37" t="s">
        <v>4786</v>
      </c>
      <c r="F37">
        <v>37.39</v>
      </c>
      <c r="G37" s="3212">
        <v>16.604159843277223</v>
      </c>
      <c r="H37" s="3218">
        <f t="shared" si="0"/>
        <v>16.600000000000001</v>
      </c>
    </row>
    <row r="38" spans="1:8">
      <c r="A38">
        <v>37</v>
      </c>
      <c r="B38" t="s">
        <v>5958</v>
      </c>
      <c r="D38">
        <v>1045</v>
      </c>
      <c r="E38" t="s">
        <v>4786</v>
      </c>
      <c r="F38">
        <v>37.39</v>
      </c>
      <c r="G38" s="3212">
        <v>16.604159843277223</v>
      </c>
      <c r="H38" s="3218">
        <f t="shared" si="0"/>
        <v>16.600000000000001</v>
      </c>
    </row>
    <row r="39" spans="1:8">
      <c r="A39">
        <v>38</v>
      </c>
      <c r="B39" t="s">
        <v>5958</v>
      </c>
      <c r="D39">
        <v>1046</v>
      </c>
      <c r="E39" t="s">
        <v>4786</v>
      </c>
      <c r="F39">
        <v>37.39</v>
      </c>
      <c r="G39" s="3212">
        <v>16.604159843277223</v>
      </c>
      <c r="H39" s="3218">
        <f t="shared" si="0"/>
        <v>16.600000000000001</v>
      </c>
    </row>
    <row r="40" spans="1:8">
      <c r="A40">
        <v>39</v>
      </c>
      <c r="B40" t="s">
        <v>5958</v>
      </c>
      <c r="D40">
        <v>1047</v>
      </c>
      <c r="E40" t="s">
        <v>4786</v>
      </c>
      <c r="F40">
        <v>37.39</v>
      </c>
      <c r="G40" s="3212">
        <v>16.604159843277223</v>
      </c>
      <c r="H40" s="3218">
        <f t="shared" si="0"/>
        <v>16.600000000000001</v>
      </c>
    </row>
    <row r="41" spans="1:8">
      <c r="A41">
        <v>40</v>
      </c>
      <c r="B41" t="s">
        <v>5958</v>
      </c>
      <c r="D41">
        <v>1048</v>
      </c>
      <c r="E41" t="s">
        <v>4786</v>
      </c>
      <c r="F41">
        <v>37.39</v>
      </c>
      <c r="G41" s="3212">
        <v>16.604159843277223</v>
      </c>
      <c r="H41" s="3218">
        <f t="shared" si="0"/>
        <v>16.600000000000001</v>
      </c>
    </row>
    <row r="42" spans="1:8">
      <c r="A42">
        <v>41</v>
      </c>
      <c r="B42" t="s">
        <v>5958</v>
      </c>
      <c r="D42">
        <v>1049</v>
      </c>
      <c r="E42" t="s">
        <v>4786</v>
      </c>
      <c r="F42">
        <v>37.39</v>
      </c>
      <c r="G42" s="3212">
        <v>16.604159843277223</v>
      </c>
      <c r="H42" s="3218">
        <f t="shared" si="0"/>
        <v>16.600000000000001</v>
      </c>
    </row>
    <row r="43" spans="1:8">
      <c r="A43">
        <v>42</v>
      </c>
      <c r="B43" t="s">
        <v>5958</v>
      </c>
      <c r="D43">
        <v>1050</v>
      </c>
      <c r="E43" t="s">
        <v>4786</v>
      </c>
      <c r="F43">
        <v>37.39</v>
      </c>
      <c r="G43" s="3212">
        <v>16.604159843277223</v>
      </c>
      <c r="H43" s="3218">
        <f t="shared" si="0"/>
        <v>16.600000000000001</v>
      </c>
    </row>
    <row r="44" spans="1:8">
      <c r="A44">
        <v>43</v>
      </c>
      <c r="B44" t="s">
        <v>5958</v>
      </c>
      <c r="D44">
        <v>1057</v>
      </c>
      <c r="E44" t="s">
        <v>4786</v>
      </c>
      <c r="F44">
        <v>37.39</v>
      </c>
      <c r="G44" s="3212">
        <v>16.604159843277223</v>
      </c>
      <c r="H44" s="3218">
        <f t="shared" si="0"/>
        <v>16.600000000000001</v>
      </c>
    </row>
    <row r="45" spans="1:8">
      <c r="A45">
        <v>44</v>
      </c>
      <c r="B45" t="s">
        <v>5958</v>
      </c>
      <c r="D45">
        <v>1058</v>
      </c>
      <c r="E45" t="s">
        <v>4786</v>
      </c>
      <c r="F45">
        <v>37.39</v>
      </c>
      <c r="G45" s="3212">
        <v>16.604159843277223</v>
      </c>
      <c r="H45" s="3218">
        <f t="shared" si="0"/>
        <v>16.600000000000001</v>
      </c>
    </row>
    <row r="46" spans="1:8">
      <c r="A46">
        <v>45</v>
      </c>
      <c r="B46" t="s">
        <v>5958</v>
      </c>
      <c r="D46">
        <v>1059</v>
      </c>
      <c r="E46" t="s">
        <v>4786</v>
      </c>
      <c r="F46">
        <v>37.39</v>
      </c>
      <c r="G46" s="3212">
        <v>16.604159843277223</v>
      </c>
      <c r="H46" s="3218">
        <f t="shared" si="0"/>
        <v>16.600000000000001</v>
      </c>
    </row>
    <row r="47" spans="1:8">
      <c r="A47">
        <v>46</v>
      </c>
      <c r="B47" t="s">
        <v>5958</v>
      </c>
      <c r="D47">
        <v>1060</v>
      </c>
      <c r="E47" t="s">
        <v>4786</v>
      </c>
      <c r="F47">
        <v>37.39</v>
      </c>
      <c r="G47" s="3212">
        <v>16.604159843277223</v>
      </c>
      <c r="H47" s="3218">
        <f t="shared" si="0"/>
        <v>16.600000000000001</v>
      </c>
    </row>
    <row r="48" spans="1:8">
      <c r="A48">
        <v>47</v>
      </c>
      <c r="B48" t="s">
        <v>5958</v>
      </c>
      <c r="D48">
        <v>1061</v>
      </c>
      <c r="E48" t="s">
        <v>4786</v>
      </c>
      <c r="F48">
        <v>37.39</v>
      </c>
      <c r="G48" s="3212">
        <v>16.604159843277223</v>
      </c>
      <c r="H48" s="3218">
        <f t="shared" si="0"/>
        <v>16.600000000000001</v>
      </c>
    </row>
    <row r="49" spans="1:8">
      <c r="A49">
        <v>48</v>
      </c>
      <c r="B49" t="s">
        <v>5958</v>
      </c>
      <c r="D49">
        <v>1062</v>
      </c>
      <c r="E49" t="s">
        <v>4786</v>
      </c>
      <c r="F49">
        <v>37.39</v>
      </c>
      <c r="G49" s="3212">
        <v>16.604159843277223</v>
      </c>
      <c r="H49" s="3218">
        <f t="shared" si="0"/>
        <v>16.600000000000001</v>
      </c>
    </row>
    <row r="50" spans="1:8">
      <c r="A50">
        <v>49</v>
      </c>
      <c r="B50" t="s">
        <v>5958</v>
      </c>
      <c r="D50">
        <v>1063</v>
      </c>
      <c r="E50" t="s">
        <v>4786</v>
      </c>
      <c r="F50">
        <v>37.39</v>
      </c>
      <c r="G50" s="3212">
        <v>16.604159843277223</v>
      </c>
      <c r="H50" s="3218">
        <f t="shared" si="0"/>
        <v>16.600000000000001</v>
      </c>
    </row>
    <row r="51" spans="1:8">
      <c r="A51">
        <v>50</v>
      </c>
      <c r="B51" t="s">
        <v>5958</v>
      </c>
      <c r="D51">
        <v>1064</v>
      </c>
      <c r="E51" t="s">
        <v>4786</v>
      </c>
      <c r="F51">
        <v>37.39</v>
      </c>
      <c r="G51" s="3212">
        <v>16.604159843277223</v>
      </c>
      <c r="H51" s="3218">
        <f t="shared" si="0"/>
        <v>16.600000000000001</v>
      </c>
    </row>
    <row r="52" spans="1:8">
      <c r="A52">
        <v>51</v>
      </c>
      <c r="B52" t="s">
        <v>5958</v>
      </c>
      <c r="D52">
        <v>1065</v>
      </c>
      <c r="E52" t="s">
        <v>4786</v>
      </c>
      <c r="F52">
        <v>37.39</v>
      </c>
      <c r="G52" s="3212">
        <v>16.604159843277223</v>
      </c>
      <c r="H52" s="3218">
        <f t="shared" si="0"/>
        <v>16.600000000000001</v>
      </c>
    </row>
    <row r="53" spans="1:8">
      <c r="A53">
        <v>52</v>
      </c>
      <c r="B53" t="s">
        <v>5958</v>
      </c>
      <c r="D53">
        <v>1067</v>
      </c>
      <c r="E53" t="s">
        <v>4786</v>
      </c>
      <c r="F53">
        <v>37.39</v>
      </c>
      <c r="G53" s="3212">
        <v>16.604159843277223</v>
      </c>
      <c r="H53" s="3218">
        <f t="shared" si="0"/>
        <v>16.600000000000001</v>
      </c>
    </row>
    <row r="54" spans="1:8">
      <c r="A54">
        <v>53</v>
      </c>
      <c r="B54" t="s">
        <v>5958</v>
      </c>
      <c r="D54">
        <v>1069</v>
      </c>
      <c r="E54" t="s">
        <v>4786</v>
      </c>
      <c r="F54">
        <v>37.39</v>
      </c>
      <c r="G54" s="3212">
        <v>16.604159843277223</v>
      </c>
      <c r="H54" s="3218">
        <f t="shared" si="0"/>
        <v>16.600000000000001</v>
      </c>
    </row>
    <row r="55" spans="1:8">
      <c r="A55">
        <v>54</v>
      </c>
      <c r="B55" t="s">
        <v>5958</v>
      </c>
      <c r="D55">
        <v>1070</v>
      </c>
      <c r="E55" t="s">
        <v>4786</v>
      </c>
      <c r="F55">
        <v>37.39</v>
      </c>
      <c r="G55" s="3212">
        <v>16.604159843277223</v>
      </c>
      <c r="H55" s="3218">
        <f t="shared" si="0"/>
        <v>16.600000000000001</v>
      </c>
    </row>
    <row r="56" spans="1:8">
      <c r="A56">
        <v>55</v>
      </c>
      <c r="B56" t="s">
        <v>5958</v>
      </c>
      <c r="D56">
        <v>1074</v>
      </c>
      <c r="E56" t="s">
        <v>4786</v>
      </c>
      <c r="F56">
        <v>37.39</v>
      </c>
      <c r="G56" s="3212">
        <v>16.604159843277223</v>
      </c>
      <c r="H56" s="3218">
        <f t="shared" si="0"/>
        <v>16.600000000000001</v>
      </c>
    </row>
    <row r="57" spans="1:8">
      <c r="A57">
        <v>56</v>
      </c>
      <c r="B57" t="s">
        <v>5958</v>
      </c>
      <c r="D57">
        <v>1075</v>
      </c>
      <c r="E57" t="s">
        <v>4786</v>
      </c>
      <c r="F57">
        <v>37.39</v>
      </c>
      <c r="G57" s="3212">
        <v>16.604159843277223</v>
      </c>
      <c r="H57" s="3218">
        <f t="shared" si="0"/>
        <v>16.600000000000001</v>
      </c>
    </row>
    <row r="58" spans="1:8">
      <c r="A58">
        <v>57</v>
      </c>
      <c r="B58" t="s">
        <v>5958</v>
      </c>
      <c r="D58">
        <v>1076</v>
      </c>
      <c r="E58" t="s">
        <v>4786</v>
      </c>
      <c r="F58">
        <v>37.39</v>
      </c>
      <c r="G58" s="3212">
        <v>16.604159843277223</v>
      </c>
      <c r="H58" s="3218">
        <f t="shared" si="0"/>
        <v>16.600000000000001</v>
      </c>
    </row>
    <row r="59" spans="1:8">
      <c r="A59">
        <v>58</v>
      </c>
      <c r="B59" t="s">
        <v>5958</v>
      </c>
      <c r="D59">
        <v>1077</v>
      </c>
      <c r="E59" t="s">
        <v>4786</v>
      </c>
      <c r="F59">
        <v>37.39</v>
      </c>
      <c r="G59" s="3212">
        <v>16.604159843277223</v>
      </c>
      <c r="H59" s="3218">
        <f t="shared" si="0"/>
        <v>16.600000000000001</v>
      </c>
    </row>
    <row r="60" spans="1:8">
      <c r="A60">
        <v>59</v>
      </c>
      <c r="B60" t="s">
        <v>5958</v>
      </c>
      <c r="D60">
        <v>1080</v>
      </c>
      <c r="E60" t="s">
        <v>4786</v>
      </c>
      <c r="F60">
        <v>37.39</v>
      </c>
      <c r="G60" s="3212">
        <v>16.604159843277223</v>
      </c>
      <c r="H60" s="3218">
        <f t="shared" si="0"/>
        <v>16.600000000000001</v>
      </c>
    </row>
    <row r="61" spans="1:8">
      <c r="A61">
        <v>60</v>
      </c>
      <c r="B61" t="s">
        <v>5958</v>
      </c>
      <c r="D61">
        <v>1081</v>
      </c>
      <c r="E61" t="s">
        <v>4786</v>
      </c>
      <c r="F61">
        <v>37.39</v>
      </c>
      <c r="G61" s="3212">
        <v>16.604159843277223</v>
      </c>
      <c r="H61" s="3218">
        <f t="shared" si="0"/>
        <v>16.600000000000001</v>
      </c>
    </row>
    <row r="62" spans="1:8">
      <c r="A62">
        <v>61</v>
      </c>
      <c r="B62" t="s">
        <v>5958</v>
      </c>
      <c r="D62">
        <v>1082</v>
      </c>
      <c r="E62" t="s">
        <v>4786</v>
      </c>
      <c r="F62">
        <v>37.39</v>
      </c>
      <c r="G62" s="3212">
        <v>16.604159843277223</v>
      </c>
      <c r="H62" s="3218">
        <f t="shared" si="0"/>
        <v>16.600000000000001</v>
      </c>
    </row>
    <row r="63" spans="1:8">
      <c r="A63">
        <v>62</v>
      </c>
      <c r="B63" t="s">
        <v>5958</v>
      </c>
      <c r="D63">
        <v>1083</v>
      </c>
      <c r="E63" t="s">
        <v>4786</v>
      </c>
      <c r="F63">
        <v>37.39</v>
      </c>
      <c r="G63" s="3212">
        <v>16.604159843277223</v>
      </c>
      <c r="H63" s="3218">
        <f t="shared" si="0"/>
        <v>16.600000000000001</v>
      </c>
    </row>
    <row r="64" spans="1:8">
      <c r="A64">
        <v>63</v>
      </c>
      <c r="B64" t="s">
        <v>5958</v>
      </c>
      <c r="D64">
        <v>1084</v>
      </c>
      <c r="E64" t="s">
        <v>4786</v>
      </c>
      <c r="F64">
        <v>37.39</v>
      </c>
      <c r="G64" s="3212">
        <v>16.604159843277223</v>
      </c>
      <c r="H64" s="3218">
        <f t="shared" si="0"/>
        <v>16.600000000000001</v>
      </c>
    </row>
    <row r="65" spans="1:8">
      <c r="A65">
        <v>64</v>
      </c>
      <c r="B65" t="s">
        <v>5958</v>
      </c>
      <c r="D65">
        <v>1086</v>
      </c>
      <c r="E65" t="s">
        <v>4786</v>
      </c>
      <c r="F65">
        <v>37.39</v>
      </c>
      <c r="G65" s="3212">
        <v>16.604159843277223</v>
      </c>
      <c r="H65" s="3218">
        <f t="shared" si="0"/>
        <v>16.600000000000001</v>
      </c>
    </row>
    <row r="66" spans="1:8">
      <c r="A66">
        <v>65</v>
      </c>
      <c r="B66" t="s">
        <v>5958</v>
      </c>
      <c r="D66">
        <v>1087</v>
      </c>
      <c r="E66" t="s">
        <v>4786</v>
      </c>
      <c r="F66">
        <v>35.9</v>
      </c>
      <c r="G66" s="3212">
        <v>15.94248029884066</v>
      </c>
      <c r="H66" s="3218">
        <f t="shared" ref="H66:H129" si="1">ROUND(G66,2)</f>
        <v>15.94</v>
      </c>
    </row>
    <row r="67" spans="1:8">
      <c r="A67">
        <v>66</v>
      </c>
      <c r="B67" t="s">
        <v>5958</v>
      </c>
      <c r="D67">
        <v>1088</v>
      </c>
      <c r="E67" t="s">
        <v>4786</v>
      </c>
      <c r="F67">
        <v>35.9</v>
      </c>
      <c r="G67" s="3212">
        <v>15.94248029884066</v>
      </c>
      <c r="H67" s="3218">
        <f t="shared" si="1"/>
        <v>15.94</v>
      </c>
    </row>
    <row r="68" spans="1:8">
      <c r="A68">
        <v>67</v>
      </c>
      <c r="B68" t="s">
        <v>5958</v>
      </c>
      <c r="D68">
        <v>1089</v>
      </c>
      <c r="E68" t="s">
        <v>4786</v>
      </c>
      <c r="F68">
        <v>35.9</v>
      </c>
      <c r="G68" s="3212">
        <v>15.94248029884066</v>
      </c>
      <c r="H68" s="3218">
        <f t="shared" si="1"/>
        <v>15.94</v>
      </c>
    </row>
    <row r="69" spans="1:8">
      <c r="A69">
        <v>68</v>
      </c>
      <c r="B69" t="s">
        <v>5958</v>
      </c>
      <c r="D69">
        <v>1090</v>
      </c>
      <c r="E69" t="s">
        <v>4786</v>
      </c>
      <c r="F69">
        <v>35.9</v>
      </c>
      <c r="G69" s="3212">
        <v>15.94248029884066</v>
      </c>
      <c r="H69" s="3218">
        <f t="shared" si="1"/>
        <v>15.94</v>
      </c>
    </row>
    <row r="70" spans="1:8">
      <c r="A70">
        <v>69</v>
      </c>
      <c r="B70" t="s">
        <v>5958</v>
      </c>
      <c r="D70">
        <v>1091</v>
      </c>
      <c r="E70" t="s">
        <v>4786</v>
      </c>
      <c r="F70">
        <v>37.39</v>
      </c>
      <c r="G70" s="3212">
        <v>16.604159843277223</v>
      </c>
      <c r="H70" s="3218">
        <f t="shared" si="1"/>
        <v>16.600000000000001</v>
      </c>
    </row>
    <row r="71" spans="1:8">
      <c r="A71">
        <v>70</v>
      </c>
      <c r="B71" t="s">
        <v>5958</v>
      </c>
      <c r="D71">
        <v>1092</v>
      </c>
      <c r="E71" t="s">
        <v>4786</v>
      </c>
      <c r="F71">
        <v>37.39</v>
      </c>
      <c r="G71" s="3212">
        <v>16.604159843277223</v>
      </c>
      <c r="H71" s="3218">
        <f t="shared" si="1"/>
        <v>16.600000000000001</v>
      </c>
    </row>
    <row r="72" spans="1:8">
      <c r="A72">
        <v>71</v>
      </c>
      <c r="B72" t="s">
        <v>5958</v>
      </c>
      <c r="D72">
        <v>1093</v>
      </c>
      <c r="E72" t="s">
        <v>4786</v>
      </c>
      <c r="F72">
        <v>37.39</v>
      </c>
      <c r="G72" s="3212">
        <v>16.604159843277223</v>
      </c>
      <c r="H72" s="3218">
        <f t="shared" si="1"/>
        <v>16.600000000000001</v>
      </c>
    </row>
    <row r="73" spans="1:8">
      <c r="A73">
        <v>72</v>
      </c>
      <c r="B73" t="s">
        <v>5958</v>
      </c>
      <c r="D73">
        <v>1094</v>
      </c>
      <c r="E73" t="s">
        <v>4786</v>
      </c>
      <c r="F73">
        <v>35.9</v>
      </c>
      <c r="G73" s="3212">
        <v>15.94248029884066</v>
      </c>
      <c r="H73" s="3218">
        <f t="shared" si="1"/>
        <v>15.94</v>
      </c>
    </row>
    <row r="74" spans="1:8">
      <c r="A74">
        <v>73</v>
      </c>
      <c r="B74" t="s">
        <v>5958</v>
      </c>
      <c r="D74">
        <v>1095</v>
      </c>
      <c r="E74" t="s">
        <v>4786</v>
      </c>
      <c r="F74">
        <v>35.9</v>
      </c>
      <c r="G74" s="3212">
        <v>15.94248029884066</v>
      </c>
      <c r="H74" s="3218">
        <f t="shared" si="1"/>
        <v>15.94</v>
      </c>
    </row>
    <row r="75" spans="1:8">
      <c r="A75">
        <v>74</v>
      </c>
      <c r="B75" t="s">
        <v>5958</v>
      </c>
      <c r="D75">
        <v>1096</v>
      </c>
      <c r="E75" t="s">
        <v>4786</v>
      </c>
      <c r="F75">
        <v>37.39</v>
      </c>
      <c r="G75" s="3212">
        <v>16.604159843277223</v>
      </c>
      <c r="H75" s="3218">
        <f t="shared" si="1"/>
        <v>16.600000000000001</v>
      </c>
    </row>
    <row r="76" spans="1:8">
      <c r="A76">
        <v>75</v>
      </c>
      <c r="B76" t="s">
        <v>5958</v>
      </c>
      <c r="D76">
        <v>1097</v>
      </c>
      <c r="E76" t="s">
        <v>4786</v>
      </c>
      <c r="F76">
        <v>37.39</v>
      </c>
      <c r="G76" s="3212">
        <v>16.604159843277223</v>
      </c>
      <c r="H76" s="3218">
        <f t="shared" si="1"/>
        <v>16.600000000000001</v>
      </c>
    </row>
    <row r="77" spans="1:8">
      <c r="A77">
        <v>76</v>
      </c>
      <c r="B77" t="s">
        <v>5958</v>
      </c>
      <c r="D77">
        <v>1100</v>
      </c>
      <c r="E77" t="s">
        <v>4786</v>
      </c>
      <c r="F77">
        <v>35.9</v>
      </c>
      <c r="G77" s="3212">
        <v>15.94248029884066</v>
      </c>
      <c r="H77" s="3218">
        <f t="shared" si="1"/>
        <v>15.94</v>
      </c>
    </row>
    <row r="78" spans="1:8">
      <c r="A78">
        <v>77</v>
      </c>
      <c r="B78" t="s">
        <v>5958</v>
      </c>
      <c r="D78">
        <v>1101</v>
      </c>
      <c r="E78" t="s">
        <v>4786</v>
      </c>
      <c r="F78">
        <v>35.9</v>
      </c>
      <c r="G78" s="3212">
        <v>15.94248029884066</v>
      </c>
      <c r="H78" s="3218">
        <f t="shared" si="1"/>
        <v>15.94</v>
      </c>
    </row>
    <row r="79" spans="1:8">
      <c r="A79">
        <v>78</v>
      </c>
      <c r="B79" t="s">
        <v>5958</v>
      </c>
      <c r="D79">
        <v>1102</v>
      </c>
      <c r="E79" t="s">
        <v>4786</v>
      </c>
      <c r="F79">
        <v>37.39</v>
      </c>
      <c r="G79" s="3212">
        <v>16.604159843277223</v>
      </c>
      <c r="H79" s="3218">
        <f t="shared" si="1"/>
        <v>16.600000000000001</v>
      </c>
    </row>
    <row r="80" spans="1:8">
      <c r="A80">
        <v>79</v>
      </c>
      <c r="B80" t="s">
        <v>5958</v>
      </c>
      <c r="D80">
        <v>1103</v>
      </c>
      <c r="E80" t="s">
        <v>4786</v>
      </c>
      <c r="F80">
        <v>37.39</v>
      </c>
      <c r="G80" s="3212">
        <v>16.604159843277223</v>
      </c>
      <c r="H80" s="3218">
        <f t="shared" si="1"/>
        <v>16.600000000000001</v>
      </c>
    </row>
    <row r="81" spans="1:8">
      <c r="A81">
        <v>80</v>
      </c>
      <c r="B81" t="s">
        <v>5958</v>
      </c>
      <c r="D81">
        <v>1104</v>
      </c>
      <c r="E81" t="s">
        <v>4786</v>
      </c>
      <c r="F81">
        <v>55.34</v>
      </c>
      <c r="G81" s="3212">
        <v>24.575399992697555</v>
      </c>
      <c r="H81" s="3218">
        <f t="shared" si="1"/>
        <v>24.58</v>
      </c>
    </row>
    <row r="82" spans="1:8">
      <c r="A82">
        <v>81</v>
      </c>
      <c r="B82" t="s">
        <v>5958</v>
      </c>
      <c r="D82">
        <v>1105</v>
      </c>
      <c r="E82" t="s">
        <v>4786</v>
      </c>
      <c r="F82">
        <v>35.9</v>
      </c>
      <c r="G82" s="3212">
        <v>15.94248029884066</v>
      </c>
      <c r="H82" s="3218">
        <f t="shared" si="1"/>
        <v>15.94</v>
      </c>
    </row>
    <row r="83" spans="1:8">
      <c r="A83">
        <v>82</v>
      </c>
      <c r="B83" t="s">
        <v>5958</v>
      </c>
      <c r="D83">
        <v>1106</v>
      </c>
      <c r="E83" t="s">
        <v>4786</v>
      </c>
      <c r="F83">
        <v>35.9</v>
      </c>
      <c r="G83" s="3212">
        <v>15.94248029884066</v>
      </c>
      <c r="H83" s="3218">
        <f t="shared" si="1"/>
        <v>15.94</v>
      </c>
    </row>
    <row r="84" spans="1:8">
      <c r="A84">
        <v>83</v>
      </c>
      <c r="B84" t="s">
        <v>5958</v>
      </c>
      <c r="D84">
        <v>1107</v>
      </c>
      <c r="E84" t="s">
        <v>4786</v>
      </c>
      <c r="F84">
        <v>37.39</v>
      </c>
      <c r="G84" s="3212">
        <v>16.604159843277223</v>
      </c>
      <c r="H84" s="3218">
        <f t="shared" si="1"/>
        <v>16.600000000000001</v>
      </c>
    </row>
    <row r="85" spans="1:8">
      <c r="A85">
        <v>84</v>
      </c>
      <c r="B85" t="s">
        <v>5958</v>
      </c>
      <c r="D85">
        <v>1108</v>
      </c>
      <c r="E85" t="s">
        <v>4786</v>
      </c>
      <c r="F85">
        <v>37.39</v>
      </c>
      <c r="G85" s="3212">
        <v>16.604159843277223</v>
      </c>
      <c r="H85" s="3218">
        <f t="shared" si="1"/>
        <v>16.600000000000001</v>
      </c>
    </row>
    <row r="86" spans="1:8">
      <c r="A86">
        <v>85</v>
      </c>
      <c r="B86" t="s">
        <v>5958</v>
      </c>
      <c r="D86">
        <v>1109</v>
      </c>
      <c r="E86" t="s">
        <v>4786</v>
      </c>
      <c r="F86">
        <v>35.9</v>
      </c>
      <c r="G86" s="3212">
        <v>15.94248029884066</v>
      </c>
      <c r="H86" s="3218">
        <f t="shared" si="1"/>
        <v>15.94</v>
      </c>
    </row>
    <row r="87" spans="1:8">
      <c r="A87">
        <v>86</v>
      </c>
      <c r="B87" t="s">
        <v>5958</v>
      </c>
      <c r="D87">
        <v>1110</v>
      </c>
      <c r="E87" t="s">
        <v>4786</v>
      </c>
      <c r="F87">
        <v>35.9</v>
      </c>
      <c r="G87" s="3212">
        <v>15.94248029884066</v>
      </c>
      <c r="H87" s="3218">
        <f t="shared" si="1"/>
        <v>15.94</v>
      </c>
    </row>
    <row r="88" spans="1:8">
      <c r="A88">
        <v>87</v>
      </c>
      <c r="B88" t="s">
        <v>5958</v>
      </c>
      <c r="D88">
        <v>1112</v>
      </c>
      <c r="E88" t="s">
        <v>4786</v>
      </c>
      <c r="F88">
        <v>35.9</v>
      </c>
      <c r="G88" s="3212">
        <v>15.94248029884066</v>
      </c>
      <c r="H88" s="3218">
        <f t="shared" si="1"/>
        <v>15.94</v>
      </c>
    </row>
    <row r="89" spans="1:8">
      <c r="A89">
        <v>88</v>
      </c>
      <c r="B89" t="s">
        <v>5958</v>
      </c>
      <c r="D89">
        <v>1115</v>
      </c>
      <c r="E89" t="s">
        <v>4786</v>
      </c>
      <c r="F89">
        <v>37.39</v>
      </c>
      <c r="G89" s="3212">
        <v>16.604159843277223</v>
      </c>
      <c r="H89" s="3218">
        <f t="shared" si="1"/>
        <v>16.600000000000001</v>
      </c>
    </row>
    <row r="90" spans="1:8">
      <c r="A90">
        <v>89</v>
      </c>
      <c r="B90" t="s">
        <v>5958</v>
      </c>
      <c r="D90">
        <v>1116</v>
      </c>
      <c r="E90" t="s">
        <v>4786</v>
      </c>
      <c r="F90">
        <v>37.39</v>
      </c>
      <c r="G90" s="3212">
        <v>16.604159843277223</v>
      </c>
      <c r="H90" s="3218">
        <f t="shared" si="1"/>
        <v>16.600000000000001</v>
      </c>
    </row>
    <row r="91" spans="1:8">
      <c r="A91">
        <v>90</v>
      </c>
      <c r="B91" t="s">
        <v>5958</v>
      </c>
      <c r="D91">
        <v>1119</v>
      </c>
      <c r="E91" t="s">
        <v>4786</v>
      </c>
      <c r="F91">
        <v>37.39</v>
      </c>
      <c r="G91" s="3212">
        <v>16.604159843277223</v>
      </c>
      <c r="H91" s="3218">
        <f t="shared" si="1"/>
        <v>16.600000000000001</v>
      </c>
    </row>
    <row r="92" spans="1:8">
      <c r="A92">
        <v>91</v>
      </c>
      <c r="B92" t="s">
        <v>5958</v>
      </c>
      <c r="D92">
        <v>1120</v>
      </c>
      <c r="E92" t="s">
        <v>4786</v>
      </c>
      <c r="F92">
        <v>37.39</v>
      </c>
      <c r="G92" s="3212">
        <v>16.604159843277223</v>
      </c>
      <c r="H92" s="3218">
        <f t="shared" si="1"/>
        <v>16.600000000000001</v>
      </c>
    </row>
    <row r="93" spans="1:8">
      <c r="A93">
        <v>92</v>
      </c>
      <c r="B93" t="s">
        <v>5958</v>
      </c>
      <c r="D93">
        <v>1121</v>
      </c>
      <c r="E93" t="s">
        <v>4786</v>
      </c>
      <c r="F93">
        <v>37.39</v>
      </c>
      <c r="G93" s="3212">
        <v>16.604159843277223</v>
      </c>
      <c r="H93" s="3218">
        <f t="shared" si="1"/>
        <v>16.600000000000001</v>
      </c>
    </row>
    <row r="94" spans="1:8">
      <c r="A94">
        <v>93</v>
      </c>
      <c r="B94" t="s">
        <v>5958</v>
      </c>
      <c r="D94">
        <v>1123</v>
      </c>
      <c r="E94" t="s">
        <v>4786</v>
      </c>
      <c r="F94">
        <v>37.39</v>
      </c>
      <c r="G94" s="3212">
        <v>16.604159843277223</v>
      </c>
      <c r="H94" s="3218">
        <f t="shared" si="1"/>
        <v>16.600000000000001</v>
      </c>
    </row>
    <row r="95" spans="1:8">
      <c r="A95">
        <v>94</v>
      </c>
      <c r="B95" t="s">
        <v>5958</v>
      </c>
      <c r="D95">
        <v>1124</v>
      </c>
      <c r="E95" t="s">
        <v>4786</v>
      </c>
      <c r="F95">
        <v>37.39</v>
      </c>
      <c r="G95" s="3212">
        <v>16.604159843277223</v>
      </c>
      <c r="H95" s="3218">
        <f t="shared" si="1"/>
        <v>16.600000000000001</v>
      </c>
    </row>
    <row r="96" spans="1:8">
      <c r="A96">
        <v>95</v>
      </c>
      <c r="B96" t="s">
        <v>5958</v>
      </c>
      <c r="D96">
        <v>1127</v>
      </c>
      <c r="E96" t="s">
        <v>4786</v>
      </c>
      <c r="F96">
        <v>37.39</v>
      </c>
      <c r="G96" s="3212">
        <v>16.604159843277223</v>
      </c>
      <c r="H96" s="3218">
        <f t="shared" si="1"/>
        <v>16.600000000000001</v>
      </c>
    </row>
    <row r="97" spans="1:8">
      <c r="A97">
        <v>96</v>
      </c>
      <c r="B97" t="s">
        <v>5958</v>
      </c>
      <c r="D97">
        <v>1128</v>
      </c>
      <c r="E97" t="s">
        <v>4786</v>
      </c>
      <c r="F97">
        <v>37.39</v>
      </c>
      <c r="G97" s="3212">
        <v>16.604159843277223</v>
      </c>
      <c r="H97" s="3218">
        <f t="shared" si="1"/>
        <v>16.600000000000001</v>
      </c>
    </row>
    <row r="98" spans="1:8">
      <c r="A98">
        <v>97</v>
      </c>
      <c r="B98" t="s">
        <v>5958</v>
      </c>
      <c r="D98">
        <v>1129</v>
      </c>
      <c r="E98" t="s">
        <v>4786</v>
      </c>
      <c r="F98">
        <v>37.39</v>
      </c>
      <c r="G98" s="3212">
        <v>16.604159843277223</v>
      </c>
      <c r="H98" s="3218">
        <f t="shared" si="1"/>
        <v>16.600000000000001</v>
      </c>
    </row>
    <row r="99" spans="1:8">
      <c r="A99">
        <v>98</v>
      </c>
      <c r="B99" t="s">
        <v>5958</v>
      </c>
      <c r="D99">
        <v>1130</v>
      </c>
      <c r="E99" t="s">
        <v>4786</v>
      </c>
      <c r="F99">
        <v>37.39</v>
      </c>
      <c r="G99" s="3212">
        <v>16.604159843277223</v>
      </c>
      <c r="H99" s="3218">
        <f t="shared" si="1"/>
        <v>16.600000000000001</v>
      </c>
    </row>
    <row r="100" spans="1:8">
      <c r="A100">
        <v>99</v>
      </c>
      <c r="B100" t="s">
        <v>5958</v>
      </c>
      <c r="D100">
        <v>1131</v>
      </c>
      <c r="E100" t="s">
        <v>4786</v>
      </c>
      <c r="F100">
        <v>37.39</v>
      </c>
      <c r="G100" s="3212">
        <v>16.604159843277223</v>
      </c>
      <c r="H100" s="3218">
        <f t="shared" si="1"/>
        <v>16.600000000000001</v>
      </c>
    </row>
    <row r="101" spans="1:8">
      <c r="A101">
        <v>100</v>
      </c>
      <c r="B101" t="s">
        <v>5958</v>
      </c>
      <c r="D101">
        <v>1134</v>
      </c>
      <c r="E101" t="s">
        <v>4786</v>
      </c>
      <c r="F101">
        <v>37.39</v>
      </c>
      <c r="G101" s="3212">
        <v>16.604159843277223</v>
      </c>
      <c r="H101" s="3218">
        <f t="shared" si="1"/>
        <v>16.600000000000001</v>
      </c>
    </row>
    <row r="102" spans="1:8">
      <c r="A102">
        <v>101</v>
      </c>
      <c r="B102" t="s">
        <v>5958</v>
      </c>
      <c r="D102">
        <v>1141</v>
      </c>
      <c r="E102" t="s">
        <v>4786</v>
      </c>
      <c r="F102">
        <v>37.39</v>
      </c>
      <c r="G102" s="3212">
        <v>16.604159843277223</v>
      </c>
      <c r="H102" s="3218">
        <f t="shared" si="1"/>
        <v>16.600000000000001</v>
      </c>
    </row>
    <row r="103" spans="1:8">
      <c r="A103">
        <v>102</v>
      </c>
      <c r="B103" t="s">
        <v>5958</v>
      </c>
      <c r="D103">
        <v>1142</v>
      </c>
      <c r="E103" t="s">
        <v>4786</v>
      </c>
      <c r="F103">
        <v>37.39</v>
      </c>
      <c r="G103" s="3212">
        <v>16.604159843277223</v>
      </c>
      <c r="H103" s="3218">
        <f t="shared" si="1"/>
        <v>16.600000000000001</v>
      </c>
    </row>
    <row r="104" spans="1:8">
      <c r="A104">
        <v>103</v>
      </c>
      <c r="B104" t="s">
        <v>5958</v>
      </c>
      <c r="D104">
        <v>1146</v>
      </c>
      <c r="E104" t="s">
        <v>4786</v>
      </c>
      <c r="F104">
        <v>37.39</v>
      </c>
      <c r="G104" s="3212">
        <v>16.604159843277223</v>
      </c>
      <c r="H104" s="3218">
        <f t="shared" si="1"/>
        <v>16.600000000000001</v>
      </c>
    </row>
    <row r="105" spans="1:8">
      <c r="A105">
        <v>104</v>
      </c>
      <c r="B105" t="s">
        <v>5958</v>
      </c>
      <c r="D105">
        <v>1147</v>
      </c>
      <c r="E105" t="s">
        <v>4786</v>
      </c>
      <c r="F105">
        <v>37.39</v>
      </c>
      <c r="G105" s="3212">
        <v>16.604159843277223</v>
      </c>
      <c r="H105" s="3218">
        <f t="shared" si="1"/>
        <v>16.600000000000001</v>
      </c>
    </row>
    <row r="106" spans="1:8">
      <c r="A106">
        <v>105</v>
      </c>
      <c r="B106" t="s">
        <v>5958</v>
      </c>
      <c r="D106">
        <v>1148</v>
      </c>
      <c r="E106" t="s">
        <v>4786</v>
      </c>
      <c r="F106">
        <v>37.39</v>
      </c>
      <c r="G106" s="3212">
        <v>16.604159843277223</v>
      </c>
      <c r="H106" s="3218">
        <f t="shared" si="1"/>
        <v>16.600000000000001</v>
      </c>
    </row>
    <row r="107" spans="1:8">
      <c r="A107">
        <v>106</v>
      </c>
      <c r="B107" t="s">
        <v>5958</v>
      </c>
      <c r="D107">
        <v>1152</v>
      </c>
      <c r="E107" t="s">
        <v>4786</v>
      </c>
      <c r="F107">
        <v>37.39</v>
      </c>
      <c r="G107" s="3212">
        <v>16.604159843277223</v>
      </c>
      <c r="H107" s="3218">
        <f t="shared" si="1"/>
        <v>16.600000000000001</v>
      </c>
    </row>
    <row r="108" spans="1:8">
      <c r="A108">
        <v>107</v>
      </c>
      <c r="B108" t="s">
        <v>5958</v>
      </c>
      <c r="D108">
        <v>1154</v>
      </c>
      <c r="E108" t="s">
        <v>4786</v>
      </c>
      <c r="F108">
        <v>37.39</v>
      </c>
      <c r="G108" s="3212">
        <v>16.604159843277223</v>
      </c>
      <c r="H108" s="3218">
        <f t="shared" si="1"/>
        <v>16.600000000000001</v>
      </c>
    </row>
    <row r="109" spans="1:8">
      <c r="A109">
        <v>108</v>
      </c>
      <c r="B109" t="s">
        <v>5958</v>
      </c>
      <c r="D109">
        <v>1155</v>
      </c>
      <c r="E109" t="s">
        <v>4786</v>
      </c>
      <c r="F109">
        <v>37.39</v>
      </c>
      <c r="G109" s="3212">
        <v>16.604159843277223</v>
      </c>
      <c r="H109" s="3218">
        <f t="shared" si="1"/>
        <v>16.600000000000001</v>
      </c>
    </row>
    <row r="110" spans="1:8">
      <c r="A110">
        <v>109</v>
      </c>
      <c r="B110" t="s">
        <v>5958</v>
      </c>
      <c r="D110">
        <v>1157</v>
      </c>
      <c r="E110" t="s">
        <v>4786</v>
      </c>
      <c r="F110">
        <v>37.39</v>
      </c>
      <c r="G110" s="3212">
        <v>16.604159843277223</v>
      </c>
      <c r="H110" s="3218">
        <f t="shared" si="1"/>
        <v>16.600000000000001</v>
      </c>
    </row>
    <row r="111" spans="1:8">
      <c r="A111">
        <v>110</v>
      </c>
      <c r="B111" t="s">
        <v>5958</v>
      </c>
      <c r="D111">
        <v>1158</v>
      </c>
      <c r="E111" t="s">
        <v>4786</v>
      </c>
      <c r="F111">
        <v>37.39</v>
      </c>
      <c r="G111" s="3212">
        <v>16.604159843277223</v>
      </c>
      <c r="H111" s="3218">
        <f t="shared" si="1"/>
        <v>16.600000000000001</v>
      </c>
    </row>
    <row r="112" spans="1:8">
      <c r="A112">
        <v>111</v>
      </c>
      <c r="B112" t="s">
        <v>5958</v>
      </c>
      <c r="D112">
        <v>1159</v>
      </c>
      <c r="E112" t="s">
        <v>4786</v>
      </c>
      <c r="F112">
        <v>37.39</v>
      </c>
      <c r="G112" s="3212">
        <v>16.604159843277223</v>
      </c>
      <c r="H112" s="3218">
        <f t="shared" si="1"/>
        <v>16.600000000000001</v>
      </c>
    </row>
    <row r="113" spans="1:8">
      <c r="A113">
        <v>112</v>
      </c>
      <c r="B113" t="s">
        <v>5958</v>
      </c>
      <c r="D113">
        <v>1160</v>
      </c>
      <c r="E113" t="s">
        <v>4786</v>
      </c>
      <c r="F113">
        <v>35.9</v>
      </c>
      <c r="G113" s="3212">
        <v>15.94248029884066</v>
      </c>
      <c r="H113" s="3218">
        <f t="shared" si="1"/>
        <v>15.94</v>
      </c>
    </row>
    <row r="114" spans="1:8">
      <c r="A114">
        <v>113</v>
      </c>
      <c r="B114" t="s">
        <v>5958</v>
      </c>
      <c r="D114">
        <v>1161</v>
      </c>
      <c r="E114" t="s">
        <v>4786</v>
      </c>
      <c r="F114">
        <v>35.9</v>
      </c>
      <c r="G114" s="3212">
        <v>15.94248029884066</v>
      </c>
      <c r="H114" s="3218">
        <f t="shared" si="1"/>
        <v>15.94</v>
      </c>
    </row>
    <row r="115" spans="1:8">
      <c r="A115">
        <v>114</v>
      </c>
      <c r="B115" t="s">
        <v>5958</v>
      </c>
      <c r="D115">
        <v>1162</v>
      </c>
      <c r="E115" t="s">
        <v>4786</v>
      </c>
      <c r="F115">
        <v>37.39</v>
      </c>
      <c r="G115" s="3212">
        <v>16.604159843277223</v>
      </c>
      <c r="H115" s="3218">
        <f t="shared" si="1"/>
        <v>16.600000000000001</v>
      </c>
    </row>
    <row r="116" spans="1:8">
      <c r="A116">
        <v>115</v>
      </c>
      <c r="B116" t="s">
        <v>5958</v>
      </c>
      <c r="D116">
        <v>1163</v>
      </c>
      <c r="E116" t="s">
        <v>4786</v>
      </c>
      <c r="F116">
        <v>37.39</v>
      </c>
      <c r="G116" s="3212">
        <v>16.604159843277223</v>
      </c>
      <c r="H116" s="3218">
        <f t="shared" si="1"/>
        <v>16.600000000000001</v>
      </c>
    </row>
    <row r="117" spans="1:8">
      <c r="A117">
        <v>116</v>
      </c>
      <c r="B117" t="s">
        <v>5958</v>
      </c>
      <c r="D117">
        <v>1164</v>
      </c>
      <c r="E117" t="s">
        <v>4786</v>
      </c>
      <c r="F117">
        <v>55.34</v>
      </c>
      <c r="G117" s="3212">
        <v>24.575399992697555</v>
      </c>
      <c r="H117" s="3218">
        <f t="shared" si="1"/>
        <v>24.58</v>
      </c>
    </row>
    <row r="118" spans="1:8">
      <c r="A118">
        <v>117</v>
      </c>
      <c r="B118" t="s">
        <v>5958</v>
      </c>
      <c r="D118">
        <v>1165</v>
      </c>
      <c r="E118" t="s">
        <v>4786</v>
      </c>
      <c r="F118">
        <v>35.9</v>
      </c>
      <c r="G118" s="3212">
        <v>15.94248029884066</v>
      </c>
      <c r="H118" s="3218">
        <f t="shared" si="1"/>
        <v>15.94</v>
      </c>
    </row>
    <row r="119" spans="1:8">
      <c r="A119">
        <v>118</v>
      </c>
      <c r="B119" t="s">
        <v>5958</v>
      </c>
      <c r="D119">
        <v>1166</v>
      </c>
      <c r="E119" t="s">
        <v>4786</v>
      </c>
      <c r="F119">
        <v>35.9</v>
      </c>
      <c r="G119" s="3212">
        <v>15.94248029884066</v>
      </c>
      <c r="H119" s="3218">
        <f t="shared" si="1"/>
        <v>15.94</v>
      </c>
    </row>
    <row r="120" spans="1:8">
      <c r="A120">
        <v>119</v>
      </c>
      <c r="B120" t="s">
        <v>5958</v>
      </c>
      <c r="D120">
        <v>1168</v>
      </c>
      <c r="E120" t="s">
        <v>4786</v>
      </c>
      <c r="F120">
        <v>37.39</v>
      </c>
      <c r="G120" s="3212">
        <v>16.604159843277223</v>
      </c>
      <c r="H120" s="3218">
        <f t="shared" si="1"/>
        <v>16.600000000000001</v>
      </c>
    </row>
    <row r="121" spans="1:8">
      <c r="A121">
        <v>120</v>
      </c>
      <c r="B121" t="s">
        <v>5958</v>
      </c>
      <c r="D121">
        <v>1169</v>
      </c>
      <c r="E121" t="s">
        <v>4786</v>
      </c>
      <c r="F121">
        <v>37.39</v>
      </c>
      <c r="G121" s="3212">
        <v>16.604159843277223</v>
      </c>
      <c r="H121" s="3218">
        <f t="shared" si="1"/>
        <v>16.600000000000001</v>
      </c>
    </row>
    <row r="122" spans="1:8">
      <c r="A122">
        <v>121</v>
      </c>
      <c r="B122" t="s">
        <v>5958</v>
      </c>
      <c r="D122">
        <v>1170</v>
      </c>
      <c r="E122" t="s">
        <v>4786</v>
      </c>
      <c r="F122">
        <v>35.9</v>
      </c>
      <c r="G122" s="3212">
        <v>15.94248029884066</v>
      </c>
      <c r="H122" s="3218">
        <f t="shared" si="1"/>
        <v>15.94</v>
      </c>
    </row>
    <row r="123" spans="1:8">
      <c r="A123">
        <v>122</v>
      </c>
      <c r="B123" t="s">
        <v>5958</v>
      </c>
      <c r="D123">
        <v>1171</v>
      </c>
      <c r="E123" t="s">
        <v>4786</v>
      </c>
      <c r="F123">
        <v>35.9</v>
      </c>
      <c r="G123" s="3212">
        <v>15.94248029884066</v>
      </c>
      <c r="H123" s="3218">
        <f t="shared" si="1"/>
        <v>15.94</v>
      </c>
    </row>
    <row r="124" spans="1:8">
      <c r="A124">
        <v>123</v>
      </c>
      <c r="B124" t="s">
        <v>5958</v>
      </c>
      <c r="D124">
        <v>1174</v>
      </c>
      <c r="E124" t="s">
        <v>4786</v>
      </c>
      <c r="F124">
        <v>37.39</v>
      </c>
      <c r="G124" s="3212">
        <v>16.604159843277223</v>
      </c>
      <c r="H124" s="3218">
        <f t="shared" si="1"/>
        <v>16.600000000000001</v>
      </c>
    </row>
    <row r="125" spans="1:8">
      <c r="A125">
        <v>124</v>
      </c>
      <c r="B125" t="s">
        <v>5958</v>
      </c>
      <c r="D125">
        <v>1175</v>
      </c>
      <c r="E125" t="s">
        <v>4786</v>
      </c>
      <c r="F125">
        <v>37.39</v>
      </c>
      <c r="G125" s="3212">
        <v>16.604159843277223</v>
      </c>
      <c r="H125" s="3218">
        <f t="shared" si="1"/>
        <v>16.600000000000001</v>
      </c>
    </row>
    <row r="126" spans="1:8">
      <c r="A126">
        <v>125</v>
      </c>
      <c r="B126" t="s">
        <v>5958</v>
      </c>
      <c r="D126">
        <v>1177</v>
      </c>
      <c r="E126" t="s">
        <v>4786</v>
      </c>
      <c r="F126">
        <v>37.39</v>
      </c>
      <c r="G126" s="3212">
        <v>16.604159843277223</v>
      </c>
      <c r="H126" s="3218">
        <f t="shared" si="1"/>
        <v>16.600000000000001</v>
      </c>
    </row>
    <row r="127" spans="1:8">
      <c r="A127">
        <v>126</v>
      </c>
      <c r="B127" t="s">
        <v>5958</v>
      </c>
      <c r="D127">
        <v>1180</v>
      </c>
      <c r="E127" t="s">
        <v>4786</v>
      </c>
      <c r="F127">
        <v>37.39</v>
      </c>
      <c r="G127" s="3212">
        <v>16.604159843277223</v>
      </c>
      <c r="H127" s="3218">
        <f t="shared" si="1"/>
        <v>16.600000000000001</v>
      </c>
    </row>
    <row r="128" spans="1:8">
      <c r="A128">
        <v>127</v>
      </c>
      <c r="B128" t="s">
        <v>5958</v>
      </c>
      <c r="D128">
        <v>1181</v>
      </c>
      <c r="E128" t="s">
        <v>4786</v>
      </c>
      <c r="F128">
        <v>37.39</v>
      </c>
      <c r="G128" s="3212">
        <v>16.604159843277223</v>
      </c>
      <c r="H128" s="3218">
        <f t="shared" si="1"/>
        <v>16.600000000000001</v>
      </c>
    </row>
    <row r="129" spans="1:8">
      <c r="A129">
        <v>128</v>
      </c>
      <c r="B129" t="s">
        <v>5958</v>
      </c>
      <c r="D129">
        <v>1182</v>
      </c>
      <c r="E129" t="s">
        <v>4786</v>
      </c>
      <c r="F129">
        <v>37.39</v>
      </c>
      <c r="G129" s="3212">
        <v>16.604159843277223</v>
      </c>
      <c r="H129" s="3218">
        <f t="shared" si="1"/>
        <v>16.600000000000001</v>
      </c>
    </row>
    <row r="130" spans="1:8">
      <c r="A130">
        <v>129</v>
      </c>
      <c r="B130" t="s">
        <v>5958</v>
      </c>
      <c r="D130">
        <v>1183</v>
      </c>
      <c r="E130" t="s">
        <v>4786</v>
      </c>
      <c r="F130">
        <v>37.39</v>
      </c>
      <c r="G130" s="3212">
        <v>16.604159843277223</v>
      </c>
      <c r="H130" s="3218">
        <f t="shared" ref="H130:H193" si="2">ROUND(G130,2)</f>
        <v>16.600000000000001</v>
      </c>
    </row>
    <row r="131" spans="1:8">
      <c r="A131">
        <v>130</v>
      </c>
      <c r="B131" t="s">
        <v>5958</v>
      </c>
      <c r="D131">
        <v>1184</v>
      </c>
      <c r="E131" t="s">
        <v>4786</v>
      </c>
      <c r="F131">
        <v>37.39</v>
      </c>
      <c r="G131" s="3212">
        <v>16.604159843277223</v>
      </c>
      <c r="H131" s="3218">
        <f t="shared" si="2"/>
        <v>16.600000000000001</v>
      </c>
    </row>
    <row r="132" spans="1:8">
      <c r="A132">
        <v>131</v>
      </c>
      <c r="B132" t="s">
        <v>5958</v>
      </c>
      <c r="D132">
        <v>1186</v>
      </c>
      <c r="E132" t="s">
        <v>4786</v>
      </c>
      <c r="F132">
        <v>37.39</v>
      </c>
      <c r="G132" s="3212">
        <v>16.604159843277223</v>
      </c>
      <c r="H132" s="3218">
        <f t="shared" si="2"/>
        <v>16.600000000000001</v>
      </c>
    </row>
    <row r="133" spans="1:8">
      <c r="A133">
        <v>132</v>
      </c>
      <c r="B133" t="s">
        <v>5958</v>
      </c>
      <c r="D133">
        <v>1187</v>
      </c>
      <c r="E133" t="s">
        <v>4786</v>
      </c>
      <c r="F133">
        <v>37.39</v>
      </c>
      <c r="G133" s="3212">
        <v>16.604159843277223</v>
      </c>
      <c r="H133" s="3218">
        <f t="shared" si="2"/>
        <v>16.600000000000001</v>
      </c>
    </row>
    <row r="134" spans="1:8">
      <c r="A134">
        <v>133</v>
      </c>
      <c r="B134" t="s">
        <v>5958</v>
      </c>
      <c r="D134">
        <v>1196</v>
      </c>
      <c r="E134" t="s">
        <v>4786</v>
      </c>
      <c r="F134">
        <v>37.39</v>
      </c>
      <c r="G134" s="3212">
        <v>16.604159843277223</v>
      </c>
      <c r="H134" s="3218">
        <f t="shared" si="2"/>
        <v>16.600000000000001</v>
      </c>
    </row>
    <row r="135" spans="1:8">
      <c r="A135">
        <v>134</v>
      </c>
      <c r="B135" t="s">
        <v>5958</v>
      </c>
      <c r="D135">
        <v>1197</v>
      </c>
      <c r="E135" t="s">
        <v>4786</v>
      </c>
      <c r="F135">
        <v>37.39</v>
      </c>
      <c r="G135" s="3212">
        <v>16.604159843277223</v>
      </c>
      <c r="H135" s="3218">
        <f t="shared" si="2"/>
        <v>16.600000000000001</v>
      </c>
    </row>
    <row r="136" spans="1:8">
      <c r="A136">
        <v>135</v>
      </c>
      <c r="B136" t="s">
        <v>5958</v>
      </c>
      <c r="D136">
        <v>1198</v>
      </c>
      <c r="E136" t="s">
        <v>4786</v>
      </c>
      <c r="F136">
        <v>35.9</v>
      </c>
      <c r="G136" s="3212">
        <v>15.94248029884066</v>
      </c>
      <c r="H136" s="3218">
        <f t="shared" si="2"/>
        <v>15.94</v>
      </c>
    </row>
    <row r="137" spans="1:8">
      <c r="A137">
        <v>136</v>
      </c>
      <c r="B137" t="s">
        <v>5958</v>
      </c>
      <c r="D137">
        <v>1199</v>
      </c>
      <c r="E137" t="s">
        <v>4786</v>
      </c>
      <c r="F137">
        <v>35.9</v>
      </c>
      <c r="G137" s="3212">
        <v>15.94248029884066</v>
      </c>
      <c r="H137" s="3218">
        <f t="shared" si="2"/>
        <v>15.94</v>
      </c>
    </row>
    <row r="138" spans="1:8">
      <c r="A138">
        <v>137</v>
      </c>
      <c r="B138" t="s">
        <v>5958</v>
      </c>
      <c r="D138">
        <v>1200</v>
      </c>
      <c r="E138" t="s">
        <v>4786</v>
      </c>
      <c r="F138">
        <v>37.39</v>
      </c>
      <c r="G138" s="3212">
        <v>16.604159843277223</v>
      </c>
      <c r="H138" s="3218">
        <f t="shared" si="2"/>
        <v>16.600000000000001</v>
      </c>
    </row>
    <row r="139" spans="1:8">
      <c r="A139">
        <v>138</v>
      </c>
      <c r="B139" t="s">
        <v>5958</v>
      </c>
      <c r="D139">
        <v>1201</v>
      </c>
      <c r="E139" t="s">
        <v>4786</v>
      </c>
      <c r="F139">
        <v>37.39</v>
      </c>
      <c r="G139" s="3212">
        <v>16.604159843277223</v>
      </c>
      <c r="H139" s="3218">
        <f t="shared" si="2"/>
        <v>16.600000000000001</v>
      </c>
    </row>
    <row r="140" spans="1:8">
      <c r="A140">
        <v>139</v>
      </c>
      <c r="B140" t="s">
        <v>5958</v>
      </c>
      <c r="D140">
        <v>1202</v>
      </c>
      <c r="E140" t="s">
        <v>4786</v>
      </c>
      <c r="F140">
        <v>55.34</v>
      </c>
      <c r="G140" s="3212">
        <v>24.575399992697555</v>
      </c>
      <c r="H140" s="3218">
        <f t="shared" si="2"/>
        <v>24.58</v>
      </c>
    </row>
    <row r="141" spans="1:8">
      <c r="A141">
        <v>140</v>
      </c>
      <c r="B141" t="s">
        <v>5958</v>
      </c>
      <c r="D141">
        <v>1204</v>
      </c>
      <c r="E141" t="s">
        <v>4786</v>
      </c>
      <c r="F141">
        <v>35.9</v>
      </c>
      <c r="G141" s="3212">
        <v>15.94248029884066</v>
      </c>
      <c r="H141" s="3218">
        <f t="shared" si="2"/>
        <v>15.94</v>
      </c>
    </row>
    <row r="142" spans="1:8">
      <c r="A142">
        <v>141</v>
      </c>
      <c r="B142" t="s">
        <v>5958</v>
      </c>
      <c r="D142">
        <v>1205</v>
      </c>
      <c r="E142" t="s">
        <v>4786</v>
      </c>
      <c r="F142">
        <v>37.39</v>
      </c>
      <c r="G142" s="3212">
        <v>16.604159843277223</v>
      </c>
      <c r="H142" s="3218">
        <f t="shared" si="2"/>
        <v>16.600000000000001</v>
      </c>
    </row>
    <row r="143" spans="1:8">
      <c r="A143">
        <v>142</v>
      </c>
      <c r="B143" t="s">
        <v>5958</v>
      </c>
      <c r="D143">
        <v>1206</v>
      </c>
      <c r="E143" t="s">
        <v>4786</v>
      </c>
      <c r="F143">
        <v>37.39</v>
      </c>
      <c r="G143" s="3212">
        <v>16.604159843277223</v>
      </c>
      <c r="H143" s="3218">
        <f t="shared" si="2"/>
        <v>16.600000000000001</v>
      </c>
    </row>
    <row r="144" spans="1:8">
      <c r="A144">
        <v>143</v>
      </c>
      <c r="B144" t="s">
        <v>5958</v>
      </c>
      <c r="D144">
        <v>1207</v>
      </c>
      <c r="E144" t="s">
        <v>4786</v>
      </c>
      <c r="F144">
        <v>35.9</v>
      </c>
      <c r="G144" s="3212">
        <v>15.94248029884066</v>
      </c>
      <c r="H144" s="3218">
        <f t="shared" si="2"/>
        <v>15.94</v>
      </c>
    </row>
    <row r="145" spans="1:8">
      <c r="A145">
        <v>144</v>
      </c>
      <c r="B145" t="s">
        <v>5958</v>
      </c>
      <c r="D145">
        <v>1208</v>
      </c>
      <c r="E145" t="s">
        <v>4786</v>
      </c>
      <c r="F145">
        <v>35.9</v>
      </c>
      <c r="G145" s="3212">
        <v>15.94248029884066</v>
      </c>
      <c r="H145" s="3218">
        <f t="shared" si="2"/>
        <v>15.94</v>
      </c>
    </row>
    <row r="146" spans="1:8">
      <c r="A146">
        <v>145</v>
      </c>
      <c r="B146" t="s">
        <v>5958</v>
      </c>
      <c r="D146">
        <v>1213</v>
      </c>
      <c r="E146" t="s">
        <v>4786</v>
      </c>
      <c r="F146">
        <v>37.39</v>
      </c>
      <c r="G146" s="3212">
        <v>16.604159843277223</v>
      </c>
      <c r="H146" s="3218">
        <f t="shared" si="2"/>
        <v>16.600000000000001</v>
      </c>
    </row>
    <row r="147" spans="1:8">
      <c r="A147">
        <v>146</v>
      </c>
      <c r="B147" t="s">
        <v>5958</v>
      </c>
      <c r="D147">
        <v>1214</v>
      </c>
      <c r="E147" t="s">
        <v>4786</v>
      </c>
      <c r="F147">
        <v>37.39</v>
      </c>
      <c r="G147" s="3212">
        <v>16.604159843277223</v>
      </c>
      <c r="H147" s="3218">
        <f t="shared" si="2"/>
        <v>16.600000000000001</v>
      </c>
    </row>
    <row r="148" spans="1:8">
      <c r="A148">
        <v>147</v>
      </c>
      <c r="B148" t="s">
        <v>5958</v>
      </c>
      <c r="D148">
        <v>1216</v>
      </c>
      <c r="E148" t="s">
        <v>4786</v>
      </c>
      <c r="F148">
        <v>37.39</v>
      </c>
      <c r="G148" s="3212">
        <v>16.604159843277223</v>
      </c>
      <c r="H148" s="3218">
        <f t="shared" si="2"/>
        <v>16.600000000000001</v>
      </c>
    </row>
    <row r="149" spans="1:8">
      <c r="A149">
        <v>148</v>
      </c>
      <c r="B149" t="s">
        <v>5958</v>
      </c>
      <c r="D149">
        <v>1219</v>
      </c>
      <c r="E149" t="s">
        <v>4786</v>
      </c>
      <c r="F149">
        <v>37.39</v>
      </c>
      <c r="G149" s="3212">
        <v>16.604159843277223</v>
      </c>
      <c r="H149" s="3218">
        <f t="shared" si="2"/>
        <v>16.600000000000001</v>
      </c>
    </row>
    <row r="150" spans="1:8">
      <c r="A150">
        <v>149</v>
      </c>
      <c r="B150" t="s">
        <v>5958</v>
      </c>
      <c r="D150">
        <v>1220</v>
      </c>
      <c r="E150" t="s">
        <v>4786</v>
      </c>
      <c r="F150">
        <v>37.39</v>
      </c>
      <c r="G150" s="3212">
        <v>16.604159843277223</v>
      </c>
      <c r="H150" s="3218">
        <f t="shared" si="2"/>
        <v>16.600000000000001</v>
      </c>
    </row>
    <row r="151" spans="1:8">
      <c r="A151">
        <v>150</v>
      </c>
      <c r="B151" t="s">
        <v>5958</v>
      </c>
      <c r="D151">
        <v>1221</v>
      </c>
      <c r="E151" t="s">
        <v>4786</v>
      </c>
      <c r="F151">
        <v>37.39</v>
      </c>
      <c r="G151" s="3212">
        <v>16.604159843277223</v>
      </c>
      <c r="H151" s="3218">
        <f t="shared" si="2"/>
        <v>16.600000000000001</v>
      </c>
    </row>
    <row r="152" spans="1:8">
      <c r="A152">
        <v>151</v>
      </c>
      <c r="B152" t="s">
        <v>5958</v>
      </c>
      <c r="D152">
        <v>1223</v>
      </c>
      <c r="E152" t="s">
        <v>4786</v>
      </c>
      <c r="F152">
        <v>37.39</v>
      </c>
      <c r="G152" s="3212">
        <v>16.604159843277223</v>
      </c>
      <c r="H152" s="3218">
        <f t="shared" si="2"/>
        <v>16.600000000000001</v>
      </c>
    </row>
    <row r="153" spans="1:8">
      <c r="A153">
        <v>152</v>
      </c>
      <c r="B153" t="s">
        <v>5958</v>
      </c>
      <c r="D153">
        <v>1224</v>
      </c>
      <c r="E153" t="s">
        <v>4786</v>
      </c>
      <c r="F153">
        <v>37.39</v>
      </c>
      <c r="G153" s="3212">
        <v>16.604159843277223</v>
      </c>
      <c r="H153" s="3218">
        <f t="shared" si="2"/>
        <v>16.600000000000001</v>
      </c>
    </row>
    <row r="154" spans="1:8">
      <c r="A154">
        <v>153</v>
      </c>
      <c r="B154" t="s">
        <v>5958</v>
      </c>
      <c r="D154">
        <v>1231</v>
      </c>
      <c r="E154" t="s">
        <v>4786</v>
      </c>
      <c r="F154">
        <v>37.39</v>
      </c>
      <c r="G154" s="3212">
        <v>16.604159843277223</v>
      </c>
      <c r="H154" s="3218">
        <f t="shared" si="2"/>
        <v>16.600000000000001</v>
      </c>
    </row>
    <row r="155" spans="1:8">
      <c r="A155">
        <v>154</v>
      </c>
      <c r="B155" t="s">
        <v>5958</v>
      </c>
      <c r="D155">
        <v>1237</v>
      </c>
      <c r="E155" t="s">
        <v>4786</v>
      </c>
      <c r="F155">
        <v>55.34</v>
      </c>
      <c r="G155" s="3212">
        <v>24.575399992697555</v>
      </c>
      <c r="H155" s="3218">
        <f t="shared" si="2"/>
        <v>24.58</v>
      </c>
    </row>
    <row r="156" spans="1:8">
      <c r="A156">
        <v>155</v>
      </c>
      <c r="B156" t="s">
        <v>5958</v>
      </c>
      <c r="D156">
        <v>1238</v>
      </c>
      <c r="E156" t="s">
        <v>4786</v>
      </c>
      <c r="F156">
        <v>35.9</v>
      </c>
      <c r="G156" s="3212">
        <v>15.94248029884066</v>
      </c>
      <c r="H156" s="3218">
        <f t="shared" si="2"/>
        <v>15.94</v>
      </c>
    </row>
    <row r="157" spans="1:8">
      <c r="A157">
        <v>156</v>
      </c>
      <c r="B157" t="s">
        <v>5958</v>
      </c>
      <c r="D157">
        <v>1239</v>
      </c>
      <c r="E157" t="s">
        <v>4786</v>
      </c>
      <c r="F157">
        <v>35.9</v>
      </c>
      <c r="G157" s="3212">
        <v>15.94248029884066</v>
      </c>
      <c r="H157" s="3218">
        <f t="shared" si="2"/>
        <v>15.94</v>
      </c>
    </row>
    <row r="158" spans="1:8">
      <c r="A158">
        <v>157</v>
      </c>
      <c r="B158" t="s">
        <v>5958</v>
      </c>
      <c r="D158">
        <v>1240</v>
      </c>
      <c r="E158" t="s">
        <v>4786</v>
      </c>
      <c r="F158">
        <v>37.39</v>
      </c>
      <c r="G158" s="3212">
        <v>16.604159843277223</v>
      </c>
      <c r="H158" s="3218">
        <f t="shared" si="2"/>
        <v>16.600000000000001</v>
      </c>
    </row>
    <row r="159" spans="1:8">
      <c r="A159">
        <v>158</v>
      </c>
      <c r="B159" t="s">
        <v>5958</v>
      </c>
      <c r="D159">
        <v>1242</v>
      </c>
      <c r="E159" t="s">
        <v>4786</v>
      </c>
      <c r="F159">
        <v>37.39</v>
      </c>
      <c r="G159" s="3212">
        <v>16.604159843277223</v>
      </c>
      <c r="H159" s="3218">
        <f t="shared" si="2"/>
        <v>16.600000000000001</v>
      </c>
    </row>
    <row r="160" spans="1:8">
      <c r="A160">
        <v>159</v>
      </c>
      <c r="B160" t="s">
        <v>5958</v>
      </c>
      <c r="D160">
        <v>1243</v>
      </c>
      <c r="E160" t="s">
        <v>4786</v>
      </c>
      <c r="F160">
        <v>35.9</v>
      </c>
      <c r="G160" s="3212">
        <v>15.94248029884066</v>
      </c>
      <c r="H160" s="3218">
        <f t="shared" si="2"/>
        <v>15.94</v>
      </c>
    </row>
    <row r="161" spans="1:8">
      <c r="A161">
        <v>160</v>
      </c>
      <c r="B161" t="s">
        <v>5958</v>
      </c>
      <c r="D161">
        <v>1244</v>
      </c>
      <c r="E161" t="s">
        <v>4786</v>
      </c>
      <c r="F161">
        <v>35.9</v>
      </c>
      <c r="G161" s="3212">
        <v>15.94248029884066</v>
      </c>
      <c r="H161" s="3218">
        <f t="shared" si="2"/>
        <v>15.94</v>
      </c>
    </row>
    <row r="162" spans="1:8">
      <c r="A162">
        <v>161</v>
      </c>
      <c r="B162" t="s">
        <v>5958</v>
      </c>
      <c r="D162">
        <v>1245</v>
      </c>
      <c r="E162" t="s">
        <v>4786</v>
      </c>
      <c r="F162">
        <v>35.9</v>
      </c>
      <c r="G162" s="3212">
        <v>15.94248029884066</v>
      </c>
      <c r="H162" s="3218">
        <f t="shared" si="2"/>
        <v>15.94</v>
      </c>
    </row>
    <row r="163" spans="1:8">
      <c r="A163">
        <v>162</v>
      </c>
      <c r="B163" t="s">
        <v>5958</v>
      </c>
      <c r="D163">
        <v>1246</v>
      </c>
      <c r="E163" t="s">
        <v>4786</v>
      </c>
      <c r="F163">
        <v>35.9</v>
      </c>
      <c r="G163" s="3212">
        <v>15.94248029884066</v>
      </c>
      <c r="H163" s="3218">
        <f t="shared" si="2"/>
        <v>15.94</v>
      </c>
    </row>
    <row r="164" spans="1:8">
      <c r="A164">
        <v>163</v>
      </c>
      <c r="B164" t="s">
        <v>5958</v>
      </c>
      <c r="D164">
        <v>1247</v>
      </c>
      <c r="E164" t="s">
        <v>4786</v>
      </c>
      <c r="F164">
        <v>37.39</v>
      </c>
      <c r="G164" s="3212">
        <v>16.604159843277223</v>
      </c>
      <c r="H164" s="3218">
        <f t="shared" si="2"/>
        <v>16.600000000000001</v>
      </c>
    </row>
    <row r="165" spans="1:8">
      <c r="A165">
        <v>164</v>
      </c>
      <c r="B165" t="s">
        <v>5958</v>
      </c>
      <c r="D165">
        <v>1248</v>
      </c>
      <c r="E165" t="s">
        <v>4786</v>
      </c>
      <c r="F165">
        <v>37.39</v>
      </c>
      <c r="G165" s="3212">
        <v>16.604159843277223</v>
      </c>
      <c r="H165" s="3218">
        <f t="shared" si="2"/>
        <v>16.600000000000001</v>
      </c>
    </row>
    <row r="166" spans="1:8">
      <c r="A166">
        <v>165</v>
      </c>
      <c r="B166" t="s">
        <v>5958</v>
      </c>
      <c r="D166">
        <v>1249</v>
      </c>
      <c r="E166" t="s">
        <v>4786</v>
      </c>
      <c r="F166">
        <v>35.9</v>
      </c>
      <c r="G166" s="3212">
        <v>15.94248029884066</v>
      </c>
      <c r="H166" s="3218">
        <f t="shared" si="2"/>
        <v>15.94</v>
      </c>
    </row>
    <row r="167" spans="1:8">
      <c r="A167">
        <v>166</v>
      </c>
      <c r="B167" t="s">
        <v>5958</v>
      </c>
      <c r="D167">
        <v>1250</v>
      </c>
      <c r="E167" t="s">
        <v>4786</v>
      </c>
      <c r="F167">
        <v>35.9</v>
      </c>
      <c r="G167" s="3212">
        <v>15.94248029884066</v>
      </c>
      <c r="H167" s="3218">
        <f t="shared" si="2"/>
        <v>15.94</v>
      </c>
    </row>
    <row r="168" spans="1:8">
      <c r="A168">
        <v>167</v>
      </c>
      <c r="B168" t="s">
        <v>5958</v>
      </c>
      <c r="D168">
        <v>1251</v>
      </c>
      <c r="E168" t="s">
        <v>4786</v>
      </c>
      <c r="F168">
        <v>35.9</v>
      </c>
      <c r="G168" s="3212">
        <v>15.94248029884066</v>
      </c>
      <c r="H168" s="3218">
        <f t="shared" si="2"/>
        <v>15.94</v>
      </c>
    </row>
    <row r="169" spans="1:8">
      <c r="A169">
        <v>168</v>
      </c>
      <c r="B169" t="s">
        <v>5958</v>
      </c>
      <c r="D169">
        <v>1252</v>
      </c>
      <c r="E169" t="s">
        <v>4786</v>
      </c>
      <c r="F169">
        <v>35.9</v>
      </c>
      <c r="G169" s="3212">
        <v>15.94248029884066</v>
      </c>
      <c r="H169" s="3218">
        <f t="shared" si="2"/>
        <v>15.94</v>
      </c>
    </row>
    <row r="170" spans="1:8">
      <c r="A170">
        <v>169</v>
      </c>
      <c r="B170" t="s">
        <v>5958</v>
      </c>
      <c r="D170">
        <v>1253</v>
      </c>
      <c r="E170" t="s">
        <v>4786</v>
      </c>
      <c r="F170">
        <v>37.39</v>
      </c>
      <c r="G170" s="3212">
        <v>16.604159843277223</v>
      </c>
      <c r="H170" s="3218">
        <f t="shared" si="2"/>
        <v>16.600000000000001</v>
      </c>
    </row>
    <row r="171" spans="1:8">
      <c r="A171">
        <v>170</v>
      </c>
      <c r="B171" t="s">
        <v>5958</v>
      </c>
      <c r="D171">
        <v>1255</v>
      </c>
      <c r="E171" t="s">
        <v>4786</v>
      </c>
      <c r="F171">
        <v>37.39</v>
      </c>
      <c r="G171" s="3212">
        <v>16.604159843277223</v>
      </c>
      <c r="H171" s="3218">
        <f t="shared" si="2"/>
        <v>16.600000000000001</v>
      </c>
    </row>
    <row r="172" spans="1:8">
      <c r="A172">
        <v>171</v>
      </c>
      <c r="B172" t="s">
        <v>5958</v>
      </c>
      <c r="D172">
        <v>1256</v>
      </c>
      <c r="E172" t="s">
        <v>4786</v>
      </c>
      <c r="F172">
        <v>37.39</v>
      </c>
      <c r="G172" s="3212">
        <v>16.604159843277223</v>
      </c>
      <c r="H172" s="3218">
        <f t="shared" si="2"/>
        <v>16.600000000000001</v>
      </c>
    </row>
    <row r="173" spans="1:8">
      <c r="A173">
        <v>172</v>
      </c>
      <c r="B173" t="s">
        <v>5958</v>
      </c>
      <c r="D173">
        <v>1260</v>
      </c>
      <c r="E173" t="s">
        <v>4786</v>
      </c>
      <c r="F173">
        <v>37.39</v>
      </c>
      <c r="G173" s="3212">
        <v>16.604159843277223</v>
      </c>
      <c r="H173" s="3218">
        <f t="shared" si="2"/>
        <v>16.600000000000001</v>
      </c>
    </row>
    <row r="174" spans="1:8">
      <c r="A174">
        <v>173</v>
      </c>
      <c r="B174" t="s">
        <v>5958</v>
      </c>
      <c r="D174">
        <v>1269</v>
      </c>
      <c r="E174" t="s">
        <v>4786</v>
      </c>
      <c r="F174">
        <v>37.39</v>
      </c>
      <c r="G174" s="3212">
        <v>16.604159843277223</v>
      </c>
      <c r="H174" s="3218">
        <f t="shared" si="2"/>
        <v>16.600000000000001</v>
      </c>
    </row>
    <row r="175" spans="1:8">
      <c r="A175">
        <v>174</v>
      </c>
      <c r="B175" t="s">
        <v>5958</v>
      </c>
      <c r="D175">
        <v>1270</v>
      </c>
      <c r="E175" t="s">
        <v>4786</v>
      </c>
      <c r="F175">
        <v>37.39</v>
      </c>
      <c r="G175" s="3212">
        <v>16.604159843277223</v>
      </c>
      <c r="H175" s="3218">
        <f t="shared" si="2"/>
        <v>16.600000000000001</v>
      </c>
    </row>
    <row r="176" spans="1:8">
      <c r="A176">
        <v>175</v>
      </c>
      <c r="B176" t="s">
        <v>5958</v>
      </c>
      <c r="D176">
        <v>1271</v>
      </c>
      <c r="E176" t="s">
        <v>4786</v>
      </c>
      <c r="F176">
        <v>37.39</v>
      </c>
      <c r="G176" s="3212">
        <v>16.604159843277223</v>
      </c>
      <c r="H176" s="3218">
        <f t="shared" si="2"/>
        <v>16.600000000000001</v>
      </c>
    </row>
    <row r="177" spans="1:8">
      <c r="A177">
        <v>176</v>
      </c>
      <c r="B177" t="s">
        <v>5958</v>
      </c>
      <c r="D177">
        <v>1272</v>
      </c>
      <c r="E177" t="s">
        <v>4786</v>
      </c>
      <c r="F177">
        <v>37.39</v>
      </c>
      <c r="G177" s="3212">
        <v>16.604159843277223</v>
      </c>
      <c r="H177" s="3218">
        <f t="shared" si="2"/>
        <v>16.600000000000001</v>
      </c>
    </row>
    <row r="178" spans="1:8">
      <c r="A178">
        <v>177</v>
      </c>
      <c r="B178" t="s">
        <v>5958</v>
      </c>
      <c r="D178">
        <v>1273</v>
      </c>
      <c r="E178" t="s">
        <v>4786</v>
      </c>
      <c r="F178">
        <v>37.39</v>
      </c>
      <c r="G178" s="3212">
        <v>16.604159843277223</v>
      </c>
      <c r="H178" s="3218">
        <f t="shared" si="2"/>
        <v>16.600000000000001</v>
      </c>
    </row>
    <row r="179" spans="1:8">
      <c r="A179">
        <v>178</v>
      </c>
      <c r="B179" t="s">
        <v>5958</v>
      </c>
      <c r="D179">
        <v>1274</v>
      </c>
      <c r="E179" t="s">
        <v>4786</v>
      </c>
      <c r="F179">
        <v>37.39</v>
      </c>
      <c r="G179" s="3212">
        <v>16.604159843277223</v>
      </c>
      <c r="H179" s="3218">
        <f t="shared" si="2"/>
        <v>16.600000000000001</v>
      </c>
    </row>
    <row r="180" spans="1:8">
      <c r="A180">
        <v>179</v>
      </c>
      <c r="B180" t="s">
        <v>5958</v>
      </c>
      <c r="D180">
        <v>1277</v>
      </c>
      <c r="E180" t="s">
        <v>4786</v>
      </c>
      <c r="F180">
        <v>37.39</v>
      </c>
      <c r="G180" s="3212">
        <v>16.604159843277223</v>
      </c>
      <c r="H180" s="3218">
        <f t="shared" si="2"/>
        <v>16.600000000000001</v>
      </c>
    </row>
    <row r="181" spans="1:8">
      <c r="A181">
        <v>180</v>
      </c>
      <c r="B181" t="s">
        <v>5958</v>
      </c>
      <c r="D181">
        <v>1278</v>
      </c>
      <c r="E181" t="s">
        <v>4786</v>
      </c>
      <c r="F181">
        <v>37.39</v>
      </c>
      <c r="G181" s="3212">
        <v>16.604159843277223</v>
      </c>
      <c r="H181" s="3218">
        <f t="shared" si="2"/>
        <v>16.600000000000001</v>
      </c>
    </row>
    <row r="182" spans="1:8">
      <c r="A182">
        <v>181</v>
      </c>
      <c r="B182" t="s">
        <v>5958</v>
      </c>
      <c r="D182">
        <v>1279</v>
      </c>
      <c r="E182" t="s">
        <v>4786</v>
      </c>
      <c r="F182">
        <v>37.39</v>
      </c>
      <c r="G182" s="3212">
        <v>16.604159843277223</v>
      </c>
      <c r="H182" s="3218">
        <f t="shared" si="2"/>
        <v>16.600000000000001</v>
      </c>
    </row>
    <row r="183" spans="1:8">
      <c r="A183">
        <v>182</v>
      </c>
      <c r="B183" t="s">
        <v>5958</v>
      </c>
      <c r="D183">
        <v>1281</v>
      </c>
      <c r="E183" t="s">
        <v>4786</v>
      </c>
      <c r="F183">
        <v>37.39</v>
      </c>
      <c r="G183" s="3212">
        <v>16.604159843277223</v>
      </c>
      <c r="H183" s="3218">
        <f t="shared" si="2"/>
        <v>16.600000000000001</v>
      </c>
    </row>
    <row r="184" spans="1:8">
      <c r="A184">
        <v>183</v>
      </c>
      <c r="B184" t="s">
        <v>5958</v>
      </c>
      <c r="D184">
        <v>1283</v>
      </c>
      <c r="E184" t="s">
        <v>4786</v>
      </c>
      <c r="F184">
        <v>37.39</v>
      </c>
      <c r="G184" s="3212">
        <v>16.604159843277223</v>
      </c>
      <c r="H184" s="3218">
        <f t="shared" si="2"/>
        <v>16.600000000000001</v>
      </c>
    </row>
    <row r="185" spans="1:8">
      <c r="A185">
        <v>184</v>
      </c>
      <c r="B185" t="s">
        <v>5958</v>
      </c>
      <c r="D185">
        <v>1284</v>
      </c>
      <c r="E185" t="s">
        <v>4786</v>
      </c>
      <c r="F185">
        <v>37.39</v>
      </c>
      <c r="G185" s="3212">
        <v>16.604159843277223</v>
      </c>
      <c r="H185" s="3218">
        <f t="shared" si="2"/>
        <v>16.600000000000001</v>
      </c>
    </row>
    <row r="186" spans="1:8">
      <c r="A186">
        <v>185</v>
      </c>
      <c r="B186" t="s">
        <v>5958</v>
      </c>
      <c r="D186">
        <v>1287</v>
      </c>
      <c r="E186" t="s">
        <v>4786</v>
      </c>
      <c r="F186">
        <v>37.39</v>
      </c>
      <c r="G186" s="3212">
        <v>16.604159843277223</v>
      </c>
      <c r="H186" s="3218">
        <f t="shared" si="2"/>
        <v>16.600000000000001</v>
      </c>
    </row>
    <row r="187" spans="1:8">
      <c r="A187">
        <v>186</v>
      </c>
      <c r="B187" t="s">
        <v>5958</v>
      </c>
      <c r="D187">
        <v>1288</v>
      </c>
      <c r="E187" t="s">
        <v>4786</v>
      </c>
      <c r="F187">
        <v>37.39</v>
      </c>
      <c r="G187" s="3212">
        <v>16.604159843277223</v>
      </c>
      <c r="H187" s="3218">
        <f t="shared" si="2"/>
        <v>16.600000000000001</v>
      </c>
    </row>
    <row r="188" spans="1:8">
      <c r="A188">
        <v>187</v>
      </c>
      <c r="B188" t="s">
        <v>5958</v>
      </c>
      <c r="D188">
        <v>1293</v>
      </c>
      <c r="E188" t="s">
        <v>4786</v>
      </c>
      <c r="F188">
        <v>37.39</v>
      </c>
      <c r="G188" s="3212">
        <v>16.604159843277223</v>
      </c>
      <c r="H188" s="3218">
        <f t="shared" si="2"/>
        <v>16.600000000000001</v>
      </c>
    </row>
    <row r="189" spans="1:8">
      <c r="A189">
        <v>188</v>
      </c>
      <c r="B189" t="s">
        <v>5958</v>
      </c>
      <c r="D189">
        <v>1294</v>
      </c>
      <c r="E189" t="s">
        <v>4786</v>
      </c>
      <c r="F189">
        <v>37.39</v>
      </c>
      <c r="G189" s="3212">
        <v>16.604159843277223</v>
      </c>
      <c r="H189" s="3218">
        <f t="shared" si="2"/>
        <v>16.600000000000001</v>
      </c>
    </row>
    <row r="190" spans="1:8">
      <c r="A190">
        <v>189</v>
      </c>
      <c r="B190" t="s">
        <v>5958</v>
      </c>
      <c r="D190">
        <v>1295</v>
      </c>
      <c r="E190" t="s">
        <v>4786</v>
      </c>
      <c r="F190">
        <v>37.39</v>
      </c>
      <c r="G190" s="3212">
        <v>16.604159843277223</v>
      </c>
      <c r="H190" s="3218">
        <f t="shared" si="2"/>
        <v>16.600000000000001</v>
      </c>
    </row>
    <row r="191" spans="1:8">
      <c r="A191">
        <v>190</v>
      </c>
      <c r="B191" t="s">
        <v>5958</v>
      </c>
      <c r="D191">
        <v>1296</v>
      </c>
      <c r="E191" t="s">
        <v>4786</v>
      </c>
      <c r="F191">
        <v>37.39</v>
      </c>
      <c r="G191" s="3212">
        <v>16.604159843277223</v>
      </c>
      <c r="H191" s="3218">
        <f t="shared" si="2"/>
        <v>16.600000000000001</v>
      </c>
    </row>
    <row r="192" spans="1:8">
      <c r="A192">
        <v>191</v>
      </c>
      <c r="B192" t="s">
        <v>5958</v>
      </c>
      <c r="D192">
        <v>1297</v>
      </c>
      <c r="E192" t="s">
        <v>4786</v>
      </c>
      <c r="F192">
        <v>37.39</v>
      </c>
      <c r="G192" s="3212">
        <v>16.604159843277223</v>
      </c>
      <c r="H192" s="3218">
        <f t="shared" si="2"/>
        <v>16.600000000000001</v>
      </c>
    </row>
    <row r="193" spans="1:8">
      <c r="A193">
        <v>192</v>
      </c>
      <c r="B193" t="s">
        <v>5958</v>
      </c>
      <c r="D193">
        <v>1298</v>
      </c>
      <c r="E193" t="s">
        <v>4786</v>
      </c>
      <c r="F193">
        <v>37.39</v>
      </c>
      <c r="G193" s="3212">
        <v>16.604159843277223</v>
      </c>
      <c r="H193" s="3218">
        <f t="shared" si="2"/>
        <v>16.600000000000001</v>
      </c>
    </row>
    <row r="194" spans="1:8">
      <c r="A194">
        <v>193</v>
      </c>
      <c r="B194" t="s">
        <v>5958</v>
      </c>
      <c r="D194">
        <v>1299</v>
      </c>
      <c r="E194" t="s">
        <v>4786</v>
      </c>
      <c r="F194">
        <v>37.39</v>
      </c>
      <c r="G194" s="3212">
        <v>16.604159843277223</v>
      </c>
      <c r="H194" s="3218">
        <f t="shared" ref="H194:H257" si="3">ROUND(G194,2)</f>
        <v>16.600000000000001</v>
      </c>
    </row>
    <row r="195" spans="1:8">
      <c r="A195">
        <v>194</v>
      </c>
      <c r="B195" t="s">
        <v>5958</v>
      </c>
      <c r="D195">
        <v>1300</v>
      </c>
      <c r="E195" t="s">
        <v>4786</v>
      </c>
      <c r="F195">
        <v>37.39</v>
      </c>
      <c r="G195" s="3212">
        <v>16.604159843277223</v>
      </c>
      <c r="H195" s="3218">
        <f t="shared" si="3"/>
        <v>16.600000000000001</v>
      </c>
    </row>
    <row r="196" spans="1:8">
      <c r="A196">
        <v>195</v>
      </c>
      <c r="B196" t="s">
        <v>5958</v>
      </c>
      <c r="D196">
        <v>1301</v>
      </c>
      <c r="E196" t="s">
        <v>4786</v>
      </c>
      <c r="F196">
        <v>37.39</v>
      </c>
      <c r="G196" s="3212">
        <v>16.604159843277223</v>
      </c>
      <c r="H196" s="3218">
        <f t="shared" si="3"/>
        <v>16.600000000000001</v>
      </c>
    </row>
    <row r="197" spans="1:8">
      <c r="A197">
        <v>196</v>
      </c>
      <c r="B197" t="s">
        <v>5958</v>
      </c>
      <c r="D197">
        <v>1302</v>
      </c>
      <c r="E197" t="s">
        <v>4786</v>
      </c>
      <c r="F197">
        <v>37.39</v>
      </c>
      <c r="G197" s="3212">
        <v>16.604159843277223</v>
      </c>
      <c r="H197" s="3218">
        <f t="shared" si="3"/>
        <v>16.600000000000001</v>
      </c>
    </row>
    <row r="198" spans="1:8">
      <c r="A198">
        <v>197</v>
      </c>
      <c r="B198" t="s">
        <v>5958</v>
      </c>
      <c r="D198">
        <v>1303</v>
      </c>
      <c r="E198" t="s">
        <v>4786</v>
      </c>
      <c r="F198">
        <v>37.39</v>
      </c>
      <c r="G198" s="3212">
        <v>16.604159843277223</v>
      </c>
      <c r="H198" s="3218">
        <f t="shared" si="3"/>
        <v>16.600000000000001</v>
      </c>
    </row>
    <row r="199" spans="1:8">
      <c r="A199">
        <v>198</v>
      </c>
      <c r="B199" t="s">
        <v>5958</v>
      </c>
      <c r="D199">
        <v>1304</v>
      </c>
      <c r="E199" t="s">
        <v>4786</v>
      </c>
      <c r="F199">
        <v>55.34</v>
      </c>
      <c r="G199" s="3212">
        <v>24.575399992697555</v>
      </c>
      <c r="H199" s="3218">
        <f t="shared" si="3"/>
        <v>24.58</v>
      </c>
    </row>
    <row r="200" spans="1:8">
      <c r="A200">
        <v>199</v>
      </c>
      <c r="B200" t="s">
        <v>5958</v>
      </c>
      <c r="D200">
        <v>1305</v>
      </c>
      <c r="E200" t="s">
        <v>4786</v>
      </c>
      <c r="F200">
        <v>37.39</v>
      </c>
      <c r="G200" s="3212">
        <v>16.604159843277223</v>
      </c>
      <c r="H200" s="3218">
        <f t="shared" si="3"/>
        <v>16.600000000000001</v>
      </c>
    </row>
    <row r="201" spans="1:8">
      <c r="A201">
        <v>200</v>
      </c>
      <c r="B201" t="s">
        <v>5958</v>
      </c>
      <c r="D201">
        <v>1306</v>
      </c>
      <c r="E201" t="s">
        <v>4786</v>
      </c>
      <c r="F201">
        <v>37.39</v>
      </c>
      <c r="G201" s="3212">
        <v>16.604159843277223</v>
      </c>
      <c r="H201" s="3218">
        <f t="shared" si="3"/>
        <v>16.600000000000001</v>
      </c>
    </row>
    <row r="202" spans="1:8">
      <c r="A202">
        <v>201</v>
      </c>
      <c r="B202" t="s">
        <v>5958</v>
      </c>
      <c r="D202">
        <v>1309</v>
      </c>
      <c r="E202" t="s">
        <v>4786</v>
      </c>
      <c r="F202">
        <v>37.39</v>
      </c>
      <c r="G202" s="3212">
        <v>16.604159843277223</v>
      </c>
      <c r="H202" s="3218">
        <f t="shared" si="3"/>
        <v>16.600000000000001</v>
      </c>
    </row>
    <row r="203" spans="1:8">
      <c r="A203">
        <v>202</v>
      </c>
      <c r="B203" t="s">
        <v>5958</v>
      </c>
      <c r="D203">
        <v>1310</v>
      </c>
      <c r="E203" t="s">
        <v>4786</v>
      </c>
      <c r="F203">
        <v>37.39</v>
      </c>
      <c r="G203" s="3212">
        <v>16.604159843277223</v>
      </c>
      <c r="H203" s="3218">
        <f t="shared" si="3"/>
        <v>16.600000000000001</v>
      </c>
    </row>
    <row r="204" spans="1:8">
      <c r="A204">
        <v>203</v>
      </c>
      <c r="B204" t="s">
        <v>5958</v>
      </c>
      <c r="D204">
        <v>1311</v>
      </c>
      <c r="E204" t="s">
        <v>4786</v>
      </c>
      <c r="F204">
        <v>37.39</v>
      </c>
      <c r="G204" s="3212">
        <v>16.604159843277223</v>
      </c>
      <c r="H204" s="3218">
        <f t="shared" si="3"/>
        <v>16.600000000000001</v>
      </c>
    </row>
    <row r="205" spans="1:8">
      <c r="A205">
        <v>204</v>
      </c>
      <c r="B205" t="s">
        <v>5958</v>
      </c>
      <c r="D205">
        <v>1312</v>
      </c>
      <c r="E205" t="s">
        <v>4786</v>
      </c>
      <c r="F205">
        <v>37.39</v>
      </c>
      <c r="G205" s="3212">
        <v>16.604159843277223</v>
      </c>
      <c r="H205" s="3218">
        <f t="shared" si="3"/>
        <v>16.600000000000001</v>
      </c>
    </row>
    <row r="206" spans="1:8">
      <c r="A206">
        <v>205</v>
      </c>
      <c r="B206" t="s">
        <v>5958</v>
      </c>
      <c r="D206">
        <v>1313</v>
      </c>
      <c r="E206" t="s">
        <v>4786</v>
      </c>
      <c r="F206">
        <v>37.39</v>
      </c>
      <c r="G206" s="3212">
        <v>16.604159843277223</v>
      </c>
      <c r="H206" s="3218">
        <f t="shared" si="3"/>
        <v>16.600000000000001</v>
      </c>
    </row>
    <row r="207" spans="1:8">
      <c r="A207">
        <v>206</v>
      </c>
      <c r="B207" t="s">
        <v>5958</v>
      </c>
      <c r="D207">
        <v>1315</v>
      </c>
      <c r="E207" t="s">
        <v>4786</v>
      </c>
      <c r="F207">
        <v>37.39</v>
      </c>
      <c r="G207" s="3212">
        <v>16.604159843277223</v>
      </c>
      <c r="H207" s="3218">
        <f t="shared" si="3"/>
        <v>16.600000000000001</v>
      </c>
    </row>
    <row r="208" spans="1:8">
      <c r="A208">
        <v>207</v>
      </c>
      <c r="B208" t="s">
        <v>5958</v>
      </c>
      <c r="D208">
        <v>1316</v>
      </c>
      <c r="E208" t="s">
        <v>4786</v>
      </c>
      <c r="F208">
        <v>37.39</v>
      </c>
      <c r="G208" s="3212">
        <v>16.604159843277223</v>
      </c>
      <c r="H208" s="3218">
        <f t="shared" si="3"/>
        <v>16.600000000000001</v>
      </c>
    </row>
    <row r="209" spans="1:8">
      <c r="A209">
        <v>208</v>
      </c>
      <c r="B209" t="s">
        <v>5958</v>
      </c>
      <c r="D209">
        <v>1317</v>
      </c>
      <c r="E209" t="s">
        <v>4786</v>
      </c>
      <c r="F209">
        <v>37.39</v>
      </c>
      <c r="G209" s="3212">
        <v>16.604159843277223</v>
      </c>
      <c r="H209" s="3218">
        <f t="shared" si="3"/>
        <v>16.600000000000001</v>
      </c>
    </row>
    <row r="210" spans="1:8">
      <c r="A210">
        <v>209</v>
      </c>
      <c r="B210" t="s">
        <v>5958</v>
      </c>
      <c r="D210">
        <v>1318</v>
      </c>
      <c r="E210" t="s">
        <v>4786</v>
      </c>
      <c r="F210">
        <v>37.39</v>
      </c>
      <c r="G210" s="3212">
        <v>16.604159843277223</v>
      </c>
      <c r="H210" s="3218">
        <f t="shared" si="3"/>
        <v>16.600000000000001</v>
      </c>
    </row>
    <row r="211" spans="1:8">
      <c r="A211">
        <v>210</v>
      </c>
      <c r="B211" t="s">
        <v>5958</v>
      </c>
      <c r="D211">
        <v>1319</v>
      </c>
      <c r="E211" t="s">
        <v>4786</v>
      </c>
      <c r="F211">
        <v>37.39</v>
      </c>
      <c r="G211" s="3212">
        <v>16.604159843277223</v>
      </c>
      <c r="H211" s="3218">
        <f t="shared" si="3"/>
        <v>16.600000000000001</v>
      </c>
    </row>
    <row r="212" spans="1:8">
      <c r="A212">
        <v>211</v>
      </c>
      <c r="B212" t="s">
        <v>5958</v>
      </c>
      <c r="D212">
        <v>1320</v>
      </c>
      <c r="E212" t="s">
        <v>4786</v>
      </c>
      <c r="F212">
        <v>37.39</v>
      </c>
      <c r="G212" s="3212">
        <v>16.604159843277223</v>
      </c>
      <c r="H212" s="3218">
        <f t="shared" si="3"/>
        <v>16.600000000000001</v>
      </c>
    </row>
    <row r="213" spans="1:8">
      <c r="A213">
        <v>212</v>
      </c>
      <c r="B213" t="s">
        <v>5958</v>
      </c>
      <c r="D213">
        <v>1321</v>
      </c>
      <c r="E213" t="s">
        <v>4786</v>
      </c>
      <c r="F213">
        <v>37.39</v>
      </c>
      <c r="G213" s="3212">
        <v>16.604159843277223</v>
      </c>
      <c r="H213" s="3218">
        <f t="shared" si="3"/>
        <v>16.600000000000001</v>
      </c>
    </row>
    <row r="214" spans="1:8">
      <c r="A214">
        <v>213</v>
      </c>
      <c r="B214" t="s">
        <v>5958</v>
      </c>
      <c r="D214">
        <v>1322</v>
      </c>
      <c r="E214" t="s">
        <v>4786</v>
      </c>
      <c r="F214">
        <v>37.39</v>
      </c>
      <c r="G214" s="3212">
        <v>16.604159843277223</v>
      </c>
      <c r="H214" s="3218">
        <f t="shared" si="3"/>
        <v>16.600000000000001</v>
      </c>
    </row>
    <row r="215" spans="1:8">
      <c r="A215">
        <v>214</v>
      </c>
      <c r="B215" t="s">
        <v>5958</v>
      </c>
      <c r="D215">
        <v>1323</v>
      </c>
      <c r="E215" t="s">
        <v>4786</v>
      </c>
      <c r="F215">
        <v>37.39</v>
      </c>
      <c r="G215" s="3212">
        <v>16.604159843277223</v>
      </c>
      <c r="H215" s="3218">
        <f t="shared" si="3"/>
        <v>16.600000000000001</v>
      </c>
    </row>
    <row r="216" spans="1:8">
      <c r="A216">
        <v>215</v>
      </c>
      <c r="B216" t="s">
        <v>5958</v>
      </c>
      <c r="D216">
        <v>1324</v>
      </c>
      <c r="E216" t="s">
        <v>4786</v>
      </c>
      <c r="F216">
        <v>37.39</v>
      </c>
      <c r="G216" s="3212">
        <v>16.604159843277223</v>
      </c>
      <c r="H216" s="3218">
        <f t="shared" si="3"/>
        <v>16.600000000000001</v>
      </c>
    </row>
    <row r="217" spans="1:8">
      <c r="A217">
        <v>216</v>
      </c>
      <c r="B217" t="s">
        <v>5958</v>
      </c>
      <c r="D217">
        <v>1325</v>
      </c>
      <c r="E217" t="s">
        <v>4786</v>
      </c>
      <c r="F217">
        <v>37.39</v>
      </c>
      <c r="G217" s="3212">
        <v>16.604159843277223</v>
      </c>
      <c r="H217" s="3218">
        <f t="shared" si="3"/>
        <v>16.600000000000001</v>
      </c>
    </row>
    <row r="218" spans="1:8">
      <c r="A218">
        <v>217</v>
      </c>
      <c r="B218" t="s">
        <v>5958</v>
      </c>
      <c r="D218">
        <v>1326</v>
      </c>
      <c r="E218" t="s">
        <v>4786</v>
      </c>
      <c r="F218">
        <v>37.39</v>
      </c>
      <c r="G218" s="3212">
        <v>16.604159843277223</v>
      </c>
      <c r="H218" s="3218">
        <f t="shared" si="3"/>
        <v>16.600000000000001</v>
      </c>
    </row>
    <row r="219" spans="1:8">
      <c r="A219">
        <v>218</v>
      </c>
      <c r="B219" t="s">
        <v>5958</v>
      </c>
      <c r="D219">
        <v>1327</v>
      </c>
      <c r="E219" t="s">
        <v>4786</v>
      </c>
      <c r="F219">
        <v>37.39</v>
      </c>
      <c r="G219" s="3212">
        <v>16.604159843277223</v>
      </c>
      <c r="H219" s="3218">
        <f t="shared" si="3"/>
        <v>16.600000000000001</v>
      </c>
    </row>
    <row r="220" spans="1:8">
      <c r="A220">
        <v>219</v>
      </c>
      <c r="B220" t="s">
        <v>5958</v>
      </c>
      <c r="D220">
        <v>1329</v>
      </c>
      <c r="E220" t="s">
        <v>4786</v>
      </c>
      <c r="F220">
        <v>37.39</v>
      </c>
      <c r="G220" s="3212">
        <v>16.604159843277223</v>
      </c>
      <c r="H220" s="3218">
        <f t="shared" si="3"/>
        <v>16.600000000000001</v>
      </c>
    </row>
    <row r="221" spans="1:8">
      <c r="A221">
        <v>220</v>
      </c>
      <c r="B221" t="s">
        <v>5958</v>
      </c>
      <c r="D221">
        <v>1335</v>
      </c>
      <c r="E221" t="s">
        <v>4786</v>
      </c>
      <c r="F221">
        <v>37.39</v>
      </c>
      <c r="G221" s="3212">
        <v>16.604159843277223</v>
      </c>
      <c r="H221" s="3218">
        <f t="shared" si="3"/>
        <v>16.600000000000001</v>
      </c>
    </row>
    <row r="222" spans="1:8">
      <c r="A222">
        <v>221</v>
      </c>
      <c r="B222" t="s">
        <v>5958</v>
      </c>
      <c r="D222">
        <v>1336</v>
      </c>
      <c r="E222" t="s">
        <v>4786</v>
      </c>
      <c r="F222">
        <v>37.39</v>
      </c>
      <c r="G222" s="3212">
        <v>16.604159843277223</v>
      </c>
      <c r="H222" s="3218">
        <f t="shared" si="3"/>
        <v>16.600000000000001</v>
      </c>
    </row>
    <row r="223" spans="1:8">
      <c r="A223">
        <v>222</v>
      </c>
      <c r="B223" t="s">
        <v>5958</v>
      </c>
      <c r="D223">
        <v>1339</v>
      </c>
      <c r="E223" t="s">
        <v>4786</v>
      </c>
      <c r="F223">
        <v>37.39</v>
      </c>
      <c r="G223" s="3212">
        <v>16.604159843277223</v>
      </c>
      <c r="H223" s="3218">
        <f t="shared" si="3"/>
        <v>16.600000000000001</v>
      </c>
    </row>
    <row r="224" spans="1:8">
      <c r="A224">
        <v>223</v>
      </c>
      <c r="B224" t="s">
        <v>5958</v>
      </c>
      <c r="D224">
        <v>1340</v>
      </c>
      <c r="E224" t="s">
        <v>4786</v>
      </c>
      <c r="F224">
        <v>37.39</v>
      </c>
      <c r="G224" s="3212">
        <v>16.604159843277223</v>
      </c>
      <c r="H224" s="3218">
        <f t="shared" si="3"/>
        <v>16.600000000000001</v>
      </c>
    </row>
    <row r="225" spans="1:8">
      <c r="A225">
        <v>224</v>
      </c>
      <c r="B225" t="s">
        <v>5958</v>
      </c>
      <c r="D225">
        <v>1341</v>
      </c>
      <c r="E225" t="s">
        <v>4786</v>
      </c>
      <c r="F225">
        <v>37.39</v>
      </c>
      <c r="G225" s="3212">
        <v>16.604159843277223</v>
      </c>
      <c r="H225" s="3218">
        <f t="shared" si="3"/>
        <v>16.600000000000001</v>
      </c>
    </row>
    <row r="226" spans="1:8">
      <c r="A226">
        <v>225</v>
      </c>
      <c r="B226" t="s">
        <v>5958</v>
      </c>
      <c r="D226">
        <v>1342</v>
      </c>
      <c r="E226" t="s">
        <v>4786</v>
      </c>
      <c r="F226">
        <v>37.39</v>
      </c>
      <c r="G226" s="3212">
        <v>16.604159843277223</v>
      </c>
      <c r="H226" s="3218">
        <f t="shared" si="3"/>
        <v>16.600000000000001</v>
      </c>
    </row>
    <row r="227" spans="1:8">
      <c r="A227">
        <v>226</v>
      </c>
      <c r="B227" t="s">
        <v>5958</v>
      </c>
      <c r="D227">
        <v>1343</v>
      </c>
      <c r="E227" t="s">
        <v>4786</v>
      </c>
      <c r="F227">
        <v>37.39</v>
      </c>
      <c r="G227" s="3212">
        <v>16.604159843277223</v>
      </c>
      <c r="H227" s="3218">
        <f t="shared" si="3"/>
        <v>16.600000000000001</v>
      </c>
    </row>
    <row r="228" spans="1:8">
      <c r="A228">
        <v>227</v>
      </c>
      <c r="B228" t="s">
        <v>5958</v>
      </c>
      <c r="D228">
        <v>1344</v>
      </c>
      <c r="E228" t="s">
        <v>4786</v>
      </c>
      <c r="F228">
        <v>37.39</v>
      </c>
      <c r="G228" s="3212">
        <v>16.604159843277223</v>
      </c>
      <c r="H228" s="3218">
        <f t="shared" si="3"/>
        <v>16.600000000000001</v>
      </c>
    </row>
    <row r="229" spans="1:8">
      <c r="A229">
        <v>228</v>
      </c>
      <c r="B229" t="s">
        <v>5958</v>
      </c>
      <c r="D229">
        <v>1345</v>
      </c>
      <c r="E229" t="s">
        <v>4786</v>
      </c>
      <c r="F229">
        <v>37.39</v>
      </c>
      <c r="G229" s="3212">
        <v>16.604159843277223</v>
      </c>
      <c r="H229" s="3218">
        <f t="shared" si="3"/>
        <v>16.600000000000001</v>
      </c>
    </row>
    <row r="230" spans="1:8">
      <c r="A230">
        <v>229</v>
      </c>
      <c r="B230" t="s">
        <v>5958</v>
      </c>
      <c r="D230">
        <v>1346</v>
      </c>
      <c r="E230" t="s">
        <v>4786</v>
      </c>
      <c r="F230">
        <v>37.39</v>
      </c>
      <c r="G230" s="3212">
        <v>16.604159843277223</v>
      </c>
      <c r="H230" s="3218">
        <f t="shared" si="3"/>
        <v>16.600000000000001</v>
      </c>
    </row>
    <row r="231" spans="1:8">
      <c r="A231">
        <v>230</v>
      </c>
      <c r="B231" t="s">
        <v>5958</v>
      </c>
      <c r="D231">
        <v>1347</v>
      </c>
      <c r="E231" t="s">
        <v>4786</v>
      </c>
      <c r="F231">
        <v>37.39</v>
      </c>
      <c r="G231" s="3212">
        <v>16.604159843277223</v>
      </c>
      <c r="H231" s="3218">
        <f t="shared" si="3"/>
        <v>16.600000000000001</v>
      </c>
    </row>
    <row r="232" spans="1:8">
      <c r="A232">
        <v>231</v>
      </c>
      <c r="B232" t="s">
        <v>5958</v>
      </c>
      <c r="D232">
        <v>1348</v>
      </c>
      <c r="E232" t="s">
        <v>4786</v>
      </c>
      <c r="F232">
        <v>37.39</v>
      </c>
      <c r="G232" s="3212">
        <v>16.604159843277223</v>
      </c>
      <c r="H232" s="3218">
        <f t="shared" si="3"/>
        <v>16.600000000000001</v>
      </c>
    </row>
    <row r="233" spans="1:8">
      <c r="A233">
        <v>232</v>
      </c>
      <c r="B233" t="s">
        <v>5958</v>
      </c>
      <c r="D233">
        <v>1349</v>
      </c>
      <c r="E233" t="s">
        <v>4786</v>
      </c>
      <c r="F233">
        <v>37.39</v>
      </c>
      <c r="G233" s="3212">
        <v>16.604159843277223</v>
      </c>
      <c r="H233" s="3218">
        <f t="shared" si="3"/>
        <v>16.600000000000001</v>
      </c>
    </row>
    <row r="234" spans="1:8">
      <c r="A234">
        <v>233</v>
      </c>
      <c r="B234" t="s">
        <v>5958</v>
      </c>
      <c r="D234">
        <v>1350</v>
      </c>
      <c r="E234" t="s">
        <v>4786</v>
      </c>
      <c r="F234">
        <v>37.39</v>
      </c>
      <c r="G234" s="3212">
        <v>16.604159843277223</v>
      </c>
      <c r="H234" s="3218">
        <f t="shared" si="3"/>
        <v>16.600000000000001</v>
      </c>
    </row>
    <row r="235" spans="1:8">
      <c r="A235">
        <v>234</v>
      </c>
      <c r="B235" t="s">
        <v>5958</v>
      </c>
      <c r="D235">
        <v>1351</v>
      </c>
      <c r="E235" t="s">
        <v>4786</v>
      </c>
      <c r="F235">
        <v>37.39</v>
      </c>
      <c r="G235" s="3212">
        <v>16.604159843277223</v>
      </c>
      <c r="H235" s="3218">
        <f t="shared" si="3"/>
        <v>16.600000000000001</v>
      </c>
    </row>
    <row r="236" spans="1:8">
      <c r="A236">
        <v>235</v>
      </c>
      <c r="B236" t="s">
        <v>5958</v>
      </c>
      <c r="D236">
        <v>1352</v>
      </c>
      <c r="E236" t="s">
        <v>4786</v>
      </c>
      <c r="F236">
        <v>37.39</v>
      </c>
      <c r="G236" s="3212">
        <v>16.604159843277223</v>
      </c>
      <c r="H236" s="3218">
        <f t="shared" si="3"/>
        <v>16.600000000000001</v>
      </c>
    </row>
    <row r="237" spans="1:8">
      <c r="A237">
        <v>236</v>
      </c>
      <c r="B237" t="s">
        <v>5958</v>
      </c>
      <c r="D237">
        <v>1353</v>
      </c>
      <c r="E237" t="s">
        <v>4786</v>
      </c>
      <c r="F237">
        <v>37.39</v>
      </c>
      <c r="G237" s="3212">
        <v>16.604159843277223</v>
      </c>
      <c r="H237" s="3218">
        <f t="shared" si="3"/>
        <v>16.600000000000001</v>
      </c>
    </row>
    <row r="238" spans="1:8">
      <c r="A238">
        <v>237</v>
      </c>
      <c r="B238" t="s">
        <v>5958</v>
      </c>
      <c r="D238">
        <v>1354</v>
      </c>
      <c r="E238" t="s">
        <v>4786</v>
      </c>
      <c r="F238">
        <v>37.39</v>
      </c>
      <c r="G238" s="3212">
        <v>16.604159843277223</v>
      </c>
      <c r="H238" s="3218">
        <f t="shared" si="3"/>
        <v>16.600000000000001</v>
      </c>
    </row>
    <row r="239" spans="1:8">
      <c r="A239">
        <v>238</v>
      </c>
      <c r="B239" t="s">
        <v>5958</v>
      </c>
      <c r="D239">
        <v>1355</v>
      </c>
      <c r="E239" t="s">
        <v>4786</v>
      </c>
      <c r="F239">
        <v>37.39</v>
      </c>
      <c r="G239" s="3212">
        <v>16.604159843277223</v>
      </c>
      <c r="H239" s="3218">
        <f t="shared" si="3"/>
        <v>16.600000000000001</v>
      </c>
    </row>
    <row r="240" spans="1:8">
      <c r="A240">
        <v>239</v>
      </c>
      <c r="B240" t="s">
        <v>5958</v>
      </c>
      <c r="D240">
        <v>1361</v>
      </c>
      <c r="E240" t="s">
        <v>4786</v>
      </c>
      <c r="F240">
        <v>37.39</v>
      </c>
      <c r="G240" s="3212">
        <v>16.604159843277223</v>
      </c>
      <c r="H240" s="3218">
        <f t="shared" si="3"/>
        <v>16.600000000000001</v>
      </c>
    </row>
    <row r="241" spans="1:8">
      <c r="A241">
        <v>240</v>
      </c>
      <c r="B241" t="s">
        <v>5958</v>
      </c>
      <c r="D241">
        <v>1362</v>
      </c>
      <c r="E241" t="s">
        <v>4786</v>
      </c>
      <c r="F241">
        <v>37.39</v>
      </c>
      <c r="G241" s="3212">
        <v>16.604159843277223</v>
      </c>
      <c r="H241" s="3218">
        <f t="shared" si="3"/>
        <v>16.600000000000001</v>
      </c>
    </row>
    <row r="242" spans="1:8">
      <c r="A242">
        <v>241</v>
      </c>
      <c r="B242" t="s">
        <v>5958</v>
      </c>
      <c r="D242">
        <v>1378</v>
      </c>
      <c r="E242" t="s">
        <v>4786</v>
      </c>
      <c r="F242">
        <v>37.39</v>
      </c>
      <c r="G242" s="3212">
        <v>16.604159843277223</v>
      </c>
      <c r="H242" s="3218">
        <f t="shared" si="3"/>
        <v>16.600000000000001</v>
      </c>
    </row>
    <row r="243" spans="1:8">
      <c r="A243">
        <v>242</v>
      </c>
      <c r="B243" t="s">
        <v>5958</v>
      </c>
      <c r="D243">
        <v>1379</v>
      </c>
      <c r="E243" t="s">
        <v>4786</v>
      </c>
      <c r="F243">
        <v>37.39</v>
      </c>
      <c r="G243" s="3212">
        <v>16.604159843277223</v>
      </c>
      <c r="H243" s="3218">
        <f t="shared" si="3"/>
        <v>16.600000000000001</v>
      </c>
    </row>
    <row r="244" spans="1:8">
      <c r="A244">
        <v>243</v>
      </c>
      <c r="B244" t="s">
        <v>5958</v>
      </c>
      <c r="D244">
        <v>1380</v>
      </c>
      <c r="E244" t="s">
        <v>4786</v>
      </c>
      <c r="F244">
        <v>37.39</v>
      </c>
      <c r="G244" s="3212">
        <v>16.604159843277223</v>
      </c>
      <c r="H244" s="3218">
        <f t="shared" si="3"/>
        <v>16.600000000000001</v>
      </c>
    </row>
    <row r="245" spans="1:8">
      <c r="A245">
        <v>244</v>
      </c>
      <c r="B245" t="s">
        <v>5958</v>
      </c>
      <c r="D245">
        <v>1381</v>
      </c>
      <c r="E245" t="s">
        <v>4786</v>
      </c>
      <c r="F245">
        <v>37.39</v>
      </c>
      <c r="G245" s="3212">
        <v>16.604159843277223</v>
      </c>
      <c r="H245" s="3218">
        <f t="shared" si="3"/>
        <v>16.600000000000001</v>
      </c>
    </row>
    <row r="246" spans="1:8">
      <c r="A246">
        <v>245</v>
      </c>
      <c r="B246" t="s">
        <v>5958</v>
      </c>
      <c r="D246">
        <v>1382</v>
      </c>
      <c r="E246" t="s">
        <v>4786</v>
      </c>
      <c r="F246">
        <v>37.39</v>
      </c>
      <c r="G246" s="3212">
        <v>16.604159843277223</v>
      </c>
      <c r="H246" s="3218">
        <f t="shared" si="3"/>
        <v>16.600000000000001</v>
      </c>
    </row>
    <row r="247" spans="1:8">
      <c r="A247">
        <v>246</v>
      </c>
      <c r="B247" t="s">
        <v>5958</v>
      </c>
      <c r="D247">
        <v>1385</v>
      </c>
      <c r="E247" t="s">
        <v>4786</v>
      </c>
      <c r="F247">
        <v>37.39</v>
      </c>
      <c r="G247" s="3212">
        <v>16.604159843277223</v>
      </c>
      <c r="H247" s="3218">
        <f t="shared" si="3"/>
        <v>16.600000000000001</v>
      </c>
    </row>
    <row r="248" spans="1:8">
      <c r="A248">
        <v>247</v>
      </c>
      <c r="B248" t="s">
        <v>5958</v>
      </c>
      <c r="D248">
        <v>1390</v>
      </c>
      <c r="E248" t="s">
        <v>4786</v>
      </c>
      <c r="F248">
        <v>37.39</v>
      </c>
      <c r="G248" s="3212">
        <v>16.604159843277223</v>
      </c>
      <c r="H248" s="3218">
        <f t="shared" si="3"/>
        <v>16.600000000000001</v>
      </c>
    </row>
    <row r="249" spans="1:8">
      <c r="A249">
        <v>248</v>
      </c>
      <c r="B249" t="s">
        <v>5958</v>
      </c>
      <c r="D249">
        <v>1391</v>
      </c>
      <c r="E249" t="s">
        <v>4786</v>
      </c>
      <c r="F249">
        <v>37.39</v>
      </c>
      <c r="G249" s="3212">
        <v>16.604159843277223</v>
      </c>
      <c r="H249" s="3218">
        <f t="shared" si="3"/>
        <v>16.600000000000001</v>
      </c>
    </row>
    <row r="250" spans="1:8">
      <c r="A250">
        <v>249</v>
      </c>
      <c r="B250" t="s">
        <v>5958</v>
      </c>
      <c r="D250">
        <v>1394</v>
      </c>
      <c r="E250" t="s">
        <v>4786</v>
      </c>
      <c r="F250">
        <v>37.39</v>
      </c>
      <c r="G250" s="3212">
        <v>16.604159843277223</v>
      </c>
      <c r="H250" s="3218">
        <f t="shared" si="3"/>
        <v>16.600000000000001</v>
      </c>
    </row>
    <row r="251" spans="1:8">
      <c r="A251">
        <v>250</v>
      </c>
      <c r="B251" t="s">
        <v>5958</v>
      </c>
      <c r="D251">
        <v>1395</v>
      </c>
      <c r="E251" t="s">
        <v>4786</v>
      </c>
      <c r="F251">
        <v>37.39</v>
      </c>
      <c r="G251" s="3212">
        <v>16.604159843277223</v>
      </c>
      <c r="H251" s="3218">
        <f t="shared" si="3"/>
        <v>16.600000000000001</v>
      </c>
    </row>
    <row r="252" spans="1:8">
      <c r="A252">
        <v>251</v>
      </c>
      <c r="B252" t="s">
        <v>5958</v>
      </c>
      <c r="D252">
        <v>1396</v>
      </c>
      <c r="E252" t="s">
        <v>4786</v>
      </c>
      <c r="F252">
        <v>37.39</v>
      </c>
      <c r="G252" s="3212">
        <v>16.604159843277223</v>
      </c>
      <c r="H252" s="3218">
        <f t="shared" si="3"/>
        <v>16.600000000000001</v>
      </c>
    </row>
    <row r="253" spans="1:8">
      <c r="A253">
        <v>252</v>
      </c>
      <c r="B253" t="s">
        <v>5958</v>
      </c>
      <c r="D253">
        <v>1397</v>
      </c>
      <c r="E253" t="s">
        <v>4786</v>
      </c>
      <c r="F253">
        <v>37.39</v>
      </c>
      <c r="G253" s="3212">
        <v>16.604159843277223</v>
      </c>
      <c r="H253" s="3218">
        <f t="shared" si="3"/>
        <v>16.600000000000001</v>
      </c>
    </row>
    <row r="254" spans="1:8">
      <c r="A254">
        <v>253</v>
      </c>
      <c r="B254" t="s">
        <v>5958</v>
      </c>
      <c r="D254">
        <v>1398</v>
      </c>
      <c r="E254" t="s">
        <v>4786</v>
      </c>
      <c r="F254">
        <v>37.39</v>
      </c>
      <c r="G254" s="3212">
        <v>16.604159843277223</v>
      </c>
      <c r="H254" s="3218">
        <f t="shared" si="3"/>
        <v>16.600000000000001</v>
      </c>
    </row>
    <row r="255" spans="1:8">
      <c r="A255">
        <v>254</v>
      </c>
      <c r="B255" t="s">
        <v>5958</v>
      </c>
      <c r="D255">
        <v>1399</v>
      </c>
      <c r="E255" t="s">
        <v>4786</v>
      </c>
      <c r="F255">
        <v>37.39</v>
      </c>
      <c r="G255" s="3212">
        <v>16.604159843277223</v>
      </c>
      <c r="H255" s="3218">
        <f t="shared" si="3"/>
        <v>16.600000000000001</v>
      </c>
    </row>
    <row r="256" spans="1:8">
      <c r="A256">
        <v>255</v>
      </c>
      <c r="B256" t="s">
        <v>5958</v>
      </c>
      <c r="D256">
        <v>1401</v>
      </c>
      <c r="E256" t="s">
        <v>4786</v>
      </c>
      <c r="F256">
        <v>37.39</v>
      </c>
      <c r="G256" s="3212">
        <v>16.604159843277223</v>
      </c>
      <c r="H256" s="3218">
        <f t="shared" si="3"/>
        <v>16.600000000000001</v>
      </c>
    </row>
    <row r="257" spans="1:8">
      <c r="A257">
        <v>256</v>
      </c>
      <c r="B257" t="s">
        <v>5958</v>
      </c>
      <c r="D257">
        <v>1402</v>
      </c>
      <c r="E257" t="s">
        <v>4786</v>
      </c>
      <c r="F257">
        <v>37.39</v>
      </c>
      <c r="G257" s="3212">
        <v>16.604159843277223</v>
      </c>
      <c r="H257" s="3218">
        <f t="shared" si="3"/>
        <v>16.600000000000001</v>
      </c>
    </row>
    <row r="258" spans="1:8">
      <c r="A258">
        <v>257</v>
      </c>
      <c r="B258" t="s">
        <v>5958</v>
      </c>
      <c r="D258">
        <v>1403</v>
      </c>
      <c r="E258" t="s">
        <v>4786</v>
      </c>
      <c r="F258">
        <v>37.39</v>
      </c>
      <c r="G258" s="3212">
        <v>16.604159843277223</v>
      </c>
      <c r="H258" s="3218">
        <f t="shared" ref="H258:H321" si="4">ROUND(G258,2)</f>
        <v>16.600000000000001</v>
      </c>
    </row>
    <row r="259" spans="1:8">
      <c r="A259">
        <v>258</v>
      </c>
      <c r="B259" t="s">
        <v>5958</v>
      </c>
      <c r="D259">
        <v>1404</v>
      </c>
      <c r="E259" t="s">
        <v>4786</v>
      </c>
      <c r="F259">
        <v>37.39</v>
      </c>
      <c r="G259" s="3212">
        <v>16.604159843277223</v>
      </c>
      <c r="H259" s="3218">
        <f t="shared" si="4"/>
        <v>16.600000000000001</v>
      </c>
    </row>
    <row r="260" spans="1:8">
      <c r="A260">
        <v>259</v>
      </c>
      <c r="B260" t="s">
        <v>5958</v>
      </c>
      <c r="D260">
        <v>1405</v>
      </c>
      <c r="E260" t="s">
        <v>4786</v>
      </c>
      <c r="F260">
        <v>37.39</v>
      </c>
      <c r="G260" s="3212">
        <v>16.604159843277223</v>
      </c>
      <c r="H260" s="3218">
        <f t="shared" si="4"/>
        <v>16.600000000000001</v>
      </c>
    </row>
    <row r="261" spans="1:8">
      <c r="A261">
        <v>260</v>
      </c>
      <c r="B261" t="s">
        <v>5958</v>
      </c>
      <c r="D261">
        <v>1406</v>
      </c>
      <c r="E261" t="s">
        <v>4786</v>
      </c>
      <c r="F261">
        <v>37.39</v>
      </c>
      <c r="G261" s="3212">
        <v>16.604159843277223</v>
      </c>
      <c r="H261" s="3218">
        <f t="shared" si="4"/>
        <v>16.600000000000001</v>
      </c>
    </row>
    <row r="262" spans="1:8">
      <c r="A262">
        <v>261</v>
      </c>
      <c r="B262" t="s">
        <v>5958</v>
      </c>
      <c r="D262">
        <v>1407</v>
      </c>
      <c r="E262" t="s">
        <v>4786</v>
      </c>
      <c r="F262">
        <v>37.39</v>
      </c>
      <c r="G262" s="3212">
        <v>16.604159843277223</v>
      </c>
      <c r="H262" s="3218">
        <f t="shared" si="4"/>
        <v>16.600000000000001</v>
      </c>
    </row>
    <row r="263" spans="1:8">
      <c r="A263">
        <v>262</v>
      </c>
      <c r="B263" t="s">
        <v>5958</v>
      </c>
      <c r="D263">
        <v>1408</v>
      </c>
      <c r="E263" t="s">
        <v>4786</v>
      </c>
      <c r="F263">
        <v>37.39</v>
      </c>
      <c r="G263" s="3212">
        <v>16.604159843277223</v>
      </c>
      <c r="H263" s="3218">
        <f t="shared" si="4"/>
        <v>16.600000000000001</v>
      </c>
    </row>
    <row r="264" spans="1:8">
      <c r="A264">
        <v>263</v>
      </c>
      <c r="B264" t="s">
        <v>5958</v>
      </c>
      <c r="D264">
        <v>1409</v>
      </c>
      <c r="E264" t="s">
        <v>4786</v>
      </c>
      <c r="F264">
        <v>37.39</v>
      </c>
      <c r="G264" s="3212">
        <v>16.604159843277223</v>
      </c>
      <c r="H264" s="3218">
        <f t="shared" si="4"/>
        <v>16.600000000000001</v>
      </c>
    </row>
    <row r="265" spans="1:8">
      <c r="A265">
        <v>264</v>
      </c>
      <c r="B265" t="s">
        <v>5958</v>
      </c>
      <c r="D265">
        <v>1413</v>
      </c>
      <c r="E265" t="s">
        <v>4786</v>
      </c>
      <c r="F265">
        <v>37.39</v>
      </c>
      <c r="G265" s="3212">
        <v>16.604159843277223</v>
      </c>
      <c r="H265" s="3218">
        <f t="shared" si="4"/>
        <v>16.600000000000001</v>
      </c>
    </row>
    <row r="266" spans="1:8">
      <c r="A266">
        <v>265</v>
      </c>
      <c r="B266" t="s">
        <v>5958</v>
      </c>
      <c r="D266">
        <v>1414</v>
      </c>
      <c r="E266" t="s">
        <v>4786</v>
      </c>
      <c r="F266">
        <v>37.39</v>
      </c>
      <c r="G266" s="3212">
        <v>16.604159843277223</v>
      </c>
      <c r="H266" s="3218">
        <f t="shared" si="4"/>
        <v>16.600000000000001</v>
      </c>
    </row>
    <row r="267" spans="1:8">
      <c r="A267">
        <v>266</v>
      </c>
      <c r="B267" t="s">
        <v>5958</v>
      </c>
      <c r="D267">
        <v>1415</v>
      </c>
      <c r="E267" t="s">
        <v>4786</v>
      </c>
      <c r="F267">
        <v>37.39</v>
      </c>
      <c r="G267" s="3212">
        <v>16.604159843277223</v>
      </c>
      <c r="H267" s="3218">
        <f t="shared" si="4"/>
        <v>16.600000000000001</v>
      </c>
    </row>
    <row r="268" spans="1:8">
      <c r="A268">
        <v>267</v>
      </c>
      <c r="B268" t="s">
        <v>5958</v>
      </c>
      <c r="D268">
        <v>1417</v>
      </c>
      <c r="E268" t="s">
        <v>4786</v>
      </c>
      <c r="F268">
        <v>37.39</v>
      </c>
      <c r="G268" s="3212">
        <v>16.604159843277223</v>
      </c>
      <c r="H268" s="3218">
        <f t="shared" si="4"/>
        <v>16.600000000000001</v>
      </c>
    </row>
    <row r="269" spans="1:8">
      <c r="A269">
        <v>268</v>
      </c>
      <c r="B269" t="s">
        <v>5958</v>
      </c>
      <c r="D269">
        <v>1418</v>
      </c>
      <c r="E269" t="s">
        <v>4786</v>
      </c>
      <c r="F269">
        <v>37.39</v>
      </c>
      <c r="G269" s="3212">
        <v>16.604159843277223</v>
      </c>
      <c r="H269" s="3218">
        <f t="shared" si="4"/>
        <v>16.600000000000001</v>
      </c>
    </row>
    <row r="270" spans="1:8">
      <c r="A270">
        <v>269</v>
      </c>
      <c r="B270" t="s">
        <v>5958</v>
      </c>
      <c r="D270">
        <v>1419</v>
      </c>
      <c r="E270" t="s">
        <v>4786</v>
      </c>
      <c r="F270">
        <v>37.39</v>
      </c>
      <c r="G270" s="3212">
        <v>16.604159843277223</v>
      </c>
      <c r="H270" s="3218">
        <f t="shared" si="4"/>
        <v>16.600000000000001</v>
      </c>
    </row>
    <row r="271" spans="1:8">
      <c r="A271">
        <v>270</v>
      </c>
      <c r="B271" t="s">
        <v>5958</v>
      </c>
      <c r="D271">
        <v>1420</v>
      </c>
      <c r="E271" t="s">
        <v>4786</v>
      </c>
      <c r="F271">
        <v>37.39</v>
      </c>
      <c r="G271" s="3212">
        <v>16.604159843277223</v>
      </c>
      <c r="H271" s="3218">
        <f t="shared" si="4"/>
        <v>16.600000000000001</v>
      </c>
    </row>
    <row r="272" spans="1:8">
      <c r="A272">
        <v>271</v>
      </c>
      <c r="B272" t="s">
        <v>5958</v>
      </c>
      <c r="D272">
        <v>1421</v>
      </c>
      <c r="E272" t="s">
        <v>4786</v>
      </c>
      <c r="F272">
        <v>37.39</v>
      </c>
      <c r="G272" s="3212">
        <v>16.604159843277223</v>
      </c>
      <c r="H272" s="3218">
        <f t="shared" si="4"/>
        <v>16.600000000000001</v>
      </c>
    </row>
    <row r="273" spans="1:8">
      <c r="A273">
        <v>272</v>
      </c>
      <c r="B273" t="s">
        <v>5958</v>
      </c>
      <c r="D273">
        <v>1422</v>
      </c>
      <c r="E273" t="s">
        <v>4786</v>
      </c>
      <c r="F273">
        <v>37.39</v>
      </c>
      <c r="G273" s="3212">
        <v>16.604159843277223</v>
      </c>
      <c r="H273" s="3218">
        <f t="shared" si="4"/>
        <v>16.600000000000001</v>
      </c>
    </row>
    <row r="274" spans="1:8">
      <c r="A274">
        <v>273</v>
      </c>
      <c r="B274" t="s">
        <v>5958</v>
      </c>
      <c r="D274">
        <v>1423</v>
      </c>
      <c r="E274" t="s">
        <v>4786</v>
      </c>
      <c r="F274">
        <v>37.39</v>
      </c>
      <c r="G274" s="3212">
        <v>16.604159843277223</v>
      </c>
      <c r="H274" s="3218">
        <f t="shared" si="4"/>
        <v>16.600000000000001</v>
      </c>
    </row>
    <row r="275" spans="1:8">
      <c r="A275">
        <v>274</v>
      </c>
      <c r="B275" t="s">
        <v>5958</v>
      </c>
      <c r="D275">
        <v>1424</v>
      </c>
      <c r="E275" t="s">
        <v>4786</v>
      </c>
      <c r="F275">
        <v>37.39</v>
      </c>
      <c r="G275" s="3212">
        <v>16.604159843277223</v>
      </c>
      <c r="H275" s="3218">
        <f t="shared" si="4"/>
        <v>16.600000000000001</v>
      </c>
    </row>
    <row r="276" spans="1:8">
      <c r="A276">
        <v>275</v>
      </c>
      <c r="B276" t="s">
        <v>5958</v>
      </c>
      <c r="D276">
        <v>1425</v>
      </c>
      <c r="E276" t="s">
        <v>4786</v>
      </c>
      <c r="F276">
        <v>37.39</v>
      </c>
      <c r="G276" s="3212">
        <v>16.604159843277223</v>
      </c>
      <c r="H276" s="3218">
        <f t="shared" si="4"/>
        <v>16.600000000000001</v>
      </c>
    </row>
    <row r="277" spans="1:8">
      <c r="A277">
        <v>276</v>
      </c>
      <c r="B277" t="s">
        <v>5958</v>
      </c>
      <c r="D277">
        <v>1427</v>
      </c>
      <c r="E277" t="s">
        <v>4786</v>
      </c>
      <c r="F277">
        <v>37.39</v>
      </c>
      <c r="G277" s="3212">
        <v>16.604159843277223</v>
      </c>
      <c r="H277" s="3218">
        <f t="shared" si="4"/>
        <v>16.600000000000001</v>
      </c>
    </row>
    <row r="278" spans="1:8">
      <c r="A278">
        <v>277</v>
      </c>
      <c r="B278" t="s">
        <v>5958</v>
      </c>
      <c r="D278">
        <v>1432</v>
      </c>
      <c r="E278" t="s">
        <v>4786</v>
      </c>
      <c r="F278">
        <v>37.39</v>
      </c>
      <c r="G278" s="3212">
        <v>16.604159843277223</v>
      </c>
      <c r="H278" s="3218">
        <f t="shared" si="4"/>
        <v>16.600000000000001</v>
      </c>
    </row>
    <row r="279" spans="1:8">
      <c r="A279">
        <v>278</v>
      </c>
      <c r="B279" t="s">
        <v>5958</v>
      </c>
      <c r="D279">
        <v>1437</v>
      </c>
      <c r="E279" t="s">
        <v>4786</v>
      </c>
      <c r="F279">
        <v>37.39</v>
      </c>
      <c r="G279" s="3212">
        <v>16.604159843277223</v>
      </c>
      <c r="H279" s="3218">
        <f t="shared" si="4"/>
        <v>16.600000000000001</v>
      </c>
    </row>
    <row r="280" spans="1:8">
      <c r="A280">
        <v>279</v>
      </c>
      <c r="B280" t="s">
        <v>5958</v>
      </c>
      <c r="D280">
        <v>1438</v>
      </c>
      <c r="E280" t="s">
        <v>4786</v>
      </c>
      <c r="F280">
        <v>37.39</v>
      </c>
      <c r="G280" s="3212">
        <v>16.604159843277223</v>
      </c>
      <c r="H280" s="3218">
        <f t="shared" si="4"/>
        <v>16.600000000000001</v>
      </c>
    </row>
    <row r="281" spans="1:8">
      <c r="A281">
        <v>280</v>
      </c>
      <c r="B281" t="s">
        <v>5958</v>
      </c>
      <c r="D281">
        <v>1439</v>
      </c>
      <c r="E281" t="s">
        <v>4786</v>
      </c>
      <c r="F281">
        <v>37.39</v>
      </c>
      <c r="G281" s="3212">
        <v>16.604159843277223</v>
      </c>
      <c r="H281" s="3218">
        <f t="shared" si="4"/>
        <v>16.600000000000001</v>
      </c>
    </row>
    <row r="282" spans="1:8">
      <c r="A282">
        <v>281</v>
      </c>
      <c r="B282" t="s">
        <v>5958</v>
      </c>
      <c r="D282">
        <v>1440</v>
      </c>
      <c r="E282" t="s">
        <v>4786</v>
      </c>
      <c r="F282">
        <v>37.39</v>
      </c>
      <c r="G282" s="3212">
        <v>16.604159843277223</v>
      </c>
      <c r="H282" s="3218">
        <f t="shared" si="4"/>
        <v>16.600000000000001</v>
      </c>
    </row>
    <row r="283" spans="1:8">
      <c r="A283">
        <v>282</v>
      </c>
      <c r="B283" t="s">
        <v>5958</v>
      </c>
      <c r="D283">
        <v>1441</v>
      </c>
      <c r="E283" t="s">
        <v>4786</v>
      </c>
      <c r="F283">
        <v>37.39</v>
      </c>
      <c r="G283" s="3212">
        <v>16.604159843277223</v>
      </c>
      <c r="H283" s="3218">
        <f t="shared" si="4"/>
        <v>16.600000000000001</v>
      </c>
    </row>
    <row r="284" spans="1:8">
      <c r="A284">
        <v>283</v>
      </c>
      <c r="B284" t="s">
        <v>5958</v>
      </c>
      <c r="D284">
        <v>1442</v>
      </c>
      <c r="E284" t="s">
        <v>4786</v>
      </c>
      <c r="F284">
        <v>37.39</v>
      </c>
      <c r="G284" s="3212">
        <v>16.604159843277223</v>
      </c>
      <c r="H284" s="3218">
        <f t="shared" si="4"/>
        <v>16.600000000000001</v>
      </c>
    </row>
    <row r="285" spans="1:8">
      <c r="A285">
        <v>284</v>
      </c>
      <c r="B285" t="s">
        <v>5958</v>
      </c>
      <c r="D285">
        <v>1443</v>
      </c>
      <c r="E285" t="s">
        <v>4786</v>
      </c>
      <c r="F285">
        <v>37.39</v>
      </c>
      <c r="G285" s="3212">
        <v>16.604159843277223</v>
      </c>
      <c r="H285" s="3218">
        <f t="shared" si="4"/>
        <v>16.600000000000001</v>
      </c>
    </row>
    <row r="286" spans="1:8">
      <c r="A286">
        <v>285</v>
      </c>
      <c r="B286" t="s">
        <v>5958</v>
      </c>
      <c r="D286">
        <v>1444</v>
      </c>
      <c r="E286" t="s">
        <v>4786</v>
      </c>
      <c r="F286">
        <v>37.39</v>
      </c>
      <c r="G286" s="3212">
        <v>16.604159843277223</v>
      </c>
      <c r="H286" s="3218">
        <f t="shared" si="4"/>
        <v>16.600000000000001</v>
      </c>
    </row>
    <row r="287" spans="1:8">
      <c r="A287">
        <v>286</v>
      </c>
      <c r="B287" t="s">
        <v>5958</v>
      </c>
      <c r="D287">
        <v>1445</v>
      </c>
      <c r="E287" t="s">
        <v>4786</v>
      </c>
      <c r="F287">
        <v>37.39</v>
      </c>
      <c r="G287" s="3212">
        <v>16.604159843277223</v>
      </c>
      <c r="H287" s="3218">
        <f t="shared" si="4"/>
        <v>16.600000000000001</v>
      </c>
    </row>
    <row r="288" spans="1:8">
      <c r="A288">
        <v>287</v>
      </c>
      <c r="B288" t="s">
        <v>5958</v>
      </c>
      <c r="D288">
        <v>1446</v>
      </c>
      <c r="E288" t="s">
        <v>4786</v>
      </c>
      <c r="F288">
        <v>37.39</v>
      </c>
      <c r="G288" s="3212">
        <v>16.604159843277223</v>
      </c>
      <c r="H288" s="3218">
        <f t="shared" si="4"/>
        <v>16.600000000000001</v>
      </c>
    </row>
    <row r="289" spans="1:8">
      <c r="A289">
        <v>288</v>
      </c>
      <c r="B289" t="s">
        <v>5958</v>
      </c>
      <c r="D289">
        <v>1449</v>
      </c>
      <c r="E289" t="s">
        <v>4786</v>
      </c>
      <c r="F289">
        <v>37.39</v>
      </c>
      <c r="G289" s="3212">
        <v>16.604159843277223</v>
      </c>
      <c r="H289" s="3218">
        <f t="shared" si="4"/>
        <v>16.600000000000001</v>
      </c>
    </row>
    <row r="290" spans="1:8">
      <c r="A290">
        <v>289</v>
      </c>
      <c r="B290" t="s">
        <v>5958</v>
      </c>
      <c r="D290">
        <v>1450</v>
      </c>
      <c r="E290" t="s">
        <v>4786</v>
      </c>
      <c r="F290">
        <v>37.39</v>
      </c>
      <c r="G290" s="3212">
        <v>16.604159843277223</v>
      </c>
      <c r="H290" s="3218">
        <f t="shared" si="4"/>
        <v>16.600000000000001</v>
      </c>
    </row>
    <row r="291" spans="1:8">
      <c r="A291">
        <v>290</v>
      </c>
      <c r="B291" t="s">
        <v>5958</v>
      </c>
      <c r="D291">
        <v>1451</v>
      </c>
      <c r="E291" t="s">
        <v>4786</v>
      </c>
      <c r="F291">
        <v>37.39</v>
      </c>
      <c r="G291" s="3212">
        <v>16.604159843277223</v>
      </c>
      <c r="H291" s="3218">
        <f t="shared" si="4"/>
        <v>16.600000000000001</v>
      </c>
    </row>
    <row r="292" spans="1:8">
      <c r="A292">
        <v>291</v>
      </c>
      <c r="B292" t="s">
        <v>5958</v>
      </c>
      <c r="D292">
        <v>1453</v>
      </c>
      <c r="E292" t="s">
        <v>4786</v>
      </c>
      <c r="F292">
        <v>37.39</v>
      </c>
      <c r="G292" s="3212">
        <v>16.604159843277223</v>
      </c>
      <c r="H292" s="3218">
        <f t="shared" si="4"/>
        <v>16.600000000000001</v>
      </c>
    </row>
    <row r="293" spans="1:8">
      <c r="A293">
        <v>292</v>
      </c>
      <c r="B293" t="s">
        <v>5958</v>
      </c>
      <c r="D293">
        <v>1454</v>
      </c>
      <c r="E293" t="s">
        <v>4786</v>
      </c>
      <c r="F293">
        <v>37.39</v>
      </c>
      <c r="G293" s="3212">
        <v>16.604159843277223</v>
      </c>
      <c r="H293" s="3218">
        <f t="shared" si="4"/>
        <v>16.600000000000001</v>
      </c>
    </row>
    <row r="294" spans="1:8">
      <c r="A294">
        <v>293</v>
      </c>
      <c r="B294" t="s">
        <v>5958</v>
      </c>
      <c r="D294">
        <v>1459</v>
      </c>
      <c r="E294" t="s">
        <v>4786</v>
      </c>
      <c r="F294">
        <v>37.39</v>
      </c>
      <c r="G294" s="3212">
        <v>16.604159843277223</v>
      </c>
      <c r="H294" s="3218">
        <f t="shared" si="4"/>
        <v>16.600000000000001</v>
      </c>
    </row>
    <row r="295" spans="1:8">
      <c r="A295">
        <v>294</v>
      </c>
      <c r="B295" t="s">
        <v>5958</v>
      </c>
      <c r="D295">
        <v>1460</v>
      </c>
      <c r="E295" t="s">
        <v>4786</v>
      </c>
      <c r="F295">
        <v>37.39</v>
      </c>
      <c r="G295" s="3212">
        <v>16.604159843277223</v>
      </c>
      <c r="H295" s="3218">
        <f t="shared" si="4"/>
        <v>16.600000000000001</v>
      </c>
    </row>
    <row r="296" spans="1:8">
      <c r="A296">
        <v>295</v>
      </c>
      <c r="B296" t="s">
        <v>5958</v>
      </c>
      <c r="D296">
        <v>1463</v>
      </c>
      <c r="E296" t="s">
        <v>4786</v>
      </c>
      <c r="F296">
        <v>37.39</v>
      </c>
      <c r="G296" s="3212">
        <v>16.604159843277223</v>
      </c>
      <c r="H296" s="3218">
        <f t="shared" si="4"/>
        <v>16.600000000000001</v>
      </c>
    </row>
    <row r="297" spans="1:8">
      <c r="A297">
        <v>296</v>
      </c>
      <c r="B297" t="s">
        <v>5958</v>
      </c>
      <c r="D297">
        <v>1464</v>
      </c>
      <c r="E297" t="s">
        <v>4786</v>
      </c>
      <c r="F297">
        <v>37.39</v>
      </c>
      <c r="G297" s="3212">
        <v>16.604159843277223</v>
      </c>
      <c r="H297" s="3218">
        <f t="shared" si="4"/>
        <v>16.600000000000001</v>
      </c>
    </row>
    <row r="298" spans="1:8">
      <c r="A298">
        <v>297</v>
      </c>
      <c r="B298" t="s">
        <v>5958</v>
      </c>
      <c r="D298">
        <v>1465</v>
      </c>
      <c r="E298" t="s">
        <v>4786</v>
      </c>
      <c r="F298">
        <v>37.39</v>
      </c>
      <c r="G298" s="3212">
        <v>16.604159843277223</v>
      </c>
      <c r="H298" s="3218">
        <f t="shared" si="4"/>
        <v>16.600000000000001</v>
      </c>
    </row>
    <row r="299" spans="1:8">
      <c r="A299">
        <v>298</v>
      </c>
      <c r="B299" t="s">
        <v>5958</v>
      </c>
      <c r="D299">
        <v>1471</v>
      </c>
      <c r="E299" t="s">
        <v>4786</v>
      </c>
      <c r="F299">
        <v>37.39</v>
      </c>
      <c r="G299" s="3212">
        <v>16.604159843277223</v>
      </c>
      <c r="H299" s="3218">
        <f t="shared" si="4"/>
        <v>16.600000000000001</v>
      </c>
    </row>
    <row r="300" spans="1:8">
      <c r="A300">
        <v>299</v>
      </c>
      <c r="B300" t="s">
        <v>5958</v>
      </c>
      <c r="D300">
        <v>1479</v>
      </c>
      <c r="E300" t="s">
        <v>4786</v>
      </c>
      <c r="F300">
        <v>37.39</v>
      </c>
      <c r="G300" s="3212">
        <v>16.604159843277223</v>
      </c>
      <c r="H300" s="3218">
        <f t="shared" si="4"/>
        <v>16.600000000000001</v>
      </c>
    </row>
    <row r="301" spans="1:8">
      <c r="A301">
        <v>300</v>
      </c>
      <c r="B301" t="s">
        <v>5958</v>
      </c>
      <c r="D301">
        <v>1480</v>
      </c>
      <c r="E301" t="s">
        <v>4786</v>
      </c>
      <c r="F301">
        <v>37.39</v>
      </c>
      <c r="G301" s="3212">
        <v>16.604159843277223</v>
      </c>
      <c r="H301" s="3218">
        <f t="shared" si="4"/>
        <v>16.600000000000001</v>
      </c>
    </row>
    <row r="302" spans="1:8">
      <c r="A302">
        <v>301</v>
      </c>
      <c r="B302" t="s">
        <v>5958</v>
      </c>
      <c r="D302">
        <v>1482</v>
      </c>
      <c r="E302" t="s">
        <v>4786</v>
      </c>
      <c r="F302">
        <v>37.39</v>
      </c>
      <c r="G302" s="3212">
        <v>16.604159843277223</v>
      </c>
      <c r="H302" s="3218">
        <f t="shared" si="4"/>
        <v>16.600000000000001</v>
      </c>
    </row>
    <row r="303" spans="1:8">
      <c r="A303">
        <v>302</v>
      </c>
      <c r="B303" t="s">
        <v>5958</v>
      </c>
      <c r="D303">
        <v>1483</v>
      </c>
      <c r="E303" t="s">
        <v>4786</v>
      </c>
      <c r="F303">
        <v>55.34</v>
      </c>
      <c r="G303" s="3212">
        <v>24.575399992697555</v>
      </c>
      <c r="H303" s="3218">
        <f t="shared" si="4"/>
        <v>24.58</v>
      </c>
    </row>
    <row r="304" spans="1:8">
      <c r="A304">
        <v>303</v>
      </c>
      <c r="B304" t="s">
        <v>5958</v>
      </c>
      <c r="D304">
        <v>1484</v>
      </c>
      <c r="E304" t="s">
        <v>4786</v>
      </c>
      <c r="F304">
        <v>37.39</v>
      </c>
      <c r="G304" s="3212">
        <v>16.604159843277223</v>
      </c>
      <c r="H304" s="3218">
        <f t="shared" si="4"/>
        <v>16.600000000000001</v>
      </c>
    </row>
    <row r="305" spans="1:8">
      <c r="A305">
        <v>304</v>
      </c>
      <c r="B305" t="s">
        <v>5958</v>
      </c>
      <c r="D305">
        <v>1485</v>
      </c>
      <c r="E305" t="s">
        <v>4786</v>
      </c>
      <c r="F305">
        <v>37.39</v>
      </c>
      <c r="G305" s="3212">
        <v>16.604159843277223</v>
      </c>
      <c r="H305" s="3218">
        <f t="shared" si="4"/>
        <v>16.600000000000001</v>
      </c>
    </row>
    <row r="306" spans="1:8">
      <c r="A306">
        <v>305</v>
      </c>
      <c r="B306" t="s">
        <v>5958</v>
      </c>
      <c r="D306">
        <v>1487</v>
      </c>
      <c r="E306" t="s">
        <v>4786</v>
      </c>
      <c r="F306">
        <v>37.39</v>
      </c>
      <c r="G306" s="3212">
        <v>16.604159843277223</v>
      </c>
      <c r="H306" s="3218">
        <f t="shared" si="4"/>
        <v>16.600000000000001</v>
      </c>
    </row>
    <row r="307" spans="1:8">
      <c r="A307">
        <v>306</v>
      </c>
      <c r="B307" t="s">
        <v>5958</v>
      </c>
      <c r="D307">
        <v>1494</v>
      </c>
      <c r="E307" t="s">
        <v>4786</v>
      </c>
      <c r="F307">
        <v>37.39</v>
      </c>
      <c r="G307" s="3212">
        <v>16.604159843277223</v>
      </c>
      <c r="H307" s="3218">
        <f t="shared" si="4"/>
        <v>16.600000000000001</v>
      </c>
    </row>
    <row r="308" spans="1:8">
      <c r="A308">
        <v>307</v>
      </c>
      <c r="B308" t="s">
        <v>5958</v>
      </c>
      <c r="D308">
        <v>1495</v>
      </c>
      <c r="E308" t="s">
        <v>4786</v>
      </c>
      <c r="F308">
        <v>37.39</v>
      </c>
      <c r="G308" s="3212">
        <v>16.604159843277223</v>
      </c>
      <c r="H308" s="3218">
        <f t="shared" si="4"/>
        <v>16.600000000000001</v>
      </c>
    </row>
    <row r="309" spans="1:8">
      <c r="A309">
        <v>308</v>
      </c>
      <c r="B309" t="s">
        <v>5958</v>
      </c>
      <c r="D309">
        <v>1500</v>
      </c>
      <c r="E309" t="s">
        <v>4786</v>
      </c>
      <c r="F309">
        <v>37.39</v>
      </c>
      <c r="G309" s="3212">
        <v>16.604159843277223</v>
      </c>
      <c r="H309" s="3218">
        <f t="shared" si="4"/>
        <v>16.600000000000001</v>
      </c>
    </row>
    <row r="310" spans="1:8">
      <c r="A310">
        <v>309</v>
      </c>
      <c r="B310" t="s">
        <v>5958</v>
      </c>
      <c r="D310">
        <v>1501</v>
      </c>
      <c r="E310" t="s">
        <v>4786</v>
      </c>
      <c r="F310">
        <v>37.39</v>
      </c>
      <c r="G310" s="3212">
        <v>16.604159843277223</v>
      </c>
      <c r="H310" s="3218">
        <f t="shared" si="4"/>
        <v>16.600000000000001</v>
      </c>
    </row>
    <row r="311" spans="1:8">
      <c r="A311">
        <v>310</v>
      </c>
      <c r="B311" t="s">
        <v>5958</v>
      </c>
      <c r="D311">
        <v>1502</v>
      </c>
      <c r="E311" t="s">
        <v>4786</v>
      </c>
      <c r="F311">
        <v>37.39</v>
      </c>
      <c r="G311" s="3212">
        <v>16.604159843277223</v>
      </c>
      <c r="H311" s="3218">
        <f t="shared" si="4"/>
        <v>16.600000000000001</v>
      </c>
    </row>
    <row r="312" spans="1:8">
      <c r="A312">
        <v>311</v>
      </c>
      <c r="B312" t="s">
        <v>5958</v>
      </c>
      <c r="D312">
        <v>1503</v>
      </c>
      <c r="E312" t="s">
        <v>4786</v>
      </c>
      <c r="F312">
        <v>37.39</v>
      </c>
      <c r="G312" s="3212">
        <v>16.604159843277223</v>
      </c>
      <c r="H312" s="3218">
        <f t="shared" si="4"/>
        <v>16.600000000000001</v>
      </c>
    </row>
    <row r="313" spans="1:8">
      <c r="A313">
        <v>312</v>
      </c>
      <c r="B313" t="s">
        <v>5958</v>
      </c>
      <c r="D313">
        <v>1504</v>
      </c>
      <c r="E313" t="s">
        <v>4786</v>
      </c>
      <c r="F313">
        <v>37.39</v>
      </c>
      <c r="G313" s="3212">
        <v>16.604159843277223</v>
      </c>
      <c r="H313" s="3218">
        <f t="shared" si="4"/>
        <v>16.600000000000001</v>
      </c>
    </row>
    <row r="314" spans="1:8">
      <c r="A314">
        <v>313</v>
      </c>
      <c r="B314" t="s">
        <v>5958</v>
      </c>
      <c r="D314">
        <v>1505</v>
      </c>
      <c r="E314" t="s">
        <v>4786</v>
      </c>
      <c r="F314">
        <v>37.39</v>
      </c>
      <c r="G314" s="3212">
        <v>16.604159843277223</v>
      </c>
      <c r="H314" s="3218">
        <f t="shared" si="4"/>
        <v>16.600000000000001</v>
      </c>
    </row>
    <row r="315" spans="1:8">
      <c r="A315">
        <v>314</v>
      </c>
      <c r="B315" t="s">
        <v>5958</v>
      </c>
      <c r="D315">
        <v>1506</v>
      </c>
      <c r="E315" t="s">
        <v>4786</v>
      </c>
      <c r="F315">
        <v>37.39</v>
      </c>
      <c r="G315" s="3212">
        <v>16.604159843277223</v>
      </c>
      <c r="H315" s="3218">
        <f t="shared" si="4"/>
        <v>16.600000000000001</v>
      </c>
    </row>
    <row r="316" spans="1:8">
      <c r="A316">
        <v>315</v>
      </c>
      <c r="B316" t="s">
        <v>5958</v>
      </c>
      <c r="D316">
        <v>1507</v>
      </c>
      <c r="E316" t="s">
        <v>4786</v>
      </c>
      <c r="F316">
        <v>37.39</v>
      </c>
      <c r="G316" s="3212">
        <v>16.604159843277223</v>
      </c>
      <c r="H316" s="3218">
        <f t="shared" si="4"/>
        <v>16.600000000000001</v>
      </c>
    </row>
    <row r="317" spans="1:8">
      <c r="A317">
        <v>316</v>
      </c>
      <c r="B317" t="s">
        <v>5958</v>
      </c>
      <c r="D317">
        <v>1508</v>
      </c>
      <c r="E317" t="s">
        <v>4786</v>
      </c>
      <c r="F317">
        <v>37.39</v>
      </c>
      <c r="G317" s="3212">
        <v>16.604159843277223</v>
      </c>
      <c r="H317" s="3218">
        <f t="shared" si="4"/>
        <v>16.600000000000001</v>
      </c>
    </row>
    <row r="318" spans="1:8">
      <c r="A318">
        <v>317</v>
      </c>
      <c r="B318" t="s">
        <v>5958</v>
      </c>
      <c r="D318">
        <v>1509</v>
      </c>
      <c r="E318" t="s">
        <v>4786</v>
      </c>
      <c r="F318">
        <v>37.39</v>
      </c>
      <c r="G318" s="3212">
        <v>16.604159843277223</v>
      </c>
      <c r="H318" s="3218">
        <f t="shared" si="4"/>
        <v>16.600000000000001</v>
      </c>
    </row>
    <row r="319" spans="1:8">
      <c r="A319">
        <v>318</v>
      </c>
      <c r="B319" t="s">
        <v>5958</v>
      </c>
      <c r="D319">
        <v>1515</v>
      </c>
      <c r="E319" t="s">
        <v>4786</v>
      </c>
      <c r="F319">
        <v>37.39</v>
      </c>
      <c r="G319" s="3212">
        <v>16.604159843277223</v>
      </c>
      <c r="H319" s="3218">
        <f t="shared" si="4"/>
        <v>16.600000000000001</v>
      </c>
    </row>
    <row r="320" spans="1:8">
      <c r="A320">
        <v>319</v>
      </c>
      <c r="B320" t="s">
        <v>5958</v>
      </c>
      <c r="D320">
        <v>1520</v>
      </c>
      <c r="E320" t="s">
        <v>4786</v>
      </c>
      <c r="F320">
        <v>37.39</v>
      </c>
      <c r="G320" s="3212">
        <v>16.604159843277223</v>
      </c>
      <c r="H320" s="3218">
        <f t="shared" si="4"/>
        <v>16.600000000000001</v>
      </c>
    </row>
    <row r="321" spans="1:8">
      <c r="A321">
        <v>320</v>
      </c>
      <c r="B321" t="s">
        <v>5958</v>
      </c>
      <c r="D321">
        <v>1521</v>
      </c>
      <c r="E321" t="s">
        <v>4786</v>
      </c>
      <c r="F321">
        <v>37.39</v>
      </c>
      <c r="G321" s="3212">
        <v>16.604159843277223</v>
      </c>
      <c r="H321" s="3218">
        <f t="shared" si="4"/>
        <v>16.600000000000001</v>
      </c>
    </row>
    <row r="322" spans="1:8">
      <c r="A322">
        <v>321</v>
      </c>
      <c r="B322" t="s">
        <v>5958</v>
      </c>
      <c r="D322">
        <v>1523</v>
      </c>
      <c r="E322" t="s">
        <v>4786</v>
      </c>
      <c r="F322">
        <v>37.39</v>
      </c>
      <c r="G322" s="3212">
        <v>16.604159843277223</v>
      </c>
      <c r="H322" s="3218">
        <f t="shared" ref="H322:H385" si="5">ROUND(G322,2)</f>
        <v>16.600000000000001</v>
      </c>
    </row>
    <row r="323" spans="1:8">
      <c r="A323">
        <v>322</v>
      </c>
      <c r="B323" t="s">
        <v>5958</v>
      </c>
      <c r="D323">
        <v>1524</v>
      </c>
      <c r="E323" t="s">
        <v>4786</v>
      </c>
      <c r="F323">
        <v>37.39</v>
      </c>
      <c r="G323" s="3212">
        <v>16.604159843277223</v>
      </c>
      <c r="H323" s="3218">
        <f t="shared" si="5"/>
        <v>16.600000000000001</v>
      </c>
    </row>
    <row r="324" spans="1:8">
      <c r="A324">
        <v>323</v>
      </c>
      <c r="B324" t="s">
        <v>5958</v>
      </c>
      <c r="D324">
        <v>1525</v>
      </c>
      <c r="E324" t="s">
        <v>4786</v>
      </c>
      <c r="F324">
        <v>37.39</v>
      </c>
      <c r="G324" s="3212">
        <v>16.604159843277223</v>
      </c>
      <c r="H324" s="3218">
        <f t="shared" si="5"/>
        <v>16.600000000000001</v>
      </c>
    </row>
    <row r="325" spans="1:8">
      <c r="A325">
        <v>324</v>
      </c>
      <c r="B325" t="s">
        <v>5958</v>
      </c>
      <c r="D325">
        <v>1527</v>
      </c>
      <c r="E325" t="s">
        <v>4786</v>
      </c>
      <c r="F325">
        <v>37.39</v>
      </c>
      <c r="G325" s="3212">
        <v>16.604159843277223</v>
      </c>
      <c r="H325" s="3218">
        <f t="shared" si="5"/>
        <v>16.600000000000001</v>
      </c>
    </row>
    <row r="326" spans="1:8">
      <c r="A326">
        <v>325</v>
      </c>
      <c r="B326" t="s">
        <v>5958</v>
      </c>
      <c r="D326">
        <v>1530</v>
      </c>
      <c r="E326" t="s">
        <v>4786</v>
      </c>
      <c r="F326">
        <v>37.39</v>
      </c>
      <c r="G326" s="3212">
        <v>16.604159843277223</v>
      </c>
      <c r="H326" s="3218">
        <f t="shared" si="5"/>
        <v>16.600000000000001</v>
      </c>
    </row>
    <row r="327" spans="1:8">
      <c r="A327">
        <v>326</v>
      </c>
      <c r="B327" t="s">
        <v>5958</v>
      </c>
      <c r="D327">
        <v>1531</v>
      </c>
      <c r="E327" t="s">
        <v>4786</v>
      </c>
      <c r="F327">
        <v>37.39</v>
      </c>
      <c r="G327" s="3212">
        <v>16.604159843277223</v>
      </c>
      <c r="H327" s="3218">
        <f t="shared" si="5"/>
        <v>16.600000000000001</v>
      </c>
    </row>
    <row r="328" spans="1:8">
      <c r="A328">
        <v>327</v>
      </c>
      <c r="B328" t="s">
        <v>5958</v>
      </c>
      <c r="D328">
        <v>1533</v>
      </c>
      <c r="E328" t="s">
        <v>4786</v>
      </c>
      <c r="F328">
        <v>37.39</v>
      </c>
      <c r="G328" s="3212">
        <v>16.604159843277223</v>
      </c>
      <c r="H328" s="3218">
        <f t="shared" si="5"/>
        <v>16.600000000000001</v>
      </c>
    </row>
    <row r="329" spans="1:8">
      <c r="A329">
        <v>328</v>
      </c>
      <c r="B329" t="s">
        <v>5958</v>
      </c>
      <c r="D329">
        <v>1537</v>
      </c>
      <c r="E329" t="s">
        <v>4786</v>
      </c>
      <c r="F329">
        <v>37.39</v>
      </c>
      <c r="G329" s="3212">
        <v>16.604159843277223</v>
      </c>
      <c r="H329" s="3218">
        <f t="shared" si="5"/>
        <v>16.600000000000001</v>
      </c>
    </row>
    <row r="330" spans="1:8">
      <c r="A330">
        <v>329</v>
      </c>
      <c r="B330" t="s">
        <v>5958</v>
      </c>
      <c r="D330">
        <v>1540</v>
      </c>
      <c r="E330" t="s">
        <v>4786</v>
      </c>
      <c r="F330">
        <v>37.39</v>
      </c>
      <c r="G330" s="3212">
        <v>16.604159843277223</v>
      </c>
      <c r="H330" s="3218">
        <f t="shared" si="5"/>
        <v>16.600000000000001</v>
      </c>
    </row>
    <row r="331" spans="1:8">
      <c r="A331">
        <v>330</v>
      </c>
      <c r="B331" t="s">
        <v>5958</v>
      </c>
      <c r="D331">
        <v>1541</v>
      </c>
      <c r="E331" t="s">
        <v>4786</v>
      </c>
      <c r="F331">
        <v>37.39</v>
      </c>
      <c r="G331" s="3212">
        <v>16.604159843277223</v>
      </c>
      <c r="H331" s="3218">
        <f t="shared" si="5"/>
        <v>16.600000000000001</v>
      </c>
    </row>
    <row r="332" spans="1:8">
      <c r="A332">
        <v>331</v>
      </c>
      <c r="B332" t="s">
        <v>5958</v>
      </c>
      <c r="D332">
        <v>1543</v>
      </c>
      <c r="E332" t="s">
        <v>4786</v>
      </c>
      <c r="F332">
        <v>37.39</v>
      </c>
      <c r="G332" s="3212">
        <v>16.604159843277223</v>
      </c>
      <c r="H332" s="3218">
        <f t="shared" si="5"/>
        <v>16.600000000000001</v>
      </c>
    </row>
    <row r="333" spans="1:8">
      <c r="A333">
        <v>332</v>
      </c>
      <c r="B333" t="s">
        <v>5958</v>
      </c>
      <c r="D333">
        <v>1544</v>
      </c>
      <c r="E333" t="s">
        <v>4786</v>
      </c>
      <c r="F333">
        <v>37.39</v>
      </c>
      <c r="G333" s="3212">
        <v>16.604159843277223</v>
      </c>
      <c r="H333" s="3218">
        <f t="shared" si="5"/>
        <v>16.600000000000001</v>
      </c>
    </row>
    <row r="334" spans="1:8">
      <c r="A334">
        <v>333</v>
      </c>
      <c r="B334" t="s">
        <v>5958</v>
      </c>
      <c r="D334">
        <v>1545</v>
      </c>
      <c r="E334" t="s">
        <v>4786</v>
      </c>
      <c r="F334">
        <v>37.39</v>
      </c>
      <c r="G334" s="3212">
        <v>16.604159843277223</v>
      </c>
      <c r="H334" s="3218">
        <f t="shared" si="5"/>
        <v>16.600000000000001</v>
      </c>
    </row>
    <row r="335" spans="1:8">
      <c r="A335">
        <v>334</v>
      </c>
      <c r="B335" t="s">
        <v>5958</v>
      </c>
      <c r="D335">
        <v>1546</v>
      </c>
      <c r="E335" t="s">
        <v>4786</v>
      </c>
      <c r="F335">
        <v>37.39</v>
      </c>
      <c r="G335" s="3212">
        <v>16.604159843277223</v>
      </c>
      <c r="H335" s="3218">
        <f t="shared" si="5"/>
        <v>16.600000000000001</v>
      </c>
    </row>
    <row r="336" spans="1:8">
      <c r="A336">
        <v>335</v>
      </c>
      <c r="B336" t="s">
        <v>5958</v>
      </c>
      <c r="D336">
        <v>1547</v>
      </c>
      <c r="E336" t="s">
        <v>4786</v>
      </c>
      <c r="F336">
        <v>37.39</v>
      </c>
      <c r="G336" s="3212">
        <v>16.604159843277223</v>
      </c>
      <c r="H336" s="3218">
        <f t="shared" si="5"/>
        <v>16.600000000000001</v>
      </c>
    </row>
    <row r="337" spans="1:8">
      <c r="A337">
        <v>336</v>
      </c>
      <c r="B337" t="s">
        <v>5958</v>
      </c>
      <c r="D337">
        <v>1548</v>
      </c>
      <c r="E337" t="s">
        <v>4786</v>
      </c>
      <c r="F337">
        <v>55.34</v>
      </c>
      <c r="G337" s="3212">
        <v>24.575399992697555</v>
      </c>
      <c r="H337" s="3218">
        <f t="shared" si="5"/>
        <v>24.58</v>
      </c>
    </row>
    <row r="338" spans="1:8">
      <c r="A338">
        <v>337</v>
      </c>
      <c r="B338" t="s">
        <v>5958</v>
      </c>
      <c r="D338">
        <v>1549</v>
      </c>
      <c r="E338" t="s">
        <v>4786</v>
      </c>
      <c r="F338">
        <v>37.39</v>
      </c>
      <c r="G338" s="3212">
        <v>16.604159843277223</v>
      </c>
      <c r="H338" s="3218">
        <f t="shared" si="5"/>
        <v>16.600000000000001</v>
      </c>
    </row>
    <row r="339" spans="1:8">
      <c r="A339">
        <v>338</v>
      </c>
      <c r="B339" t="s">
        <v>5958</v>
      </c>
      <c r="D339">
        <v>1553</v>
      </c>
      <c r="E339" t="s">
        <v>4786</v>
      </c>
      <c r="F339">
        <v>37.39</v>
      </c>
      <c r="G339" s="3212">
        <v>16.604159843277223</v>
      </c>
      <c r="H339" s="3218">
        <f t="shared" si="5"/>
        <v>16.600000000000001</v>
      </c>
    </row>
    <row r="340" spans="1:8">
      <c r="A340">
        <v>339</v>
      </c>
      <c r="B340" t="s">
        <v>5958</v>
      </c>
      <c r="D340">
        <v>1554</v>
      </c>
      <c r="E340" t="s">
        <v>4786</v>
      </c>
      <c r="F340">
        <v>37.39</v>
      </c>
      <c r="G340" s="3212">
        <v>16.604159843277223</v>
      </c>
      <c r="H340" s="3218">
        <f t="shared" si="5"/>
        <v>16.600000000000001</v>
      </c>
    </row>
    <row r="341" spans="1:8">
      <c r="A341">
        <v>340</v>
      </c>
      <c r="B341" t="s">
        <v>5958</v>
      </c>
      <c r="D341">
        <v>1555</v>
      </c>
      <c r="E341" t="s">
        <v>4786</v>
      </c>
      <c r="F341">
        <v>37.39</v>
      </c>
      <c r="G341" s="3212">
        <v>16.604159843277223</v>
      </c>
      <c r="H341" s="3218">
        <f t="shared" si="5"/>
        <v>16.600000000000001</v>
      </c>
    </row>
    <row r="342" spans="1:8">
      <c r="A342">
        <v>341</v>
      </c>
      <c r="B342" t="s">
        <v>5958</v>
      </c>
      <c r="D342">
        <v>1556</v>
      </c>
      <c r="E342" t="s">
        <v>4786</v>
      </c>
      <c r="F342">
        <v>37.39</v>
      </c>
      <c r="G342" s="3212">
        <v>16.604159843277223</v>
      </c>
      <c r="H342" s="3218">
        <f t="shared" si="5"/>
        <v>16.600000000000001</v>
      </c>
    </row>
    <row r="343" spans="1:8">
      <c r="A343">
        <v>342</v>
      </c>
      <c r="B343" t="s">
        <v>5958</v>
      </c>
      <c r="D343">
        <v>1557</v>
      </c>
      <c r="E343" t="s">
        <v>4786</v>
      </c>
      <c r="F343">
        <v>37.39</v>
      </c>
      <c r="G343" s="3212">
        <v>16.604159843277223</v>
      </c>
      <c r="H343" s="3218">
        <f t="shared" si="5"/>
        <v>16.600000000000001</v>
      </c>
    </row>
    <row r="344" spans="1:8">
      <c r="A344">
        <v>343</v>
      </c>
      <c r="B344" t="s">
        <v>5958</v>
      </c>
      <c r="D344">
        <v>1558</v>
      </c>
      <c r="E344" t="s">
        <v>4786</v>
      </c>
      <c r="F344">
        <v>37.39</v>
      </c>
      <c r="G344" s="3212">
        <v>16.604159843277223</v>
      </c>
      <c r="H344" s="3218">
        <f t="shared" si="5"/>
        <v>16.600000000000001</v>
      </c>
    </row>
    <row r="345" spans="1:8">
      <c r="A345">
        <v>344</v>
      </c>
      <c r="B345" t="s">
        <v>5958</v>
      </c>
      <c r="D345">
        <v>1559</v>
      </c>
      <c r="E345" t="s">
        <v>4786</v>
      </c>
      <c r="F345">
        <v>37.39</v>
      </c>
      <c r="G345" s="3212">
        <v>16.604159843277223</v>
      </c>
      <c r="H345" s="3218">
        <f t="shared" si="5"/>
        <v>16.600000000000001</v>
      </c>
    </row>
    <row r="346" spans="1:8">
      <c r="A346">
        <v>345</v>
      </c>
      <c r="B346" t="s">
        <v>5958</v>
      </c>
      <c r="D346">
        <v>1560</v>
      </c>
      <c r="E346" t="s">
        <v>4786</v>
      </c>
      <c r="F346">
        <v>37.39</v>
      </c>
      <c r="G346" s="3212">
        <v>16.604159843277223</v>
      </c>
      <c r="H346" s="3218">
        <f t="shared" si="5"/>
        <v>16.600000000000001</v>
      </c>
    </row>
    <row r="347" spans="1:8">
      <c r="A347">
        <v>346</v>
      </c>
      <c r="B347" t="s">
        <v>5958</v>
      </c>
      <c r="D347">
        <v>1566</v>
      </c>
      <c r="E347" t="s">
        <v>4786</v>
      </c>
      <c r="F347">
        <v>37.39</v>
      </c>
      <c r="G347" s="3212">
        <v>16.604159843277223</v>
      </c>
      <c r="H347" s="3218">
        <f t="shared" si="5"/>
        <v>16.600000000000001</v>
      </c>
    </row>
    <row r="348" spans="1:8">
      <c r="A348">
        <v>347</v>
      </c>
      <c r="B348" t="s">
        <v>5958</v>
      </c>
      <c r="D348">
        <v>1568</v>
      </c>
      <c r="E348" t="s">
        <v>4786</v>
      </c>
      <c r="F348">
        <v>37.39</v>
      </c>
      <c r="G348" s="3212">
        <v>16.604159843277223</v>
      </c>
      <c r="H348" s="3218">
        <f t="shared" si="5"/>
        <v>16.600000000000001</v>
      </c>
    </row>
    <row r="349" spans="1:8">
      <c r="A349">
        <v>348</v>
      </c>
      <c r="B349" t="s">
        <v>5958</v>
      </c>
      <c r="D349">
        <v>1569</v>
      </c>
      <c r="E349" t="s">
        <v>4786</v>
      </c>
      <c r="F349">
        <v>37.39</v>
      </c>
      <c r="G349" s="3212">
        <v>16.604159843277223</v>
      </c>
      <c r="H349" s="3218">
        <f t="shared" si="5"/>
        <v>16.600000000000001</v>
      </c>
    </row>
    <row r="350" spans="1:8">
      <c r="A350">
        <v>349</v>
      </c>
      <c r="B350" t="s">
        <v>5958</v>
      </c>
      <c r="D350">
        <v>1574</v>
      </c>
      <c r="E350" t="s">
        <v>4786</v>
      </c>
      <c r="F350">
        <v>37.39</v>
      </c>
      <c r="G350" s="3212">
        <v>16.604159843277223</v>
      </c>
      <c r="H350" s="3218">
        <f t="shared" si="5"/>
        <v>16.600000000000001</v>
      </c>
    </row>
    <row r="351" spans="1:8">
      <c r="A351">
        <v>350</v>
      </c>
      <c r="B351" t="s">
        <v>5958</v>
      </c>
      <c r="D351">
        <v>1575</v>
      </c>
      <c r="E351" t="s">
        <v>4786</v>
      </c>
      <c r="F351">
        <v>37.39</v>
      </c>
      <c r="G351" s="3212">
        <v>16.604159843277223</v>
      </c>
      <c r="H351" s="3218">
        <f t="shared" si="5"/>
        <v>16.600000000000001</v>
      </c>
    </row>
    <row r="352" spans="1:8">
      <c r="A352">
        <v>351</v>
      </c>
      <c r="B352" t="s">
        <v>5958</v>
      </c>
      <c r="D352">
        <v>1576</v>
      </c>
      <c r="E352" t="s">
        <v>4786</v>
      </c>
      <c r="F352">
        <v>37.39</v>
      </c>
      <c r="G352" s="3212">
        <v>16.604159843277223</v>
      </c>
      <c r="H352" s="3218">
        <f t="shared" si="5"/>
        <v>16.600000000000001</v>
      </c>
    </row>
    <row r="353" spans="1:8">
      <c r="A353">
        <v>352</v>
      </c>
      <c r="B353" t="s">
        <v>5958</v>
      </c>
      <c r="D353">
        <v>1577</v>
      </c>
      <c r="E353" t="s">
        <v>4786</v>
      </c>
      <c r="F353">
        <v>37.39</v>
      </c>
      <c r="G353" s="3212">
        <v>16.604159843277223</v>
      </c>
      <c r="H353" s="3218">
        <f t="shared" si="5"/>
        <v>16.600000000000001</v>
      </c>
    </row>
    <row r="354" spans="1:8">
      <c r="A354">
        <v>353</v>
      </c>
      <c r="B354" t="s">
        <v>5958</v>
      </c>
      <c r="D354">
        <v>1578</v>
      </c>
      <c r="E354" t="s">
        <v>4786</v>
      </c>
      <c r="F354">
        <v>37.39</v>
      </c>
      <c r="G354" s="3212">
        <v>16.604159843277223</v>
      </c>
      <c r="H354" s="3218">
        <f t="shared" si="5"/>
        <v>16.600000000000001</v>
      </c>
    </row>
    <row r="355" spans="1:8">
      <c r="A355">
        <v>354</v>
      </c>
      <c r="B355" t="s">
        <v>5958</v>
      </c>
      <c r="D355">
        <v>1580</v>
      </c>
      <c r="E355" t="s">
        <v>4786</v>
      </c>
      <c r="F355">
        <v>37.39</v>
      </c>
      <c r="G355" s="3212">
        <v>16.604159843277223</v>
      </c>
      <c r="H355" s="3218">
        <f t="shared" si="5"/>
        <v>16.600000000000001</v>
      </c>
    </row>
    <row r="356" spans="1:8">
      <c r="A356">
        <v>355</v>
      </c>
      <c r="B356" t="s">
        <v>5958</v>
      </c>
      <c r="D356">
        <v>1581</v>
      </c>
      <c r="E356" t="s">
        <v>4786</v>
      </c>
      <c r="F356">
        <v>37.39</v>
      </c>
      <c r="G356" s="3212">
        <v>16.604159843277223</v>
      </c>
      <c r="H356" s="3218">
        <f t="shared" si="5"/>
        <v>16.600000000000001</v>
      </c>
    </row>
    <row r="357" spans="1:8">
      <c r="A357">
        <v>356</v>
      </c>
      <c r="B357" t="s">
        <v>5958</v>
      </c>
      <c r="D357">
        <v>1582</v>
      </c>
      <c r="E357" t="s">
        <v>4786</v>
      </c>
      <c r="F357">
        <v>37.39</v>
      </c>
      <c r="G357" s="3212">
        <v>16.604159843277223</v>
      </c>
      <c r="H357" s="3218">
        <f t="shared" si="5"/>
        <v>16.600000000000001</v>
      </c>
    </row>
    <row r="358" spans="1:8">
      <c r="A358">
        <v>357</v>
      </c>
      <c r="B358" t="s">
        <v>5958</v>
      </c>
      <c r="D358">
        <v>1584</v>
      </c>
      <c r="E358" t="s">
        <v>4786</v>
      </c>
      <c r="F358">
        <v>37.39</v>
      </c>
      <c r="G358" s="3212">
        <v>16.604159843277223</v>
      </c>
      <c r="H358" s="3218">
        <f t="shared" si="5"/>
        <v>16.600000000000001</v>
      </c>
    </row>
    <row r="359" spans="1:8">
      <c r="A359">
        <v>358</v>
      </c>
      <c r="B359" t="s">
        <v>5958</v>
      </c>
      <c r="D359">
        <v>1586</v>
      </c>
      <c r="E359" t="s">
        <v>4786</v>
      </c>
      <c r="F359">
        <v>37.39</v>
      </c>
      <c r="G359" s="3212">
        <v>16.604159843277223</v>
      </c>
      <c r="H359" s="3218">
        <f t="shared" si="5"/>
        <v>16.600000000000001</v>
      </c>
    </row>
    <row r="360" spans="1:8">
      <c r="A360">
        <v>359</v>
      </c>
      <c r="B360" t="s">
        <v>5958</v>
      </c>
      <c r="D360">
        <v>1587</v>
      </c>
      <c r="E360" t="s">
        <v>4786</v>
      </c>
      <c r="F360">
        <v>37.39</v>
      </c>
      <c r="G360" s="3212">
        <v>16.604159843277223</v>
      </c>
      <c r="H360" s="3218">
        <f t="shared" si="5"/>
        <v>16.600000000000001</v>
      </c>
    </row>
    <row r="361" spans="1:8">
      <c r="A361">
        <v>360</v>
      </c>
      <c r="B361" t="s">
        <v>5958</v>
      </c>
      <c r="D361">
        <v>1589</v>
      </c>
      <c r="E361" t="s">
        <v>4786</v>
      </c>
      <c r="F361">
        <v>35.9</v>
      </c>
      <c r="G361" s="3212">
        <v>15.94248029884066</v>
      </c>
      <c r="H361" s="3218">
        <f t="shared" si="5"/>
        <v>15.94</v>
      </c>
    </row>
    <row r="362" spans="1:8">
      <c r="A362">
        <v>361</v>
      </c>
      <c r="B362" t="s">
        <v>5958</v>
      </c>
      <c r="D362">
        <v>1590</v>
      </c>
      <c r="E362" t="s">
        <v>4786</v>
      </c>
      <c r="F362">
        <v>37.39</v>
      </c>
      <c r="G362" s="3212">
        <v>16.604159843277223</v>
      </c>
      <c r="H362" s="3218">
        <f t="shared" si="5"/>
        <v>16.600000000000001</v>
      </c>
    </row>
    <row r="363" spans="1:8">
      <c r="A363">
        <v>362</v>
      </c>
      <c r="B363" t="s">
        <v>5958</v>
      </c>
      <c r="D363">
        <v>1591</v>
      </c>
      <c r="E363" t="s">
        <v>4786</v>
      </c>
      <c r="F363">
        <v>37.39</v>
      </c>
      <c r="G363" s="3212">
        <v>16.604159843277223</v>
      </c>
      <c r="H363" s="3218">
        <f t="shared" si="5"/>
        <v>16.600000000000001</v>
      </c>
    </row>
    <row r="364" spans="1:8">
      <c r="A364">
        <v>363</v>
      </c>
      <c r="B364" t="s">
        <v>5958</v>
      </c>
      <c r="D364">
        <v>1592</v>
      </c>
      <c r="E364" t="s">
        <v>4786</v>
      </c>
      <c r="F364">
        <v>37.39</v>
      </c>
      <c r="G364" s="3212">
        <v>16.604159843277223</v>
      </c>
      <c r="H364" s="3218">
        <f t="shared" si="5"/>
        <v>16.600000000000001</v>
      </c>
    </row>
    <row r="365" spans="1:8">
      <c r="A365">
        <v>364</v>
      </c>
      <c r="B365" t="s">
        <v>5958</v>
      </c>
      <c r="D365">
        <v>1593</v>
      </c>
      <c r="E365" t="s">
        <v>4786</v>
      </c>
      <c r="F365">
        <v>37.39</v>
      </c>
      <c r="G365" s="3212">
        <v>16.604159843277223</v>
      </c>
      <c r="H365" s="3218">
        <f t="shared" si="5"/>
        <v>16.600000000000001</v>
      </c>
    </row>
    <row r="366" spans="1:8">
      <c r="A366">
        <v>365</v>
      </c>
      <c r="B366" t="s">
        <v>5958</v>
      </c>
      <c r="D366">
        <v>1594</v>
      </c>
      <c r="E366" t="s">
        <v>4786</v>
      </c>
      <c r="F366">
        <v>37.39</v>
      </c>
      <c r="G366" s="3212">
        <v>16.604159843277223</v>
      </c>
      <c r="H366" s="3218">
        <f t="shared" si="5"/>
        <v>16.600000000000001</v>
      </c>
    </row>
    <row r="367" spans="1:8">
      <c r="A367">
        <v>366</v>
      </c>
      <c r="B367" t="s">
        <v>5958</v>
      </c>
      <c r="D367">
        <v>1595</v>
      </c>
      <c r="E367" t="s">
        <v>4786</v>
      </c>
      <c r="F367">
        <v>37.39</v>
      </c>
      <c r="G367" s="3212">
        <v>16.604159843277223</v>
      </c>
      <c r="H367" s="3218">
        <f t="shared" si="5"/>
        <v>16.600000000000001</v>
      </c>
    </row>
    <row r="368" spans="1:8">
      <c r="A368">
        <v>367</v>
      </c>
      <c r="B368" t="s">
        <v>5958</v>
      </c>
      <c r="D368">
        <v>1596</v>
      </c>
      <c r="E368" t="s">
        <v>4786</v>
      </c>
      <c r="F368">
        <v>37.39</v>
      </c>
      <c r="G368" s="3212">
        <v>16.604159843277223</v>
      </c>
      <c r="H368" s="3218">
        <f t="shared" si="5"/>
        <v>16.600000000000001</v>
      </c>
    </row>
    <row r="369" spans="1:8">
      <c r="A369">
        <v>368</v>
      </c>
      <c r="B369" t="s">
        <v>5958</v>
      </c>
      <c r="D369">
        <v>1597</v>
      </c>
      <c r="E369" t="s">
        <v>4786</v>
      </c>
      <c r="F369">
        <v>37.39</v>
      </c>
      <c r="G369" s="3212">
        <v>16.604159843277223</v>
      </c>
      <c r="H369" s="3218">
        <f t="shared" si="5"/>
        <v>16.600000000000001</v>
      </c>
    </row>
    <row r="370" spans="1:8">
      <c r="A370">
        <v>369</v>
      </c>
      <c r="B370" t="s">
        <v>5958</v>
      </c>
      <c r="D370">
        <v>1603</v>
      </c>
      <c r="E370" t="s">
        <v>4786</v>
      </c>
      <c r="F370">
        <v>37.39</v>
      </c>
      <c r="G370" s="3212">
        <v>16.604159843277223</v>
      </c>
      <c r="H370" s="3218">
        <f t="shared" si="5"/>
        <v>16.600000000000001</v>
      </c>
    </row>
    <row r="371" spans="1:8">
      <c r="A371">
        <v>370</v>
      </c>
      <c r="B371" t="s">
        <v>5958</v>
      </c>
      <c r="D371">
        <v>1604</v>
      </c>
      <c r="E371" t="s">
        <v>4786</v>
      </c>
      <c r="F371">
        <v>37.39</v>
      </c>
      <c r="G371" s="3212">
        <v>16.604159843277223</v>
      </c>
      <c r="H371" s="3218">
        <f t="shared" si="5"/>
        <v>16.600000000000001</v>
      </c>
    </row>
    <row r="372" spans="1:8">
      <c r="A372">
        <v>371</v>
      </c>
      <c r="B372" t="s">
        <v>5958</v>
      </c>
      <c r="D372">
        <v>1607</v>
      </c>
      <c r="E372" t="s">
        <v>4786</v>
      </c>
      <c r="F372">
        <v>37.39</v>
      </c>
      <c r="G372" s="3212">
        <v>16.604159843277223</v>
      </c>
      <c r="H372" s="3218">
        <f t="shared" si="5"/>
        <v>16.600000000000001</v>
      </c>
    </row>
    <row r="373" spans="1:8">
      <c r="A373">
        <v>372</v>
      </c>
      <c r="B373" t="s">
        <v>5958</v>
      </c>
      <c r="D373">
        <v>1608</v>
      </c>
      <c r="E373" t="s">
        <v>4786</v>
      </c>
      <c r="F373">
        <v>37.39</v>
      </c>
      <c r="G373" s="3212">
        <v>16.604159843277223</v>
      </c>
      <c r="H373" s="3218">
        <f t="shared" si="5"/>
        <v>16.600000000000001</v>
      </c>
    </row>
    <row r="374" spans="1:8">
      <c r="A374">
        <v>373</v>
      </c>
      <c r="B374" t="s">
        <v>5958</v>
      </c>
      <c r="D374">
        <v>1609</v>
      </c>
      <c r="E374" t="s">
        <v>4786</v>
      </c>
      <c r="F374">
        <v>37.39</v>
      </c>
      <c r="G374" s="3212">
        <v>16.604159843277223</v>
      </c>
      <c r="H374" s="3218">
        <f t="shared" si="5"/>
        <v>16.600000000000001</v>
      </c>
    </row>
    <row r="375" spans="1:8">
      <c r="A375">
        <v>374</v>
      </c>
      <c r="B375" t="s">
        <v>5958</v>
      </c>
      <c r="D375">
        <v>1610</v>
      </c>
      <c r="E375" t="s">
        <v>4786</v>
      </c>
      <c r="F375">
        <v>37.39</v>
      </c>
      <c r="G375" s="3212">
        <v>16.604159843277223</v>
      </c>
      <c r="H375" s="3218">
        <f t="shared" si="5"/>
        <v>16.600000000000001</v>
      </c>
    </row>
    <row r="376" spans="1:8">
      <c r="A376">
        <v>375</v>
      </c>
      <c r="B376" t="s">
        <v>5958</v>
      </c>
      <c r="D376">
        <v>1611</v>
      </c>
      <c r="E376" t="s">
        <v>4786</v>
      </c>
      <c r="F376">
        <v>37.39</v>
      </c>
      <c r="G376" s="3212">
        <v>16.604159843277223</v>
      </c>
      <c r="H376" s="3218">
        <f t="shared" si="5"/>
        <v>16.600000000000001</v>
      </c>
    </row>
    <row r="377" spans="1:8">
      <c r="A377">
        <v>376</v>
      </c>
      <c r="B377" t="s">
        <v>5958</v>
      </c>
      <c r="D377">
        <v>1612</v>
      </c>
      <c r="E377" t="s">
        <v>4786</v>
      </c>
      <c r="F377">
        <v>37.39</v>
      </c>
      <c r="G377" s="3212">
        <v>16.604159843277223</v>
      </c>
      <c r="H377" s="3218">
        <f t="shared" si="5"/>
        <v>16.600000000000001</v>
      </c>
    </row>
    <row r="378" spans="1:8">
      <c r="A378">
        <v>377</v>
      </c>
      <c r="B378" t="s">
        <v>5958</v>
      </c>
      <c r="D378">
        <v>1613</v>
      </c>
      <c r="E378" t="s">
        <v>4786</v>
      </c>
      <c r="F378">
        <v>37.39</v>
      </c>
      <c r="G378" s="3212">
        <v>16.604159843277223</v>
      </c>
      <c r="H378" s="3218">
        <f t="shared" si="5"/>
        <v>16.600000000000001</v>
      </c>
    </row>
    <row r="379" spans="1:8">
      <c r="A379">
        <v>378</v>
      </c>
      <c r="B379" t="s">
        <v>5958</v>
      </c>
      <c r="D379">
        <v>1614</v>
      </c>
      <c r="E379" t="s">
        <v>4786</v>
      </c>
      <c r="F379">
        <v>37.39</v>
      </c>
      <c r="G379" s="3212">
        <v>16.604159843277223</v>
      </c>
      <c r="H379" s="3218">
        <f t="shared" si="5"/>
        <v>16.600000000000001</v>
      </c>
    </row>
    <row r="380" spans="1:8">
      <c r="A380">
        <v>379</v>
      </c>
      <c r="B380" t="s">
        <v>5958</v>
      </c>
      <c r="D380">
        <v>1615</v>
      </c>
      <c r="E380" t="s">
        <v>4786</v>
      </c>
      <c r="F380">
        <v>37.39</v>
      </c>
      <c r="G380" s="3212">
        <v>16.604159843277223</v>
      </c>
      <c r="H380" s="3218">
        <f t="shared" si="5"/>
        <v>16.600000000000001</v>
      </c>
    </row>
    <row r="381" spans="1:8">
      <c r="A381">
        <v>380</v>
      </c>
      <c r="B381" t="s">
        <v>5958</v>
      </c>
      <c r="D381">
        <v>1616</v>
      </c>
      <c r="E381" t="s">
        <v>4786</v>
      </c>
      <c r="F381">
        <v>37.39</v>
      </c>
      <c r="G381" s="3212">
        <v>16.604159843277223</v>
      </c>
      <c r="H381" s="3218">
        <f t="shared" si="5"/>
        <v>16.600000000000001</v>
      </c>
    </row>
    <row r="382" spans="1:8">
      <c r="A382">
        <v>381</v>
      </c>
      <c r="B382" t="s">
        <v>5958</v>
      </c>
      <c r="D382">
        <v>1617</v>
      </c>
      <c r="E382" t="s">
        <v>4786</v>
      </c>
      <c r="F382">
        <v>37.39</v>
      </c>
      <c r="G382" s="3212">
        <v>16.604159843277223</v>
      </c>
      <c r="H382" s="3218">
        <f t="shared" si="5"/>
        <v>16.600000000000001</v>
      </c>
    </row>
    <row r="383" spans="1:8">
      <c r="A383">
        <v>382</v>
      </c>
      <c r="B383" t="s">
        <v>5958</v>
      </c>
      <c r="D383">
        <v>1618</v>
      </c>
      <c r="E383" t="s">
        <v>4786</v>
      </c>
      <c r="F383">
        <v>37.39</v>
      </c>
      <c r="G383" s="3212">
        <v>16.604159843277223</v>
      </c>
      <c r="H383" s="3218">
        <f t="shared" si="5"/>
        <v>16.600000000000001</v>
      </c>
    </row>
    <row r="384" spans="1:8">
      <c r="A384">
        <v>383</v>
      </c>
      <c r="B384" t="s">
        <v>5958</v>
      </c>
      <c r="D384">
        <v>1619</v>
      </c>
      <c r="E384" t="s">
        <v>4786</v>
      </c>
      <c r="F384">
        <v>37.39</v>
      </c>
      <c r="G384" s="3212">
        <v>16.604159843277223</v>
      </c>
      <c r="H384" s="3218">
        <f t="shared" si="5"/>
        <v>16.600000000000001</v>
      </c>
    </row>
    <row r="385" spans="1:8">
      <c r="A385">
        <v>384</v>
      </c>
      <c r="B385" t="s">
        <v>5958</v>
      </c>
      <c r="D385">
        <v>1620</v>
      </c>
      <c r="E385" t="s">
        <v>4786</v>
      </c>
      <c r="F385">
        <v>37.39</v>
      </c>
      <c r="G385" s="3212">
        <v>16.604159843277223</v>
      </c>
      <c r="H385" s="3218">
        <f t="shared" si="5"/>
        <v>16.600000000000001</v>
      </c>
    </row>
    <row r="386" spans="1:8">
      <c r="A386">
        <v>385</v>
      </c>
      <c r="B386" t="s">
        <v>5958</v>
      </c>
      <c r="D386">
        <v>1621</v>
      </c>
      <c r="E386" t="s">
        <v>4786</v>
      </c>
      <c r="F386">
        <v>37.39</v>
      </c>
      <c r="G386" s="3212">
        <v>16.604159843277223</v>
      </c>
      <c r="H386" s="3218">
        <f t="shared" ref="H386:H428" si="6">ROUND(G386,2)</f>
        <v>16.600000000000001</v>
      </c>
    </row>
    <row r="387" spans="1:8">
      <c r="A387">
        <v>386</v>
      </c>
      <c r="B387" t="s">
        <v>5958</v>
      </c>
      <c r="D387">
        <v>1623</v>
      </c>
      <c r="E387" t="s">
        <v>4786</v>
      </c>
      <c r="F387">
        <v>37.39</v>
      </c>
      <c r="G387" s="3212">
        <v>16.604159843277223</v>
      </c>
      <c r="H387" s="3218">
        <f t="shared" si="6"/>
        <v>16.600000000000001</v>
      </c>
    </row>
    <row r="388" spans="1:8">
      <c r="A388">
        <v>387</v>
      </c>
      <c r="B388" t="s">
        <v>5958</v>
      </c>
      <c r="D388">
        <v>1624</v>
      </c>
      <c r="E388" t="s">
        <v>4786</v>
      </c>
      <c r="F388">
        <v>37.39</v>
      </c>
      <c r="G388" s="3212">
        <v>16.604159843277223</v>
      </c>
      <c r="H388" s="3218">
        <f t="shared" si="6"/>
        <v>16.600000000000001</v>
      </c>
    </row>
    <row r="389" spans="1:8">
      <c r="A389">
        <v>388</v>
      </c>
      <c r="B389" t="s">
        <v>5958</v>
      </c>
      <c r="D389">
        <v>1625</v>
      </c>
      <c r="E389" t="s">
        <v>4786</v>
      </c>
      <c r="F389">
        <v>37.39</v>
      </c>
      <c r="G389" s="3212">
        <v>16.604159843277223</v>
      </c>
      <c r="H389" s="3218">
        <f t="shared" si="6"/>
        <v>16.600000000000001</v>
      </c>
    </row>
    <row r="390" spans="1:8">
      <c r="A390">
        <v>389</v>
      </c>
      <c r="B390" t="s">
        <v>5958</v>
      </c>
      <c r="D390">
        <v>1628</v>
      </c>
      <c r="E390" t="s">
        <v>4786</v>
      </c>
      <c r="F390">
        <v>37.39</v>
      </c>
      <c r="G390" s="3212">
        <v>16.604159843277223</v>
      </c>
      <c r="H390" s="3218">
        <f t="shared" si="6"/>
        <v>16.600000000000001</v>
      </c>
    </row>
    <row r="391" spans="1:8">
      <c r="A391">
        <v>390</v>
      </c>
      <c r="B391" t="s">
        <v>5958</v>
      </c>
      <c r="D391">
        <v>1630</v>
      </c>
      <c r="E391" t="s">
        <v>4786</v>
      </c>
      <c r="F391">
        <v>37.39</v>
      </c>
      <c r="G391" s="3212">
        <v>16.604159843277223</v>
      </c>
      <c r="H391" s="3218">
        <f t="shared" si="6"/>
        <v>16.600000000000001</v>
      </c>
    </row>
    <row r="392" spans="1:8">
      <c r="A392">
        <v>391</v>
      </c>
      <c r="B392" t="s">
        <v>5958</v>
      </c>
      <c r="D392">
        <v>1632</v>
      </c>
      <c r="E392" t="s">
        <v>4786</v>
      </c>
      <c r="F392">
        <v>37.39</v>
      </c>
      <c r="G392" s="3212">
        <v>16.604159843277223</v>
      </c>
      <c r="H392" s="3218">
        <f t="shared" si="6"/>
        <v>16.600000000000001</v>
      </c>
    </row>
    <row r="393" spans="1:8">
      <c r="A393">
        <v>392</v>
      </c>
      <c r="B393" t="s">
        <v>5958</v>
      </c>
      <c r="D393">
        <v>1633</v>
      </c>
      <c r="E393" t="s">
        <v>4786</v>
      </c>
      <c r="F393">
        <v>37.39</v>
      </c>
      <c r="G393" s="3212">
        <v>16.604159843277223</v>
      </c>
      <c r="H393" s="3218">
        <f t="shared" si="6"/>
        <v>16.600000000000001</v>
      </c>
    </row>
    <row r="394" spans="1:8">
      <c r="A394">
        <v>393</v>
      </c>
      <c r="B394" t="s">
        <v>5958</v>
      </c>
      <c r="D394">
        <v>1638</v>
      </c>
      <c r="E394" t="s">
        <v>4786</v>
      </c>
      <c r="F394">
        <v>37.39</v>
      </c>
      <c r="G394" s="3212">
        <v>16.604159843277223</v>
      </c>
      <c r="H394" s="3218">
        <f t="shared" si="6"/>
        <v>16.600000000000001</v>
      </c>
    </row>
    <row r="395" spans="1:8">
      <c r="A395">
        <v>394</v>
      </c>
      <c r="B395" t="s">
        <v>5958</v>
      </c>
      <c r="D395">
        <v>1640</v>
      </c>
      <c r="E395" t="s">
        <v>4786</v>
      </c>
      <c r="F395">
        <v>37.39</v>
      </c>
      <c r="G395" s="3212">
        <v>16.604159843277223</v>
      </c>
      <c r="H395" s="3218">
        <f t="shared" si="6"/>
        <v>16.600000000000001</v>
      </c>
    </row>
    <row r="396" spans="1:8">
      <c r="A396">
        <v>395</v>
      </c>
      <c r="B396" t="s">
        <v>5958</v>
      </c>
      <c r="D396">
        <v>1641</v>
      </c>
      <c r="E396" t="s">
        <v>4786</v>
      </c>
      <c r="F396">
        <v>37.39</v>
      </c>
      <c r="G396" s="3212">
        <v>16.604159843277223</v>
      </c>
      <c r="H396" s="3218">
        <f t="shared" si="6"/>
        <v>16.600000000000001</v>
      </c>
    </row>
    <row r="397" spans="1:8">
      <c r="A397">
        <v>396</v>
      </c>
      <c r="B397" t="s">
        <v>5958</v>
      </c>
      <c r="D397">
        <v>1648</v>
      </c>
      <c r="E397" t="s">
        <v>4786</v>
      </c>
      <c r="F397">
        <v>37.39</v>
      </c>
      <c r="G397" s="3212">
        <v>16.604159843277223</v>
      </c>
      <c r="H397" s="3218">
        <f t="shared" si="6"/>
        <v>16.600000000000001</v>
      </c>
    </row>
    <row r="398" spans="1:8">
      <c r="A398">
        <v>397</v>
      </c>
      <c r="B398" t="s">
        <v>5958</v>
      </c>
      <c r="D398">
        <v>1663</v>
      </c>
      <c r="E398" t="s">
        <v>4786</v>
      </c>
      <c r="F398">
        <v>37.39</v>
      </c>
      <c r="G398" s="3212">
        <v>16.604159843277223</v>
      </c>
      <c r="H398" s="3218">
        <f t="shared" si="6"/>
        <v>16.600000000000001</v>
      </c>
    </row>
    <row r="399" spans="1:8">
      <c r="A399">
        <v>398</v>
      </c>
      <c r="B399" t="s">
        <v>5958</v>
      </c>
      <c r="D399">
        <v>1664</v>
      </c>
      <c r="E399" t="s">
        <v>4786</v>
      </c>
      <c r="F399">
        <v>37.39</v>
      </c>
      <c r="G399" s="3212">
        <v>16.604159843277223</v>
      </c>
      <c r="H399" s="3218">
        <f t="shared" si="6"/>
        <v>16.600000000000001</v>
      </c>
    </row>
    <row r="400" spans="1:8">
      <c r="A400">
        <v>399</v>
      </c>
      <c r="B400" t="s">
        <v>5958</v>
      </c>
      <c r="D400">
        <v>1665</v>
      </c>
      <c r="E400" t="s">
        <v>4786</v>
      </c>
      <c r="F400">
        <v>37.39</v>
      </c>
      <c r="G400" s="3212">
        <v>16.604159843277223</v>
      </c>
      <c r="H400" s="3218">
        <f t="shared" si="6"/>
        <v>16.600000000000001</v>
      </c>
    </row>
    <row r="401" spans="1:8">
      <c r="A401">
        <v>400</v>
      </c>
      <c r="B401" t="s">
        <v>5958</v>
      </c>
      <c r="D401">
        <v>1666</v>
      </c>
      <c r="E401" t="s">
        <v>4786</v>
      </c>
      <c r="F401">
        <v>37.39</v>
      </c>
      <c r="G401" s="3212">
        <v>16.604159843277223</v>
      </c>
      <c r="H401" s="3218">
        <f t="shared" si="6"/>
        <v>16.600000000000001</v>
      </c>
    </row>
    <row r="402" spans="1:8">
      <c r="A402">
        <v>401</v>
      </c>
      <c r="B402" t="s">
        <v>5958</v>
      </c>
      <c r="D402">
        <v>1667</v>
      </c>
      <c r="E402" t="s">
        <v>4786</v>
      </c>
      <c r="F402">
        <v>37.39</v>
      </c>
      <c r="G402" s="3212">
        <v>16.604159843277223</v>
      </c>
      <c r="H402" s="3218">
        <f t="shared" si="6"/>
        <v>16.600000000000001</v>
      </c>
    </row>
    <row r="403" spans="1:8">
      <c r="A403">
        <v>402</v>
      </c>
      <c r="B403" t="s">
        <v>5958</v>
      </c>
      <c r="D403">
        <v>1668</v>
      </c>
      <c r="E403" t="s">
        <v>4786</v>
      </c>
      <c r="F403">
        <v>37.39</v>
      </c>
      <c r="G403" s="3212">
        <v>16.604159843277223</v>
      </c>
      <c r="H403" s="3218">
        <f t="shared" si="6"/>
        <v>16.600000000000001</v>
      </c>
    </row>
    <row r="404" spans="1:8">
      <c r="A404">
        <v>403</v>
      </c>
      <c r="B404" t="s">
        <v>5958</v>
      </c>
      <c r="D404">
        <v>1669</v>
      </c>
      <c r="E404" t="s">
        <v>4786</v>
      </c>
      <c r="F404">
        <v>35.9</v>
      </c>
      <c r="G404" s="3212">
        <v>15.94248029884066</v>
      </c>
      <c r="H404" s="3218">
        <f t="shared" si="6"/>
        <v>15.94</v>
      </c>
    </row>
    <row r="405" spans="1:8">
      <c r="A405">
        <v>404</v>
      </c>
      <c r="B405" t="s">
        <v>5958</v>
      </c>
      <c r="D405">
        <v>1671</v>
      </c>
      <c r="E405" t="s">
        <v>4786</v>
      </c>
      <c r="F405">
        <v>37.39</v>
      </c>
      <c r="G405" s="3212">
        <v>16.604159843277223</v>
      </c>
      <c r="H405" s="3218">
        <f t="shared" si="6"/>
        <v>16.600000000000001</v>
      </c>
    </row>
    <row r="406" spans="1:8">
      <c r="A406">
        <v>405</v>
      </c>
      <c r="B406" t="s">
        <v>5958</v>
      </c>
      <c r="D406">
        <v>1672</v>
      </c>
      <c r="E406" t="s">
        <v>4786</v>
      </c>
      <c r="F406">
        <v>37.39</v>
      </c>
      <c r="G406" s="3212">
        <v>16.604159843277223</v>
      </c>
      <c r="H406" s="3218">
        <f t="shared" si="6"/>
        <v>16.600000000000001</v>
      </c>
    </row>
    <row r="407" spans="1:8">
      <c r="A407">
        <v>406</v>
      </c>
      <c r="B407" t="s">
        <v>5958</v>
      </c>
      <c r="D407">
        <v>1674</v>
      </c>
      <c r="E407" t="s">
        <v>4786</v>
      </c>
      <c r="F407">
        <v>37.39</v>
      </c>
      <c r="G407" s="3212">
        <v>16.604159843277223</v>
      </c>
      <c r="H407" s="3218">
        <f t="shared" si="6"/>
        <v>16.600000000000001</v>
      </c>
    </row>
    <row r="408" spans="1:8">
      <c r="A408">
        <v>407</v>
      </c>
      <c r="B408" t="s">
        <v>5958</v>
      </c>
      <c r="D408">
        <v>1677</v>
      </c>
      <c r="E408" t="s">
        <v>4786</v>
      </c>
      <c r="F408">
        <v>37.39</v>
      </c>
      <c r="G408" s="3212">
        <v>16.604159843277223</v>
      </c>
      <c r="H408" s="3218">
        <f t="shared" si="6"/>
        <v>16.600000000000001</v>
      </c>
    </row>
    <row r="409" spans="1:8">
      <c r="A409">
        <v>408</v>
      </c>
      <c r="B409" t="s">
        <v>5958</v>
      </c>
      <c r="D409">
        <v>1678</v>
      </c>
      <c r="E409" t="s">
        <v>4786</v>
      </c>
      <c r="F409">
        <v>37.39</v>
      </c>
      <c r="G409" s="3212">
        <v>16.604159843277223</v>
      </c>
      <c r="H409" s="3218">
        <f t="shared" si="6"/>
        <v>16.600000000000001</v>
      </c>
    </row>
    <row r="410" spans="1:8">
      <c r="A410">
        <v>409</v>
      </c>
      <c r="B410" t="s">
        <v>5958</v>
      </c>
      <c r="D410">
        <v>1683</v>
      </c>
      <c r="E410" t="s">
        <v>4786</v>
      </c>
      <c r="F410">
        <v>37.39</v>
      </c>
      <c r="G410" s="3212">
        <v>16.604159843277223</v>
      </c>
      <c r="H410" s="3218">
        <f t="shared" si="6"/>
        <v>16.600000000000001</v>
      </c>
    </row>
    <row r="411" spans="1:8">
      <c r="A411">
        <v>410</v>
      </c>
      <c r="B411" t="s">
        <v>5958</v>
      </c>
      <c r="D411">
        <v>1684</v>
      </c>
      <c r="E411" t="s">
        <v>4786</v>
      </c>
      <c r="F411">
        <v>37.39</v>
      </c>
      <c r="G411" s="3212">
        <v>16.604159843277223</v>
      </c>
      <c r="H411" s="3218">
        <f t="shared" si="6"/>
        <v>16.600000000000001</v>
      </c>
    </row>
    <row r="412" spans="1:8">
      <c r="A412">
        <v>411</v>
      </c>
      <c r="B412" t="s">
        <v>5958</v>
      </c>
      <c r="D412">
        <v>1688</v>
      </c>
      <c r="E412" t="s">
        <v>4786</v>
      </c>
      <c r="F412">
        <v>37.39</v>
      </c>
      <c r="G412" s="3212">
        <v>16.604159843277223</v>
      </c>
      <c r="H412" s="3218">
        <f t="shared" si="6"/>
        <v>16.600000000000001</v>
      </c>
    </row>
    <row r="413" spans="1:8">
      <c r="A413">
        <v>412</v>
      </c>
      <c r="B413" t="s">
        <v>5958</v>
      </c>
      <c r="D413">
        <v>1689</v>
      </c>
      <c r="E413" t="s">
        <v>4786</v>
      </c>
      <c r="F413">
        <v>37.39</v>
      </c>
      <c r="G413" s="3212">
        <v>16.604159843277223</v>
      </c>
      <c r="H413" s="3218">
        <f t="shared" si="6"/>
        <v>16.600000000000001</v>
      </c>
    </row>
    <row r="414" spans="1:8">
      <c r="A414">
        <v>413</v>
      </c>
      <c r="B414" t="s">
        <v>5958</v>
      </c>
      <c r="D414">
        <v>1690</v>
      </c>
      <c r="E414" t="s">
        <v>4786</v>
      </c>
      <c r="F414">
        <v>37.39</v>
      </c>
      <c r="G414" s="3212">
        <v>16.604159843277223</v>
      </c>
      <c r="H414" s="3218">
        <f t="shared" si="6"/>
        <v>16.600000000000001</v>
      </c>
    </row>
    <row r="415" spans="1:8">
      <c r="A415">
        <v>414</v>
      </c>
      <c r="B415" t="s">
        <v>5958</v>
      </c>
      <c r="D415">
        <v>1692</v>
      </c>
      <c r="E415" t="s">
        <v>4786</v>
      </c>
      <c r="F415">
        <v>37.39</v>
      </c>
      <c r="G415" s="3212">
        <v>16.604159843277223</v>
      </c>
      <c r="H415" s="3218">
        <f t="shared" si="6"/>
        <v>16.600000000000001</v>
      </c>
    </row>
    <row r="416" spans="1:8">
      <c r="A416">
        <v>415</v>
      </c>
      <c r="B416" t="s">
        <v>5958</v>
      </c>
      <c r="D416">
        <v>1693</v>
      </c>
      <c r="E416" t="s">
        <v>4786</v>
      </c>
      <c r="F416">
        <v>37.39</v>
      </c>
      <c r="G416" s="3212">
        <v>16.604159843277223</v>
      </c>
      <c r="H416" s="3218">
        <f t="shared" si="6"/>
        <v>16.600000000000001</v>
      </c>
    </row>
    <row r="417" spans="1:8">
      <c r="A417">
        <v>416</v>
      </c>
      <c r="B417" t="s">
        <v>5958</v>
      </c>
      <c r="D417">
        <v>1694</v>
      </c>
      <c r="E417" t="s">
        <v>4786</v>
      </c>
      <c r="F417">
        <v>37.39</v>
      </c>
      <c r="G417" s="3212">
        <v>16.604159843277223</v>
      </c>
      <c r="H417" s="3218">
        <f t="shared" si="6"/>
        <v>16.600000000000001</v>
      </c>
    </row>
    <row r="418" spans="1:8">
      <c r="A418">
        <v>417</v>
      </c>
      <c r="B418" t="s">
        <v>5958</v>
      </c>
      <c r="D418">
        <v>1696</v>
      </c>
      <c r="E418" t="s">
        <v>4786</v>
      </c>
      <c r="F418">
        <v>37.39</v>
      </c>
      <c r="G418" s="3212">
        <v>16.604159843277223</v>
      </c>
      <c r="H418" s="3218">
        <f t="shared" si="6"/>
        <v>16.600000000000001</v>
      </c>
    </row>
    <row r="419" spans="1:8">
      <c r="A419">
        <v>418</v>
      </c>
      <c r="B419" t="s">
        <v>5958</v>
      </c>
      <c r="D419">
        <v>1697</v>
      </c>
      <c r="E419" t="s">
        <v>4786</v>
      </c>
      <c r="F419">
        <v>37.39</v>
      </c>
      <c r="G419" s="3212">
        <v>16.604159843277223</v>
      </c>
      <c r="H419" s="3218">
        <f t="shared" si="6"/>
        <v>16.600000000000001</v>
      </c>
    </row>
    <row r="420" spans="1:8">
      <c r="A420">
        <v>419</v>
      </c>
      <c r="B420" t="s">
        <v>5958</v>
      </c>
      <c r="D420">
        <v>1699</v>
      </c>
      <c r="E420" t="s">
        <v>4786</v>
      </c>
      <c r="F420">
        <v>37.39</v>
      </c>
      <c r="G420" s="3212">
        <v>16.604159843277223</v>
      </c>
      <c r="H420" s="3218">
        <f t="shared" si="6"/>
        <v>16.600000000000001</v>
      </c>
    </row>
    <row r="421" spans="1:8">
      <c r="A421">
        <v>420</v>
      </c>
      <c r="B421" t="s">
        <v>5958</v>
      </c>
      <c r="D421">
        <v>1700</v>
      </c>
      <c r="E421" t="s">
        <v>4786</v>
      </c>
      <c r="F421">
        <v>35.9</v>
      </c>
      <c r="G421" s="3212">
        <v>15.94248029884066</v>
      </c>
      <c r="H421" s="3218">
        <f t="shared" si="6"/>
        <v>15.94</v>
      </c>
    </row>
    <row r="422" spans="1:8">
      <c r="A422">
        <v>421</v>
      </c>
      <c r="B422" t="s">
        <v>5958</v>
      </c>
      <c r="D422">
        <v>1703</v>
      </c>
      <c r="E422" t="s">
        <v>4786</v>
      </c>
      <c r="F422">
        <v>37.39</v>
      </c>
      <c r="G422" s="3212">
        <v>16.604159843277223</v>
      </c>
      <c r="H422" s="3218">
        <f t="shared" si="6"/>
        <v>16.600000000000001</v>
      </c>
    </row>
    <row r="423" spans="1:8">
      <c r="A423">
        <v>422</v>
      </c>
      <c r="B423" t="s">
        <v>5958</v>
      </c>
      <c r="D423">
        <v>1704</v>
      </c>
      <c r="E423" t="s">
        <v>4786</v>
      </c>
      <c r="F423">
        <v>37.39</v>
      </c>
      <c r="G423" s="3212">
        <v>16.604159843277223</v>
      </c>
      <c r="H423" s="3218">
        <f t="shared" si="6"/>
        <v>16.600000000000001</v>
      </c>
    </row>
    <row r="424" spans="1:8">
      <c r="A424">
        <v>423</v>
      </c>
      <c r="B424" t="s">
        <v>5958</v>
      </c>
      <c r="D424">
        <v>1705</v>
      </c>
      <c r="E424" t="s">
        <v>4786</v>
      </c>
      <c r="F424">
        <v>37.39</v>
      </c>
      <c r="G424" s="3212">
        <v>16.604159843277223</v>
      </c>
      <c r="H424" s="3218">
        <f t="shared" si="6"/>
        <v>16.600000000000001</v>
      </c>
    </row>
    <row r="425" spans="1:8">
      <c r="A425">
        <v>424</v>
      </c>
      <c r="B425" t="s">
        <v>5958</v>
      </c>
      <c r="D425">
        <v>1706</v>
      </c>
      <c r="E425" t="s">
        <v>4786</v>
      </c>
      <c r="F425">
        <v>37.39</v>
      </c>
      <c r="G425" s="3212">
        <v>16.604159843277223</v>
      </c>
      <c r="H425" s="3218">
        <f t="shared" si="6"/>
        <v>16.600000000000001</v>
      </c>
    </row>
    <row r="426" spans="1:8">
      <c r="A426">
        <v>425</v>
      </c>
      <c r="B426" t="s">
        <v>5958</v>
      </c>
      <c r="D426">
        <v>1707</v>
      </c>
      <c r="E426" t="s">
        <v>4786</v>
      </c>
      <c r="F426">
        <v>37.39</v>
      </c>
      <c r="G426" s="3212">
        <v>16.604159843277223</v>
      </c>
      <c r="H426" s="3218">
        <f t="shared" si="6"/>
        <v>16.600000000000001</v>
      </c>
    </row>
    <row r="427" spans="1:8">
      <c r="A427">
        <v>426</v>
      </c>
      <c r="B427" t="s">
        <v>5958</v>
      </c>
      <c r="D427">
        <v>1708</v>
      </c>
      <c r="E427" t="s">
        <v>4786</v>
      </c>
      <c r="F427">
        <v>37.39</v>
      </c>
      <c r="G427" s="3212">
        <v>16.604159843277223</v>
      </c>
      <c r="H427" s="3218">
        <f t="shared" si="6"/>
        <v>16.600000000000001</v>
      </c>
    </row>
    <row r="428" spans="1:8">
      <c r="A428">
        <v>427</v>
      </c>
      <c r="B428" t="s">
        <v>5958</v>
      </c>
      <c r="D428">
        <v>1709</v>
      </c>
      <c r="E428" t="s">
        <v>4786</v>
      </c>
      <c r="F428">
        <v>35.9</v>
      </c>
      <c r="G428" s="3212">
        <v>15.94248029884066</v>
      </c>
      <c r="H428" s="3218">
        <f t="shared" si="6"/>
        <v>15.94</v>
      </c>
    </row>
    <row r="429" spans="1:8">
      <c r="F429">
        <f>SUM(F2:F428)</f>
        <v>16034.629999999899</v>
      </c>
      <c r="G429" s="3212">
        <f>ROUND(SUM(G2:G428),2)</f>
        <v>7120.66</v>
      </c>
      <c r="H429" s="3212">
        <f>SUM(H2:H428)</f>
        <v>7119.0400000000509</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
    <tabColor rgb="FFFFFF00"/>
    <pageSetUpPr fitToPage="1"/>
  </sheetPr>
  <dimension ref="A1:S33"/>
  <sheetViews>
    <sheetView view="pageBreakPreview" zoomScale="115" zoomScaleNormal="100" zoomScaleSheetLayoutView="115" workbookViewId="0">
      <selection activeCell="D3" sqref="D3"/>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344" t="s">
        <v>1131</v>
      </c>
      <c r="B2" s="3344"/>
      <c r="C2" s="3344"/>
      <c r="D2" s="745" t="s">
        <v>1107</v>
      </c>
      <c r="E2" s="1520" t="s">
        <v>1108</v>
      </c>
      <c r="F2" s="2434"/>
      <c r="G2" s="2427"/>
      <c r="H2" s="2428"/>
      <c r="I2" s="2141" t="s">
        <v>1132</v>
      </c>
      <c r="J2" s="2434"/>
      <c r="K2" s="2434"/>
      <c r="L2" s="2434"/>
      <c r="M2" s="2434"/>
      <c r="N2" s="2435"/>
      <c r="O2" s="2434"/>
      <c r="P2" s="2434"/>
    </row>
    <row r="3" spans="1:16" ht="15.75" thickBot="1">
      <c r="A3" s="3345" t="s">
        <v>1105</v>
      </c>
      <c r="B3" s="3345"/>
      <c r="C3" s="3345"/>
      <c r="D3" s="41">
        <f>'数据-基础表'!AY6</f>
        <v>29999.43</v>
      </c>
      <c r="E3" s="41">
        <f>'数据-基础表'!AZ5</f>
        <v>67554.06999999992</v>
      </c>
      <c r="F3" s="2434"/>
      <c r="G3" s="42"/>
      <c r="H3" s="43" t="s">
        <v>1106</v>
      </c>
      <c r="I3" s="799">
        <f>ROUND('数据-基础表'!B3/'数据-基础表'!A3,2)</f>
        <v>2.25</v>
      </c>
      <c r="J3" s="2434"/>
      <c r="K3" s="2434"/>
      <c r="L3" s="2434"/>
      <c r="M3" s="2434"/>
      <c r="N3" s="2435"/>
      <c r="O3" s="2434"/>
      <c r="P3" s="2434"/>
    </row>
    <row r="4" spans="1:16" ht="15">
      <c r="A4" s="3346"/>
      <c r="B4" s="3347"/>
      <c r="C4" s="3348"/>
      <c r="D4" s="1521" t="s">
        <v>1107</v>
      </c>
      <c r="E4" s="1522" t="s">
        <v>1108</v>
      </c>
      <c r="F4" s="2434"/>
      <c r="G4" s="2429" t="s">
        <v>1133</v>
      </c>
      <c r="H4" s="43" t="s">
        <v>1113</v>
      </c>
      <c r="I4" s="799">
        <f>ROUND(SUMIF('数据-基础表'!I9:AS9,"地上",'数据-基础表'!I5:AS5)/'数据-基础表'!A3,2)</f>
        <v>1.2</v>
      </c>
      <c r="J4" s="2434"/>
      <c r="K4" s="2434"/>
      <c r="L4" s="2434"/>
      <c r="M4" s="2434"/>
      <c r="N4" s="2435"/>
      <c r="O4" s="2434"/>
      <c r="P4" s="2434"/>
    </row>
    <row r="5" spans="1:16">
      <c r="A5" s="42" t="s">
        <v>1109</v>
      </c>
      <c r="B5" s="3349" t="s">
        <v>1110</v>
      </c>
      <c r="C5" s="3349"/>
      <c r="D5" s="43">
        <f>ROUND($D$3*E5/$E$3,2)</f>
        <v>16042.08</v>
      </c>
      <c r="E5" s="44">
        <f>SUMIF('数据-基础表'!$11:$11,"住宅",'数据-基础表'!$5:$5)</f>
        <v>36124.270000000026</v>
      </c>
      <c r="F5" s="2434"/>
      <c r="G5" s="42"/>
      <c r="H5" s="43" t="s">
        <v>1106</v>
      </c>
      <c r="I5" s="799">
        <f>ROUND(E31/D31,2)</f>
        <v>2.25</v>
      </c>
      <c r="J5" s="2434"/>
      <c r="K5" s="2434"/>
      <c r="L5" s="2434"/>
      <c r="M5" s="2434"/>
      <c r="N5" s="2434"/>
      <c r="O5" s="2434"/>
      <c r="P5" s="2434"/>
    </row>
    <row r="6" spans="1:16" ht="15" thickBot="1">
      <c r="A6" s="1524"/>
      <c r="B6" s="3349" t="s">
        <v>1111</v>
      </c>
      <c r="C6" s="3349"/>
      <c r="D6" s="43">
        <f>ROUND($D$3*E6/$E$3,2)</f>
        <v>13957.35</v>
      </c>
      <c r="E6" s="44">
        <f>E3-E5</f>
        <v>31429.799999999894</v>
      </c>
      <c r="F6" s="2434"/>
      <c r="G6" s="1526" t="s">
        <v>1112</v>
      </c>
      <c r="H6" s="45" t="s">
        <v>1113</v>
      </c>
      <c r="I6" s="2430">
        <f>ROUND(F31/D31,2)</f>
        <v>1.2</v>
      </c>
      <c r="J6" s="2434"/>
      <c r="K6" s="2434"/>
      <c r="L6" s="2434"/>
      <c r="M6" s="2434"/>
      <c r="N6" s="2434"/>
      <c r="O6" s="2434"/>
      <c r="P6" s="2434"/>
    </row>
    <row r="7" spans="1:16" ht="15.75" thickBot="1">
      <c r="A7" s="3341"/>
      <c r="B7" s="3342"/>
      <c r="C7" s="3343"/>
      <c r="D7" s="1521" t="s">
        <v>1107</v>
      </c>
      <c r="E7" s="1525" t="s">
        <v>1114</v>
      </c>
      <c r="F7" s="2434"/>
      <c r="G7" s="2431" t="s">
        <v>1115</v>
      </c>
      <c r="H7" s="95"/>
      <c r="I7" s="2432">
        <v>1.05</v>
      </c>
      <c r="J7" s="2434"/>
      <c r="K7" s="2434"/>
      <c r="L7" s="2434"/>
      <c r="M7" s="2434"/>
      <c r="N7" s="2434"/>
      <c r="O7" s="2434"/>
      <c r="P7" s="2434"/>
    </row>
    <row r="8" spans="1:16">
      <c r="A8" s="42" t="s">
        <v>1116</v>
      </c>
      <c r="B8" s="45" t="s">
        <v>1117</v>
      </c>
      <c r="C8" s="43" t="s">
        <v>1118</v>
      </c>
      <c r="D8" s="43">
        <f t="shared" ref="D8:D15" si="0">ROUND($D$3*E8/$E$3,2)</f>
        <v>16042.08</v>
      </c>
      <c r="E8" s="46">
        <f>SUMIF('数据-基础表'!BB10:BK10,"地上",'数据-基础表'!BB5:BK5)</f>
        <v>36124.270000000026</v>
      </c>
      <c r="F8" s="2434"/>
      <c r="G8" s="2434"/>
      <c r="H8" s="2434"/>
      <c r="I8" s="2434"/>
      <c r="J8" s="2434"/>
      <c r="K8" s="2434"/>
      <c r="L8" s="2434"/>
      <c r="M8" s="2434"/>
      <c r="N8" s="2434"/>
      <c r="O8" s="2434"/>
      <c r="P8" s="2434"/>
    </row>
    <row r="9" spans="1:16">
      <c r="A9" s="1526"/>
      <c r="B9" s="1527"/>
      <c r="C9" s="43" t="s">
        <v>1119</v>
      </c>
      <c r="D9" s="43">
        <f t="shared" si="0"/>
        <v>0</v>
      </c>
      <c r="E9" s="47">
        <v>0</v>
      </c>
      <c r="F9" s="2434"/>
      <c r="G9" s="2434"/>
      <c r="H9" s="2434"/>
      <c r="I9" s="2434"/>
      <c r="J9" s="2434"/>
      <c r="K9" s="2434"/>
      <c r="L9" s="2434"/>
      <c r="M9" s="2434"/>
      <c r="N9" s="2434"/>
      <c r="O9" s="2434"/>
      <c r="P9" s="2434"/>
    </row>
    <row r="10" spans="1:16">
      <c r="A10" s="1526"/>
      <c r="B10" s="1527"/>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6"/>
      <c r="B12" s="1527"/>
      <c r="C12" s="43" t="s">
        <v>1121</v>
      </c>
      <c r="D12" s="43">
        <f t="shared" si="0"/>
        <v>6836.69</v>
      </c>
      <c r="E12" s="46">
        <f>SUMPRODUCT(('数据-基础表'!BB10:BK10="地下")*('数据-基础表'!BB11:BK11="仓储")*('数据-基础表'!BB5:BK5))</f>
        <v>15395.17</v>
      </c>
      <c r="F12" s="2434"/>
      <c r="G12" s="2434"/>
      <c r="H12" s="2434"/>
      <c r="I12" s="2434"/>
      <c r="J12" s="2434"/>
      <c r="K12" s="2434"/>
      <c r="L12" s="2434"/>
      <c r="M12" s="2434"/>
      <c r="N12" s="2434"/>
      <c r="O12" s="2434"/>
      <c r="P12" s="2434"/>
    </row>
    <row r="13" spans="1:16">
      <c r="A13" s="1526"/>
      <c r="B13" s="1527"/>
      <c r="C13" s="43" t="s">
        <v>1122</v>
      </c>
      <c r="D13" s="43">
        <f t="shared" si="0"/>
        <v>7120.66</v>
      </c>
      <c r="E13" s="46">
        <f>SUMPRODUCT(('数据-基础表'!BB10:BK10="地下")*('数据-基础表'!BB11:BK11="车库")*('数据-基础表'!BB5:BK5))</f>
        <v>16034.629999999899</v>
      </c>
      <c r="F13" s="2434"/>
      <c r="G13" s="2434"/>
      <c r="H13" s="2434"/>
      <c r="I13" s="2434"/>
      <c r="J13" s="2434"/>
      <c r="K13" s="2434"/>
      <c r="L13" s="2434"/>
      <c r="M13" s="2434"/>
      <c r="N13" s="2434"/>
      <c r="O13" s="2434"/>
      <c r="P13" s="2434"/>
    </row>
    <row r="14" spans="1:16">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4"/>
      <c r="B16" s="1527"/>
      <c r="C16" s="45" t="s">
        <v>1123</v>
      </c>
      <c r="D16" s="45">
        <f>SUM(D8:D15)</f>
        <v>29999.43</v>
      </c>
      <c r="E16" s="48">
        <f>SUM(E8:E15)</f>
        <v>67554.06999999992</v>
      </c>
      <c r="F16" s="2434"/>
      <c r="G16" s="2434"/>
      <c r="H16" s="1528" t="s">
        <v>1135</v>
      </c>
      <c r="I16" s="1529"/>
      <c r="J16" s="1068"/>
      <c r="K16" s="3338" t="s">
        <v>1135</v>
      </c>
      <c r="L16" s="3339"/>
      <c r="M16" s="3339"/>
      <c r="N16" s="3339"/>
      <c r="O16" s="3339"/>
      <c r="P16" s="3340"/>
    </row>
    <row r="17" spans="1:19" ht="15">
      <c r="A17" s="1530" t="s">
        <v>1136</v>
      </c>
      <c r="B17" s="1531" t="s">
        <v>1137</v>
      </c>
      <c r="C17" s="1532" t="s">
        <v>1138</v>
      </c>
      <c r="D17" s="1533" t="s">
        <v>1126</v>
      </c>
      <c r="E17" s="1534" t="s">
        <v>1127</v>
      </c>
      <c r="F17" s="1535"/>
      <c r="G17" s="1536"/>
      <c r="H17" s="1537" t="s">
        <v>1139</v>
      </c>
      <c r="I17" s="1538" t="s">
        <v>1124</v>
      </c>
      <c r="J17" s="1068"/>
      <c r="K17" s="3335" t="s">
        <v>1140</v>
      </c>
      <c r="L17" s="3336"/>
      <c r="M17" s="3337"/>
      <c r="N17" s="3335" t="s">
        <v>1141</v>
      </c>
      <c r="O17" s="3336"/>
      <c r="P17" s="3337"/>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11" t="s">
        <v>3395</v>
      </c>
      <c r="D19" s="3217">
        <f>ROUND($D$3*E19/$E$3,2)</f>
        <v>16042.08</v>
      </c>
      <c r="E19" s="51">
        <f t="shared" ref="E19:E26" si="1">SUM(F19:G19)</f>
        <v>36124.270000000026</v>
      </c>
      <c r="F19" s="3196">
        <f>'数据-基础表'!I13-'数据-基础表'!J13</f>
        <v>36124.270000000026</v>
      </c>
      <c r="G19" s="1240"/>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16042.08</v>
      </c>
      <c r="S19" s="51">
        <f t="shared" si="5"/>
        <v>36124.270000000026</v>
      </c>
    </row>
    <row r="20" spans="1:19">
      <c r="A20" s="1546"/>
      <c r="B20" s="45" t="s">
        <v>1153</v>
      </c>
      <c r="C20" s="3111" t="s">
        <v>5691</v>
      </c>
      <c r="D20" s="3217">
        <f t="shared" ref="D20:D26" si="6">ROUND($D$3*E20/$E$3,2)</f>
        <v>6836.69</v>
      </c>
      <c r="E20" s="51">
        <f t="shared" si="1"/>
        <v>15395.17</v>
      </c>
      <c r="F20" s="2553"/>
      <c r="G20" s="3197">
        <f>'数据-基础表'!K14-'数据-基础表'!L14</f>
        <v>15395.17</v>
      </c>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6836.69</v>
      </c>
      <c r="S20" s="51">
        <f t="shared" si="5"/>
        <v>15395.17</v>
      </c>
    </row>
    <row r="21" spans="1:19">
      <c r="A21" s="1546"/>
      <c r="B21" s="45" t="s">
        <v>1153</v>
      </c>
      <c r="C21" s="3111" t="s">
        <v>5692</v>
      </c>
      <c r="D21" s="3217">
        <f t="shared" si="6"/>
        <v>7120.66</v>
      </c>
      <c r="E21" s="51">
        <f t="shared" si="1"/>
        <v>16034.629999999899</v>
      </c>
      <c r="F21" s="2553"/>
      <c r="G21" s="3197">
        <f>'数据-基础表'!M15-'数据-基础表'!N15</f>
        <v>16034.629999999899</v>
      </c>
      <c r="H21" s="635">
        <f t="shared" si="7"/>
        <v>0</v>
      </c>
      <c r="I21" s="46">
        <f t="shared" si="2"/>
        <v>0</v>
      </c>
      <c r="J21" s="1068"/>
      <c r="K21" s="635">
        <f t="shared" si="3"/>
        <v>0</v>
      </c>
      <c r="L21" s="43">
        <f t="shared" si="4"/>
        <v>0</v>
      </c>
      <c r="M21" s="46">
        <f t="shared" si="8"/>
        <v>0</v>
      </c>
      <c r="N21" s="1547"/>
      <c r="O21" s="1548"/>
      <c r="P21" s="46">
        <f t="shared" si="9"/>
        <v>0</v>
      </c>
      <c r="R21" s="43">
        <f t="shared" si="5"/>
        <v>7120.66</v>
      </c>
      <c r="S21" s="51">
        <f t="shared" si="5"/>
        <v>16034.629999999899</v>
      </c>
    </row>
    <row r="22" spans="1:19">
      <c r="A22" s="1546"/>
      <c r="B22" s="45" t="s">
        <v>1153</v>
      </c>
      <c r="C22" s="3112"/>
      <c r="D22" s="43">
        <f t="shared" si="6"/>
        <v>0</v>
      </c>
      <c r="E22" s="51">
        <f t="shared" si="1"/>
        <v>0</v>
      </c>
      <c r="F22" s="2554"/>
      <c r="G22" s="2555"/>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12"/>
      <c r="D23" s="43">
        <f>ROUND($D$3*E23/$E$3,2)</f>
        <v>0</v>
      </c>
      <c r="E23" s="51">
        <f>SUM(F23:G23)</f>
        <v>0</v>
      </c>
      <c r="F23" s="2554"/>
      <c r="G23" s="2555"/>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12"/>
      <c r="D24" s="43">
        <f>ROUND($D$3*E24/$E$3,2)</f>
        <v>0</v>
      </c>
      <c r="E24" s="51">
        <f>SUM(F24:G24)</f>
        <v>0</v>
      </c>
      <c r="F24" s="2554"/>
      <c r="G24" s="2555"/>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12"/>
      <c r="D25" s="43">
        <f t="shared" si="6"/>
        <v>0</v>
      </c>
      <c r="E25" s="51">
        <f t="shared" si="1"/>
        <v>0</v>
      </c>
      <c r="F25" s="2554"/>
      <c r="G25" s="2555"/>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4"/>
      <c r="G26" s="2555"/>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29999.43</v>
      </c>
      <c r="E27" s="1070">
        <f>IF(SUM(E19:E26)='数据-基础表'!BA5,SUM(E19:E26),IF(F27="地上面积有误","面积有误","地下面积有误"))</f>
        <v>67554.06999999992</v>
      </c>
      <c r="F27" s="1069">
        <f>IF(SUM(F19:F26)=E8,SUM(F19:F26),"地上面积有误")</f>
        <v>36124.270000000026</v>
      </c>
      <c r="G27" s="1071">
        <f>SUM(G19:G26)</f>
        <v>31429.799999999901</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29999.43</v>
      </c>
      <c r="S27" s="43">
        <f>IF(SUM(S19:S26)=$E$3,SUM(S19:S26),SUM(S19:S26)&amp;"误差"&amp;ROUND(SUM(S19:S26)-E3,2))</f>
        <v>67554.06999999992</v>
      </c>
    </row>
    <row r="28" spans="1:19">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75" thickBot="1">
      <c r="A31" s="1554"/>
      <c r="B31" s="96"/>
      <c r="C31" s="782" t="s">
        <v>1158</v>
      </c>
      <c r="D31" s="641">
        <f>D27+D30</f>
        <v>29999.43</v>
      </c>
      <c r="E31" s="641">
        <f>E27+E30</f>
        <v>67554.06999999992</v>
      </c>
      <c r="F31" s="642">
        <f>F27+F30</f>
        <v>36124.270000000026</v>
      </c>
      <c r="G31" s="643">
        <f>G27+G30</f>
        <v>31429.799999999901</v>
      </c>
      <c r="H31" s="2434"/>
      <c r="I31" s="2434"/>
      <c r="J31" s="2434"/>
      <c r="K31" s="2434"/>
      <c r="L31" s="2434"/>
      <c r="M31" s="2434"/>
      <c r="N31" s="2434"/>
      <c r="O31" s="2434"/>
      <c r="P31" s="2434"/>
    </row>
    <row r="32" spans="1:19">
      <c r="A32" s="1523"/>
      <c r="B32" s="1523" t="s">
        <v>1159</v>
      </c>
      <c r="C32" s="1523"/>
      <c r="D32" s="1523"/>
      <c r="E32" s="987">
        <f>SUMIF(C19:C26,"*住宅*",E19:E26)</f>
        <v>36124.270000000026</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1700-000000000000}">
      <formula1>类别</formula1>
    </dataValidation>
    <dataValidation type="list" allowBlank="1" showInputMessage="1" showErrorMessage="1" sqref="I17" xr:uid="{00000000-0002-0000-17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8" sqref="K8"/>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2"/>
    <col min="41" max="41" width="11.625" style="122" customWidth="1"/>
    <col min="42" max="42" width="9.75" style="122" customWidth="1"/>
    <col min="43" max="67" width="13.75" style="122"/>
    <col min="68" max="16384" width="13.75" style="1558"/>
  </cols>
  <sheetData>
    <row r="1" spans="1:67" ht="19.5" thickBot="1">
      <c r="A1" s="1556" t="s">
        <v>1160</v>
      </c>
      <c r="B1" s="644"/>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8" customFormat="1" ht="15.75" thickBot="1">
      <c r="A2" s="1559" t="s">
        <v>1161</v>
      </c>
      <c r="B2" s="981">
        <f>项目基本情况!D3</f>
        <v>45803</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5695</v>
      </c>
      <c r="O5" s="1574" t="s">
        <v>1181</v>
      </c>
      <c r="P5" s="1577" t="s">
        <v>1182</v>
      </c>
      <c r="Q5" s="58" t="s">
        <v>1183</v>
      </c>
      <c r="R5" s="1578" t="s">
        <v>1184</v>
      </c>
      <c r="S5" s="1579" t="s">
        <v>1185</v>
      </c>
      <c r="T5" s="1580" t="s">
        <v>1186</v>
      </c>
      <c r="U5" s="982" t="s">
        <v>1187</v>
      </c>
      <c r="V5" s="502" t="s">
        <v>1188</v>
      </c>
      <c r="W5" s="502" t="s">
        <v>1189</v>
      </c>
      <c r="X5" s="60"/>
      <c r="Y5" s="59" t="s">
        <v>1190</v>
      </c>
      <c r="Z5" s="1098" t="s">
        <v>1187</v>
      </c>
      <c r="AA5" s="502" t="s">
        <v>1188</v>
      </c>
      <c r="AB5" s="502" t="s">
        <v>1189</v>
      </c>
      <c r="AC5" s="60"/>
      <c r="AD5" s="60" t="s">
        <v>1190</v>
      </c>
      <c r="AE5" s="982" t="s">
        <v>1191</v>
      </c>
      <c r="AF5" s="502" t="s">
        <v>1192</v>
      </c>
      <c r="AG5" s="59" t="s">
        <v>1193</v>
      </c>
      <c r="AH5" s="982" t="s">
        <v>1194</v>
      </c>
      <c r="AI5" s="1098" t="s">
        <v>1195</v>
      </c>
      <c r="AJ5" s="1098" t="s">
        <v>1196</v>
      </c>
      <c r="AK5" s="502" t="s">
        <v>1197</v>
      </c>
      <c r="AL5" s="502" t="s">
        <v>1198</v>
      </c>
      <c r="AM5" s="59" t="s">
        <v>1199</v>
      </c>
      <c r="AN5" s="1581" t="s">
        <v>1200</v>
      </c>
      <c r="AO5" s="1451" t="s">
        <v>1201</v>
      </c>
      <c r="AP5" s="965"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住宅</v>
      </c>
      <c r="B6" s="1584" t="str">
        <f>IF(A6=0,"","经营性")</f>
        <v>经营性</v>
      </c>
      <c r="C6" s="1585" t="s">
        <v>3395</v>
      </c>
      <c r="D6" s="802">
        <f>SUMIF(项目基本情况!C$12:I$12,C6,项目基本情况!C$14:I$14)</f>
        <v>70</v>
      </c>
      <c r="E6" s="801">
        <f>IF(B6="","",SUMIF(项目基本情况!C$12:I$12,C6,项目基本情况!C$13:I$13))</f>
        <v>70658</v>
      </c>
      <c r="F6" s="61">
        <f>SUMIF(项目基本情况!C$12:I$12,C6,项目基本情况!C$15:I$15)</f>
        <v>68.09</v>
      </c>
      <c r="G6" s="62">
        <f>IF(ISERROR(ROUND(POWER(1+H6,D6-F6)*(POWER(1+H6,F6)-1)/(POWER(1+H6,D6)-1),3)),0,ROUND(POWER(1+H6,D6-F6)*(POWER(1+H6,F6)-1)/(POWER(1+H6,D6)-1),3))</f>
        <v>0.996</v>
      </c>
      <c r="H6" s="689">
        <v>4.4999999999999998E-2</v>
      </c>
      <c r="I6" s="689">
        <v>0.05</v>
      </c>
      <c r="J6" s="63">
        <v>7.0000000000000007E-2</v>
      </c>
      <c r="K6" s="967">
        <f>SUMIF('数据-汇总表'!C$19:C$33,A6,'数据-汇总表'!E$19:E$33)</f>
        <v>36124.270000000026</v>
      </c>
      <c r="L6" s="690">
        <v>6500</v>
      </c>
      <c r="M6" s="64">
        <f t="shared" ref="M6:M14" si="0">ROUND(K6*L6/10000,0)</f>
        <v>23481</v>
      </c>
      <c r="N6" s="3190">
        <v>0.9</v>
      </c>
      <c r="O6" s="64">
        <f>IF($N$5="成新度","——",ROUND(M6*N6,0))</f>
        <v>21133</v>
      </c>
      <c r="P6" s="65">
        <f>IF($N$5="成新度","——",M6-O6)</f>
        <v>2348</v>
      </c>
      <c r="Q6" s="691">
        <v>0.15</v>
      </c>
      <c r="R6" s="66">
        <f ca="1">SUMIF('数据-汇总表'!C$19:C$33,A6,'数据-汇总表'!R$19:R$27)</f>
        <v>16042.08</v>
      </c>
      <c r="S6" s="49">
        <f>IF('数据-汇总表'!$I$17="按面积比例",SUMIF('数据-汇总表'!C$19:C$33,A6,'数据-汇总表'!K$19:K$33),SUMIF('数据-汇总表'!C$19:C$33,A6,'数据-汇总表'!N$19:N$33))</f>
        <v>0</v>
      </c>
      <c r="T6" s="1089">
        <f>ROUND($L$14*S6/10000,0)</f>
        <v>0</v>
      </c>
      <c r="U6" s="3121"/>
      <c r="V6" s="67"/>
      <c r="W6" s="67"/>
      <c r="X6" s="976"/>
      <c r="Y6" s="68"/>
      <c r="Z6" s="69"/>
      <c r="AA6" s="63"/>
      <c r="AB6" s="63"/>
      <c r="AC6" s="976"/>
      <c r="AD6" s="70"/>
      <c r="AE6" s="977">
        <f ca="1">IF(AN6="",0,SUMIF(INDIRECT("'"&amp;AN6&amp;"'"&amp;"!E:E"),$AE$5,INDIRECT("'"&amp;AN6&amp;"'"&amp;"!F:F")))</f>
        <v>0</v>
      </c>
      <c r="AF6" s="74"/>
      <c r="AG6" s="130">
        <f>IF(AF6="",0,AE6-AF6)</f>
        <v>0</v>
      </c>
      <c r="AH6" s="71"/>
      <c r="AI6" s="73">
        <v>365</v>
      </c>
      <c r="AJ6" s="74"/>
      <c r="AK6" s="693">
        <v>2E-3</v>
      </c>
      <c r="AL6" s="694">
        <v>1E-3</v>
      </c>
      <c r="AM6" s="106">
        <v>0.01</v>
      </c>
      <c r="AN6" s="1586"/>
      <c r="AO6" s="50" t="e">
        <f ca="1">SUMIF(INDIRECT("'"&amp;AN6&amp;"'"&amp;"!A:A"),"总价",INDIRECT("'"&amp;AN6&amp;"'"&amp;"!B:B"))</f>
        <v>#REF!</v>
      </c>
      <c r="AP6" s="1587">
        <f>IF(C6="住宅",K6*L6,0)</f>
        <v>234807755.00000018</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地下仓储</v>
      </c>
      <c r="B7" s="1584" t="str">
        <f t="shared" ref="B7:B13" si="1">IF(A7=0,"","经营性")</f>
        <v>经营性</v>
      </c>
      <c r="C7" s="1585" t="s">
        <v>3324</v>
      </c>
      <c r="D7" s="802">
        <f>SUMIF(项目基本情况!C$12:I$12,C7,项目基本情况!C$14:I$14)</f>
        <v>50</v>
      </c>
      <c r="E7" s="801">
        <f>IF(B7="","",SUMIF(项目基本情况!C$12:I$12,C7,项目基本情况!C$13:I$13))</f>
        <v>63353</v>
      </c>
      <c r="F7" s="61">
        <f>SUMIF(项目基本情况!C$12:I$12,C7,项目基本情况!C$15:I$15)</f>
        <v>48.08</v>
      </c>
      <c r="G7" s="62">
        <f t="shared" ref="G7:G11" si="2">IF(ISERROR(ROUND(POWER(1+H7,D7-F7)*(POWER(1+H7,F7)-1)/(POWER(1+H7,D7)-1),3)),0,ROUND(POWER(1+H7,D7-F7)*(POWER(1+H7,F7)-1)/(POWER(1+H7,D7)-1),3))</f>
        <v>0.98899999999999999</v>
      </c>
      <c r="H7" s="689">
        <v>4.4999999999999998E-2</v>
      </c>
      <c r="I7" s="689">
        <v>0.05</v>
      </c>
      <c r="J7" s="63">
        <v>7.0000000000000007E-2</v>
      </c>
      <c r="K7" s="967">
        <f>SUMIF('数据-汇总表'!C$19:C$33,A7,'数据-汇总表'!E$19:E$33)</f>
        <v>15395.17</v>
      </c>
      <c r="L7" s="690">
        <v>6500</v>
      </c>
      <c r="M7" s="64">
        <f t="shared" si="0"/>
        <v>10007</v>
      </c>
      <c r="N7" s="688">
        <f>N6</f>
        <v>0.9</v>
      </c>
      <c r="O7" s="64">
        <f t="shared" ref="O7:O14" si="3">IF($N$5="成新度","——",ROUND(M7*N7,0))</f>
        <v>9006</v>
      </c>
      <c r="P7" s="65">
        <f t="shared" ref="P7:P14" si="4">IF($N$5="成新度","——",M7-O7)</f>
        <v>1001</v>
      </c>
      <c r="Q7" s="691">
        <v>0.1</v>
      </c>
      <c r="R7" s="66">
        <f ca="1">SUMIF('数据-汇总表'!C$19:C$33,A7,'数据-汇总表'!R$19:R$27)</f>
        <v>6836.69</v>
      </c>
      <c r="S7" s="49">
        <f>IF('数据-汇总表'!$I$17="按面积比例",SUMIF('数据-汇总表'!C$19:C$33,A7,'数据-汇总表'!K$19:K$33),SUMIF('数据-汇总表'!C$19:C$33,A7,'数据-汇总表'!N$19:N$33))</f>
        <v>0</v>
      </c>
      <c r="T7" s="1089">
        <f t="shared" ref="T7:T13" si="5">ROUND($L$14*S7/10000,0)</f>
        <v>0</v>
      </c>
      <c r="U7" s="3121"/>
      <c r="V7" s="67"/>
      <c r="W7" s="67"/>
      <c r="X7" s="976"/>
      <c r="Y7" s="68"/>
      <c r="Z7" s="69"/>
      <c r="AA7" s="63"/>
      <c r="AB7" s="63"/>
      <c r="AC7" s="976"/>
      <c r="AD7" s="70"/>
      <c r="AE7" s="977">
        <f t="shared" ref="AE7:AE13" ca="1" si="6">IF(AN7="",0,SUMIF(INDIRECT("'"&amp;AN7&amp;"'"&amp;"!E:E"),$AE$5,INDIRECT("'"&amp;AN7&amp;"'"&amp;"!F:F")))</f>
        <v>0</v>
      </c>
      <c r="AF7" s="74"/>
      <c r="AG7" s="130">
        <f t="shared" ref="AG7:AG13" si="7">IF(AF7="",0,AE7-AF7)</f>
        <v>0</v>
      </c>
      <c r="AH7" s="71"/>
      <c r="AI7" s="73">
        <v>365</v>
      </c>
      <c r="AJ7" s="74"/>
      <c r="AK7" s="693">
        <v>2E-3</v>
      </c>
      <c r="AL7" s="694">
        <v>1E-3</v>
      </c>
      <c r="AM7" s="106">
        <v>0.01</v>
      </c>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t="str">
        <f>'数据-汇总表'!C21</f>
        <v>地下车库</v>
      </c>
      <c r="B8" s="1584" t="str">
        <f t="shared" si="1"/>
        <v>经营性</v>
      </c>
      <c r="C8" s="1585" t="s">
        <v>3323</v>
      </c>
      <c r="D8" s="802">
        <f>SUMIF(项目基本情况!C$12:I$12,C8,项目基本情况!C$14:I$14)</f>
        <v>50</v>
      </c>
      <c r="E8" s="801">
        <f>IF(B8="","",SUMIF(项目基本情况!C$12:I$12,C8,项目基本情况!C$13:I$13))</f>
        <v>63353</v>
      </c>
      <c r="F8" s="61">
        <f>SUMIF(项目基本情况!C$12:I$12,C8,项目基本情况!C$15:I$15)</f>
        <v>48.08</v>
      </c>
      <c r="G8" s="62">
        <f t="shared" si="2"/>
        <v>0.98899999999999999</v>
      </c>
      <c r="H8" s="689">
        <v>4.4999999999999998E-2</v>
      </c>
      <c r="I8" s="689">
        <v>0.05</v>
      </c>
      <c r="J8" s="63">
        <v>7.0000000000000007E-2</v>
      </c>
      <c r="K8" s="967">
        <f>SUMIF('数据-汇总表'!C$19:C$33,A8,'数据-汇总表'!E$19:E$33)</f>
        <v>16034.629999999899</v>
      </c>
      <c r="L8" s="690">
        <v>4500</v>
      </c>
      <c r="M8" s="64">
        <f>ROUND(K8*L8/10000,0)</f>
        <v>7216</v>
      </c>
      <c r="N8" s="688">
        <f>N7</f>
        <v>0.9</v>
      </c>
      <c r="O8" s="64">
        <f t="shared" si="3"/>
        <v>6494</v>
      </c>
      <c r="P8" s="65">
        <f t="shared" si="4"/>
        <v>722</v>
      </c>
      <c r="Q8" s="691">
        <v>0.05</v>
      </c>
      <c r="R8" s="66">
        <f ca="1">SUMIF('数据-汇总表'!C$19:C$33,A8,'数据-汇总表'!R$19:R$27)</f>
        <v>7120.66</v>
      </c>
      <c r="S8" s="49">
        <f>IF('数据-汇总表'!$I$17="按面积比例",SUMIF('数据-汇总表'!C$19:C$33,A8,'数据-汇总表'!K$19:K$33),SUMIF('数据-汇总表'!C$19:C$33,A8,'数据-汇总表'!N$19:N$33))</f>
        <v>0</v>
      </c>
      <c r="T8" s="1089">
        <f t="shared" si="5"/>
        <v>0</v>
      </c>
      <c r="U8" s="3122"/>
      <c r="V8" s="692"/>
      <c r="W8" s="692"/>
      <c r="X8" s="976"/>
      <c r="Y8" s="68"/>
      <c r="Z8" s="69"/>
      <c r="AA8" s="63"/>
      <c r="AB8" s="63"/>
      <c r="AC8" s="976"/>
      <c r="AD8" s="70"/>
      <c r="AE8" s="977">
        <f t="shared" ca="1" si="6"/>
        <v>0</v>
      </c>
      <c r="AF8" s="74"/>
      <c r="AG8" s="130">
        <f t="shared" si="7"/>
        <v>0</v>
      </c>
      <c r="AH8" s="3214">
        <f>'最新范围-车位'!A428</f>
        <v>427</v>
      </c>
      <c r="AI8" s="73">
        <v>365</v>
      </c>
      <c r="AJ8" s="74"/>
      <c r="AK8" s="693">
        <v>2E-3</v>
      </c>
      <c r="AL8" s="694">
        <v>1E-3</v>
      </c>
      <c r="AM8" s="106">
        <v>0.01</v>
      </c>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0"/>
      <c r="M9" s="64">
        <f t="shared" si="0"/>
        <v>0</v>
      </c>
      <c r="N9" s="688"/>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1"/>
      <c r="V9" s="67"/>
      <c r="W9" s="67"/>
      <c r="X9" s="976"/>
      <c r="Y9" s="68"/>
      <c r="Z9" s="69"/>
      <c r="AA9" s="63"/>
      <c r="AB9" s="63"/>
      <c r="AC9" s="976"/>
      <c r="AD9" s="70"/>
      <c r="AE9" s="977">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0"/>
      <c r="M10" s="64">
        <f t="shared" si="0"/>
        <v>0</v>
      </c>
      <c r="N10" s="688"/>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1"/>
      <c r="V10" s="67"/>
      <c r="W10" s="67"/>
      <c r="X10" s="976"/>
      <c r="Y10" s="68"/>
      <c r="Z10" s="69"/>
      <c r="AA10" s="63"/>
      <c r="AB10" s="63"/>
      <c r="AC10" s="976"/>
      <c r="AD10" s="70"/>
      <c r="AE10" s="977">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8"/>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1"/>
      <c r="V11" s="63"/>
      <c r="W11" s="63"/>
      <c r="X11" s="976"/>
      <c r="Y11" s="68"/>
      <c r="Z11" s="81"/>
      <c r="AA11" s="63"/>
      <c r="AB11" s="63"/>
      <c r="AC11" s="976"/>
      <c r="AD11" s="70"/>
      <c r="AE11" s="977">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8"/>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1"/>
      <c r="V12" s="63"/>
      <c r="W12" s="63"/>
      <c r="X12" s="976"/>
      <c r="Y12" s="68"/>
      <c r="Z12" s="81"/>
      <c r="AA12" s="63"/>
      <c r="AB12" s="63"/>
      <c r="AC12" s="976"/>
      <c r="AD12" s="70"/>
      <c r="AE12" s="977">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3"/>
      <c r="V13" s="67"/>
      <c r="W13" s="67"/>
      <c r="X13" s="976"/>
      <c r="Y13" s="68"/>
      <c r="Z13" s="69"/>
      <c r="AA13" s="63"/>
      <c r="AB13" s="63"/>
      <c r="AC13" s="976"/>
      <c r="AD13" s="70"/>
      <c r="AE13" s="977">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f t="shared" si="3"/>
        <v>0</v>
      </c>
      <c r="P14" s="65">
        <f t="shared" si="4"/>
        <v>0</v>
      </c>
      <c r="Q14" s="970"/>
      <c r="R14" s="66"/>
      <c r="S14" s="49"/>
      <c r="T14" s="1089"/>
      <c r="U14" s="635"/>
      <c r="V14" s="972"/>
      <c r="W14" s="972"/>
      <c r="X14" s="973"/>
      <c r="Y14" s="974"/>
      <c r="Z14" s="54"/>
      <c r="AA14" s="975"/>
      <c r="AB14" s="975"/>
      <c r="AC14" s="976"/>
      <c r="AD14" s="973"/>
      <c r="AE14" s="977"/>
      <c r="AF14" s="50"/>
      <c r="AG14" s="130"/>
      <c r="AH14" s="977"/>
      <c r="AI14" s="1263"/>
      <c r="AJ14" s="50"/>
      <c r="AK14" s="978"/>
      <c r="AL14" s="979"/>
      <c r="AM14" s="980"/>
      <c r="AN14" s="2444"/>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30"/>
      <c r="AH15" s="977"/>
      <c r="AI15" s="1263"/>
      <c r="AJ15" s="50"/>
      <c r="AK15" s="978"/>
      <c r="AL15" s="979"/>
      <c r="AM15" s="980"/>
      <c r="AN15" s="2444"/>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0"/>
      <c r="D16" s="1591"/>
      <c r="E16" s="82"/>
      <c r="F16" s="82"/>
      <c r="G16" s="83">
        <f>ROUND(SUMPRODUCT(G6:G13,K6:K13)/SUMPRODUCT((G6:G13&gt;0)*(K6:K13)),3)</f>
        <v>0.99299999999999999</v>
      </c>
      <c r="H16" s="84">
        <f>ROUND(SUMPRODUCT(H6:H13,K6:K13)/SUMPRODUCT((H6:H13&gt;0)*(K6:K13)),3)</f>
        <v>4.4999999999999998E-2</v>
      </c>
      <c r="I16" s="85"/>
      <c r="J16" s="85"/>
      <c r="K16" s="86">
        <f>SUM(K6:K15)</f>
        <v>67554.06999999992</v>
      </c>
      <c r="L16" s="87">
        <f>ROUND(M16*10000/SUM(K6:K14),0)</f>
        <v>6025</v>
      </c>
      <c r="M16" s="87">
        <f>SUM(M6:M14)</f>
        <v>40704</v>
      </c>
      <c r="N16" s="88">
        <f>ROUND(SUMPRODUCT(M6:M14,N6:N14)/M16,3)</f>
        <v>0.9</v>
      </c>
      <c r="O16" s="87">
        <f>SUM(O6:O14)</f>
        <v>36633</v>
      </c>
      <c r="P16" s="87">
        <f>SUM(P6:P14)</f>
        <v>4071</v>
      </c>
      <c r="Q16" s="89">
        <f>ROUND(SUMPRODUCT(Q6:Q13,K6:K13)/SUMPRODUCT((Q6:Q13&gt;0)*(K6:K13)),2)</f>
        <v>0.11</v>
      </c>
      <c r="R16" s="971">
        <f ca="1">SUM(R6:R13)</f>
        <v>29999.43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4"/>
      <c r="D18" s="2447"/>
      <c r="E18" s="2434"/>
      <c r="F18" s="2434"/>
      <c r="G18" s="2434"/>
      <c r="H18" s="2434"/>
      <c r="I18" s="2434"/>
      <c r="J18" s="2434"/>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3" t="s">
        <v>1211</v>
      </c>
      <c r="B19" s="97">
        <v>0</v>
      </c>
      <c r="C19" s="2556" t="s">
        <v>2292</v>
      </c>
      <c r="D19" s="2447"/>
      <c r="E19" s="2434"/>
      <c r="F19" s="2434"/>
      <c r="G19" s="2434"/>
      <c r="H19" s="2434"/>
      <c r="I19" s="2434"/>
      <c r="J19" s="2434"/>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4" t="s">
        <v>1212</v>
      </c>
      <c r="B20" s="98">
        <v>3</v>
      </c>
      <c r="C20" s="2557" t="s">
        <v>2290</v>
      </c>
      <c r="D20" s="2447"/>
      <c r="E20" s="2434"/>
      <c r="F20" s="2434"/>
      <c r="G20" s="2434"/>
      <c r="H20" s="2434"/>
      <c r="I20" s="2434"/>
      <c r="J20" s="2434"/>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5" t="s">
        <v>1213</v>
      </c>
      <c r="B21" s="98">
        <f>ROUND(N16*B20,1)</f>
        <v>2.7</v>
      </c>
      <c r="C21" s="2434"/>
      <c r="D21" s="2447"/>
      <c r="E21" s="2434"/>
      <c r="F21" s="2434"/>
      <c r="G21" s="2434"/>
      <c r="H21" s="2434"/>
      <c r="I21" s="2434"/>
      <c r="J21" s="2434"/>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4" t="s">
        <v>1214</v>
      </c>
      <c r="B22" s="99">
        <f>B19+B20</f>
        <v>3</v>
      </c>
      <c r="C22" s="2434"/>
      <c r="D22" s="2447"/>
      <c r="E22" s="2434"/>
      <c r="F22" s="2434"/>
      <c r="G22" s="2434"/>
      <c r="H22" s="2434"/>
      <c r="I22" s="2434"/>
      <c r="J22" s="2434"/>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5" t="s">
        <v>1215</v>
      </c>
      <c r="B23" s="99">
        <f>B19+B21</f>
        <v>2.7</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6" t="s">
        <v>1216</v>
      </c>
      <c r="B24" s="100">
        <f>B20-B21</f>
        <v>0.29999999999999982</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6"/>
      <c r="B25" s="1539"/>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59" t="s">
        <v>1217</v>
      </c>
      <c r="B26" s="1597" t="s">
        <v>1218</v>
      </c>
      <c r="C26" s="2448" t="s">
        <v>1219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598" t="s">
        <v>1220</v>
      </c>
      <c r="B27" s="101">
        <v>160</v>
      </c>
      <c r="C27" s="2558" t="s">
        <v>2294</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599" t="s">
        <v>1221</v>
      </c>
      <c r="B28" s="103">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0" t="s">
        <v>1222</v>
      </c>
      <c r="B29" s="105">
        <f ca="1">成本法!C9+成本法!C10</f>
        <v>1207</v>
      </c>
      <c r="C29" s="2559" t="s">
        <v>2284</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1" t="s">
        <v>1223</v>
      </c>
      <c r="B30" s="636">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599" t="s">
        <v>1224</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2" t="s">
        <v>1225</v>
      </c>
      <c r="B32" s="637">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598" t="s">
        <v>1226</v>
      </c>
      <c r="B33" s="638">
        <v>0.08</v>
      </c>
      <c r="C33" s="2560" t="s">
        <v>3372</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599" t="s">
        <v>1227</v>
      </c>
      <c r="B34" s="106">
        <v>0.05</v>
      </c>
      <c r="C34" s="2560" t="s">
        <v>2285</v>
      </c>
      <c r="D34" s="2455" t="s">
        <v>2291</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599" t="s">
        <v>1228</v>
      </c>
      <c r="B35" s="103">
        <v>200</v>
      </c>
      <c r="C35" s="2560" t="s">
        <v>2286</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0" t="s">
        <v>1229</v>
      </c>
      <c r="B36" s="107">
        <v>0.02</v>
      </c>
      <c r="C36" s="2560" t="s">
        <v>3390</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1" t="s">
        <v>1230</v>
      </c>
      <c r="B37" s="108">
        <v>0.03</v>
      </c>
      <c r="C37" s="2560" t="s">
        <v>3373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599" t="s">
        <v>1231</v>
      </c>
      <c r="B38" s="106">
        <v>0.03</v>
      </c>
      <c r="C38" s="2560" t="s">
        <v>3374</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2" t="s">
        <v>1232</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2300</v>
      </c>
      <c r="B40" s="1012">
        <f ca="1">IF(A40="利息：取LPR",存贷款利率!G1,存贷款利率!G1+C40)</f>
        <v>0.03</v>
      </c>
      <c r="C40" s="2568">
        <v>5.0000000000000001E-3</v>
      </c>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598" t="s">
        <v>1233</v>
      </c>
      <c r="B41" s="109">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3" t="s">
        <v>1234</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3" t="s">
        <v>1235</v>
      </c>
      <c r="B43" s="111">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4" t="s">
        <v>1236</v>
      </c>
      <c r="B44" s="112">
        <v>7.0000000000000007E-2</v>
      </c>
      <c r="C44" s="2560" t="s">
        <v>3375</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4" t="s">
        <v>1237</v>
      </c>
      <c r="B45" s="110">
        <v>0.03</v>
      </c>
      <c r="C45" s="2559" t="s">
        <v>2287</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4" t="s">
        <v>1238</v>
      </c>
      <c r="B46" s="110">
        <v>0.02</v>
      </c>
      <c r="C46" s="2559" t="s">
        <v>2288</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5" t="s">
        <v>1239</v>
      </c>
      <c r="B47" s="113">
        <v>0</v>
      </c>
      <c r="C47" s="2562" t="s">
        <v>2295</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6" t="s">
        <v>1240</v>
      </c>
      <c r="B48" s="114">
        <v>0.03</v>
      </c>
      <c r="C48" s="2559" t="s">
        <v>2287</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2" t="s">
        <v>1241</v>
      </c>
      <c r="B49" s="110">
        <v>5.0000000000000001E-4</v>
      </c>
      <c r="C49" s="2559" t="s">
        <v>2289</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7" t="s">
        <v>1242</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0" t="s">
        <v>1243</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7" t="s">
        <v>1244</v>
      </c>
      <c r="B52" s="117">
        <f>SUMIF(A54:A63,B53,B54:B63)</f>
        <v>3</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599" t="s">
        <v>1245</v>
      </c>
      <c r="B53" s="1608" t="s">
        <v>303</v>
      </c>
      <c r="C53" s="2435" t="s">
        <v>1246</v>
      </c>
      <c r="D53" s="2561" t="s">
        <v>2293</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09" t="s">
        <v>1247</v>
      </c>
      <c r="B54" s="72">
        <v>30</v>
      </c>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09" t="s">
        <v>1248</v>
      </c>
      <c r="B55" s="72">
        <v>24</v>
      </c>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09" t="s">
        <v>1249</v>
      </c>
      <c r="B56" s="72">
        <v>18</v>
      </c>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09" t="s">
        <v>1250</v>
      </c>
      <c r="B57" s="72">
        <v>12</v>
      </c>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09" t="s">
        <v>1251</v>
      </c>
      <c r="B58" s="72">
        <v>3</v>
      </c>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09" t="s">
        <v>1252</v>
      </c>
      <c r="B59" s="72">
        <v>1.5</v>
      </c>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09" t="s">
        <v>1253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09" t="s">
        <v>1254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09" t="s">
        <v>1255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0" t="s">
        <v>1256</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2"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2"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2"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2"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2"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1800-000000000000}">
      <formula1>"7%,5%,1%"</formula1>
    </dataValidation>
    <dataValidation type="list" allowBlank="1" showInputMessage="1" showErrorMessage="1" sqref="B53" xr:uid="{00000000-0002-0000-1800-000001000000}">
      <formula1>城镇土地纳税等级分级范围</formula1>
    </dataValidation>
    <dataValidation type="list" allowBlank="1" showInputMessage="1" showErrorMessage="1" sqref="N5" xr:uid="{00000000-0002-0000-1800-000002000000}">
      <formula1>"工程进度,成新度,工程进度/成新度"</formula1>
    </dataValidation>
    <dataValidation type="list" allowBlank="1" showInputMessage="1" showErrorMessage="1" sqref="C6:C15" xr:uid="{00000000-0002-0000-1800-000003000000}">
      <formula1>地类判定</formula1>
    </dataValidation>
    <dataValidation type="list" showInputMessage="1" showErrorMessage="1" sqref="AI6:AI13" xr:uid="{00000000-0002-0000-1800-000004000000}">
      <formula1>"365,12,1"</formula1>
    </dataValidation>
    <dataValidation type="list" allowBlank="1" showInputMessage="1" showErrorMessage="1" sqref="B14:B15" xr:uid="{00000000-0002-0000-1800-000005000000}">
      <formula1>类别</formula1>
    </dataValidation>
    <dataValidation type="list" allowBlank="1" showInputMessage="1" showErrorMessage="1" sqref="AN6:AN13" xr:uid="{00000000-0002-0000-1800-000006000000}">
      <formula1>估价方法</formula1>
    </dataValidation>
    <dataValidation type="list" allowBlank="1" showInputMessage="1" showErrorMessage="1" sqref="A40" xr:uid="{00000000-0002-0000-18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48" customWidth="1"/>
    <col min="19" max="29" width="9" style="748"/>
    <col min="30" max="16384" width="9" style="1519"/>
  </cols>
  <sheetData>
    <row r="1" spans="1:29" s="2254" customFormat="1" ht="18.75" thickBot="1">
      <c r="A1" s="3350" t="s">
        <v>2276</v>
      </c>
      <c r="B1" s="3351"/>
      <c r="C1" s="3351"/>
      <c r="D1" s="3351"/>
      <c r="E1" s="3351"/>
      <c r="F1" s="3351"/>
      <c r="G1" s="3351"/>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2273</v>
      </c>
      <c r="D2" s="1592"/>
      <c r="E2" s="2255"/>
      <c r="F2" s="2258"/>
      <c r="G2" s="2257" t="s">
        <v>2274</v>
      </c>
      <c r="H2" s="748"/>
      <c r="I2" s="748"/>
      <c r="J2" s="748"/>
      <c r="K2" s="748"/>
      <c r="L2" s="748"/>
      <c r="M2" s="748"/>
      <c r="N2" s="748"/>
      <c r="O2" s="748"/>
      <c r="P2" s="748"/>
      <c r="Q2" s="748"/>
    </row>
    <row r="3" spans="1:29" ht="24">
      <c r="A3" s="2242" t="s">
        <v>2275</v>
      </c>
      <c r="B3" s="2259" t="s">
        <v>2251</v>
      </c>
      <c r="C3" s="2260"/>
      <c r="D3" s="2261"/>
      <c r="E3" s="2243" t="s">
        <v>2275</v>
      </c>
      <c r="F3" s="2262" t="s">
        <v>2252</v>
      </c>
      <c r="G3" s="2263"/>
      <c r="H3" s="748"/>
      <c r="I3" s="748"/>
      <c r="J3" s="748"/>
      <c r="K3" s="748"/>
      <c r="L3" s="748"/>
      <c r="M3" s="748"/>
      <c r="N3" s="748"/>
      <c r="O3" s="748"/>
      <c r="P3" s="748"/>
      <c r="Q3" s="748"/>
    </row>
    <row r="4" spans="1:29">
      <c r="A4" s="2243"/>
      <c r="B4" s="315" t="s">
        <v>2253</v>
      </c>
      <c r="C4" s="2264"/>
      <c r="D4" s="2261"/>
      <c r="E4" s="2265"/>
      <c r="F4" s="1278" t="s">
        <v>2254</v>
      </c>
      <c r="G4" s="2266"/>
      <c r="H4" s="748"/>
      <c r="I4" s="748"/>
      <c r="J4" s="748"/>
      <c r="K4" s="748"/>
      <c r="L4" s="748"/>
      <c r="M4" s="748"/>
      <c r="N4" s="748"/>
      <c r="O4" s="748"/>
      <c r="P4" s="748"/>
      <c r="Q4" s="748"/>
    </row>
    <row r="5" spans="1:29">
      <c r="A5" s="2243"/>
      <c r="B5" s="315" t="s">
        <v>2255</v>
      </c>
      <c r="C5" s="2264"/>
      <c r="D5" s="2261"/>
      <c r="E5" s="2265"/>
      <c r="F5" s="315" t="s">
        <v>2256</v>
      </c>
      <c r="G5" s="2266"/>
      <c r="H5" s="748"/>
      <c r="I5" s="748"/>
      <c r="J5" s="748"/>
      <c r="K5" s="748"/>
      <c r="L5" s="748"/>
      <c r="M5" s="748"/>
      <c r="N5" s="748"/>
      <c r="O5" s="748"/>
      <c r="P5" s="748"/>
      <c r="Q5" s="748"/>
    </row>
    <row r="6" spans="1:29">
      <c r="A6" s="2243"/>
      <c r="B6" s="315" t="s">
        <v>2257</v>
      </c>
      <c r="C6" s="2266"/>
      <c r="D6" s="2261"/>
      <c r="E6" s="2265"/>
      <c r="F6" s="315" t="s">
        <v>2258</v>
      </c>
      <c r="G6" s="2266"/>
      <c r="H6" s="748"/>
      <c r="I6" s="748"/>
      <c r="J6" s="748"/>
      <c r="K6" s="748"/>
      <c r="L6" s="748"/>
      <c r="M6" s="748"/>
      <c r="N6" s="748"/>
      <c r="O6" s="748"/>
      <c r="P6" s="748"/>
      <c r="Q6" s="748"/>
    </row>
    <row r="7" spans="1:29" ht="15" thickBot="1">
      <c r="A7" s="2243"/>
      <c r="B7" s="315" t="s">
        <v>2256</v>
      </c>
      <c r="C7" s="2266"/>
      <c r="D7" s="2240"/>
      <c r="E7" s="2267"/>
      <c r="F7" s="2268" t="s">
        <v>2259</v>
      </c>
      <c r="G7" s="2269"/>
      <c r="H7" s="748"/>
      <c r="I7" s="748"/>
      <c r="J7" s="748"/>
      <c r="K7" s="748"/>
      <c r="L7" s="748"/>
      <c r="M7" s="748"/>
      <c r="N7" s="748"/>
      <c r="O7" s="748"/>
      <c r="P7" s="748"/>
      <c r="Q7" s="748"/>
    </row>
    <row r="8" spans="1:29">
      <c r="A8" s="2243"/>
      <c r="B8" s="315" t="s">
        <v>2258</v>
      </c>
      <c r="C8" s="2266"/>
      <c r="D8" s="2240"/>
      <c r="E8" s="2240"/>
      <c r="F8" s="121"/>
      <c r="G8" s="121"/>
      <c r="H8" s="748"/>
      <c r="I8" s="748"/>
      <c r="J8" s="748"/>
      <c r="K8" s="748"/>
      <c r="L8" s="748"/>
      <c r="M8" s="748"/>
      <c r="N8" s="748"/>
      <c r="O8" s="748"/>
      <c r="P8" s="748"/>
      <c r="Q8" s="748"/>
    </row>
    <row r="9" spans="1:29">
      <c r="A9" s="2243"/>
      <c r="B9" s="315" t="s">
        <v>2260</v>
      </c>
      <c r="C9" s="2264"/>
      <c r="D9" s="2261"/>
      <c r="E9" s="2240"/>
      <c r="F9" s="121"/>
      <c r="G9" s="121"/>
      <c r="H9" s="748"/>
      <c r="I9" s="748"/>
      <c r="J9" s="748"/>
      <c r="K9" s="748"/>
      <c r="L9" s="748"/>
      <c r="M9" s="748"/>
      <c r="N9" s="748"/>
      <c r="O9" s="748"/>
      <c r="P9" s="748"/>
      <c r="Q9" s="748"/>
    </row>
    <row r="10" spans="1:29" ht="15" thickBot="1">
      <c r="A10" s="2244"/>
      <c r="B10" s="2270" t="s">
        <v>2261</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8">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75" thickBot="1">
      <c r="A13" s="2279" t="s">
        <v>2277</v>
      </c>
      <c r="B13" s="2275"/>
      <c r="C13" s="2275"/>
      <c r="D13" s="2274"/>
      <c r="E13" s="2275"/>
      <c r="F13" s="2275"/>
      <c r="G13" s="2275"/>
    </row>
    <row r="14" spans="1:29" ht="15" thickBot="1">
      <c r="A14" s="2280"/>
      <c r="B14" s="2280"/>
      <c r="C14" s="2281" t="s">
        <v>2262</v>
      </c>
      <c r="D14" s="2261"/>
      <c r="E14" s="2282"/>
      <c r="F14" s="2282"/>
      <c r="G14" s="2257" t="s">
        <v>2263</v>
      </c>
    </row>
    <row r="15" spans="1:29" ht="24">
      <c r="A15" s="2245" t="s">
        <v>2264</v>
      </c>
      <c r="B15" s="2283" t="s">
        <v>2251</v>
      </c>
      <c r="C15" s="2284">
        <f>C3</f>
        <v>0</v>
      </c>
      <c r="D15" s="2261"/>
      <c r="E15" s="2246" t="s">
        <v>2265</v>
      </c>
      <c r="F15" s="2283" t="s">
        <v>2266</v>
      </c>
      <c r="G15" s="2285">
        <f>G3</f>
        <v>0</v>
      </c>
    </row>
    <row r="16" spans="1:29">
      <c r="A16" s="2247"/>
      <c r="B16" s="2286" t="s">
        <v>2253</v>
      </c>
      <c r="C16" s="2287">
        <f>C4</f>
        <v>0</v>
      </c>
      <c r="D16" s="2261"/>
      <c r="E16" s="2248"/>
      <c r="F16" s="2288" t="s">
        <v>2254</v>
      </c>
      <c r="G16" s="2289">
        <f>G4</f>
        <v>0</v>
      </c>
    </row>
    <row r="17" spans="1:17">
      <c r="A17" s="2247"/>
      <c r="B17" s="2286" t="s">
        <v>2255</v>
      </c>
      <c r="C17" s="2287">
        <f>C5</f>
        <v>0</v>
      </c>
      <c r="D17" s="2240"/>
      <c r="E17" s="2248"/>
      <c r="F17" s="2288" t="s">
        <v>2267</v>
      </c>
      <c r="G17" s="2290"/>
    </row>
    <row r="18" spans="1:17">
      <c r="A18" s="2247"/>
      <c r="B18" s="2288" t="s">
        <v>2257</v>
      </c>
      <c r="C18" s="2289">
        <f>C6</f>
        <v>0</v>
      </c>
      <c r="D18" s="2240"/>
      <c r="E18" s="2248"/>
      <c r="F18" s="2288" t="s">
        <v>2259</v>
      </c>
      <c r="G18" s="2289">
        <f>G7</f>
        <v>0</v>
      </c>
    </row>
    <row r="19" spans="1:17">
      <c r="A19" s="2247"/>
      <c r="B19" s="2288" t="s">
        <v>2268</v>
      </c>
      <c r="C19" s="2290"/>
      <c r="D19" s="2261"/>
      <c r="E19" s="2248"/>
      <c r="F19" s="315" t="s">
        <v>2256</v>
      </c>
      <c r="G19" s="2289">
        <f>G5</f>
        <v>0</v>
      </c>
    </row>
    <row r="20" spans="1:17">
      <c r="A20" s="2247"/>
      <c r="B20" s="2288" t="s">
        <v>2269</v>
      </c>
      <c r="C20" s="2287">
        <f>C9</f>
        <v>0</v>
      </c>
      <c r="D20" s="2240"/>
      <c r="E20" s="2248"/>
      <c r="F20" s="315" t="s">
        <v>2258</v>
      </c>
      <c r="G20" s="2289">
        <f>G6</f>
        <v>0</v>
      </c>
    </row>
    <row r="21" spans="1:17">
      <c r="A21" s="2247"/>
      <c r="B21" s="315" t="s">
        <v>2256</v>
      </c>
      <c r="C21" s="2289">
        <f>C7</f>
        <v>0</v>
      </c>
      <c r="D21" s="2261"/>
      <c r="E21" s="2248"/>
      <c r="F21" s="2288" t="s">
        <v>2270</v>
      </c>
      <c r="G21" s="2291"/>
    </row>
    <row r="22" spans="1:17" ht="13.5" customHeight="1">
      <c r="A22" s="2247"/>
      <c r="B22" s="315" t="s">
        <v>2258</v>
      </c>
      <c r="C22" s="2289">
        <f>C8</f>
        <v>0</v>
      </c>
      <c r="D22" s="2261"/>
      <c r="E22" s="2248"/>
      <c r="F22" s="2288" t="s">
        <v>2261</v>
      </c>
      <c r="G22" s="2290"/>
    </row>
    <row r="23" spans="1:17" s="748" customFormat="1" ht="15" thickBot="1">
      <c r="A23" s="2247"/>
      <c r="B23" s="2288" t="s">
        <v>2270</v>
      </c>
      <c r="C23" s="2291"/>
      <c r="D23" s="1611"/>
      <c r="E23" s="2249"/>
      <c r="F23" s="2292" t="s">
        <v>2271</v>
      </c>
      <c r="G23" s="2293"/>
      <c r="H23" s="2272"/>
      <c r="I23" s="2272"/>
      <c r="J23" s="2272"/>
      <c r="K23" s="2272"/>
      <c r="L23" s="2272"/>
      <c r="M23" s="2272"/>
      <c r="N23" s="2272"/>
      <c r="O23" s="2272"/>
      <c r="P23" s="2272"/>
      <c r="Q23" s="2272"/>
    </row>
    <row r="24" spans="1:17" s="748" customFormat="1" ht="15" thickBot="1">
      <c r="A24" s="2250"/>
      <c r="B24" s="2292" t="s">
        <v>2272</v>
      </c>
      <c r="C24" s="2294">
        <f>C10</f>
        <v>0</v>
      </c>
      <c r="D24" s="1611"/>
      <c r="E24" s="2240"/>
      <c r="F24" s="2240"/>
      <c r="G24" s="2240"/>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900-000000000000}">
      <formula1>临街状况</formula1>
    </dataValidation>
  </dataValidations>
  <pageMargins left="0.7" right="0.7" top="0.75" bottom="0.75" header="0.3" footer="0.3"/>
  <pageSetup paperSize="9" scale="73"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K26"/>
  <sheetViews>
    <sheetView view="pageBreakPreview" zoomScale="80" zoomScaleNormal="80" zoomScaleSheetLayoutView="80" workbookViewId="0">
      <selection activeCell="G42" sqref="G42"/>
    </sheetView>
  </sheetViews>
  <sheetFormatPr defaultColWidth="9" defaultRowHeight="13.5"/>
  <cols>
    <col min="1" max="1" width="25" style="2296" customWidth="1"/>
    <col min="2" max="9" width="15.75" style="2296" customWidth="1"/>
    <col min="10" max="16384" width="9" style="2296"/>
  </cols>
  <sheetData>
    <row r="1" spans="1:11" ht="16.5">
      <c r="A1" s="2295" t="s">
        <v>665</v>
      </c>
      <c r="B1" s="3199">
        <f>SUM(B14:B23)</f>
        <v>67554.070000000007</v>
      </c>
      <c r="C1" s="2457"/>
      <c r="D1" s="2457"/>
      <c r="E1" s="2457"/>
      <c r="F1" s="2457"/>
      <c r="G1" s="2458"/>
      <c r="H1" s="2458"/>
      <c r="I1" s="2458"/>
      <c r="J1" s="2458"/>
      <c r="K1" s="2458"/>
    </row>
    <row r="2" spans="1:11" ht="16.5">
      <c r="A2" s="2295" t="s">
        <v>653</v>
      </c>
      <c r="B2" s="2295">
        <f>SUM(C14:C23)</f>
        <v>29999.43</v>
      </c>
      <c r="C2" s="2457"/>
      <c r="D2" s="2457"/>
      <c r="E2" s="2457"/>
      <c r="F2" s="2457"/>
      <c r="G2" s="2458"/>
      <c r="H2" s="2458"/>
      <c r="I2" s="2458"/>
      <c r="J2" s="2458"/>
      <c r="K2" s="2458"/>
    </row>
    <row r="3" spans="1:11" ht="16.5">
      <c r="A3" s="2295" t="s">
        <v>662</v>
      </c>
      <c r="B3" s="2297">
        <f>项目基本情况!D3</f>
        <v>45803</v>
      </c>
      <c r="C3" s="2457"/>
      <c r="D3" s="2457"/>
      <c r="E3" s="2457"/>
      <c r="F3" s="2457"/>
      <c r="G3" s="2458"/>
      <c r="H3" s="2458"/>
      <c r="I3" s="2458"/>
      <c r="J3" s="2458"/>
      <c r="K3" s="2458"/>
    </row>
    <row r="4" spans="1:11" ht="33">
      <c r="A4" s="2295" t="s">
        <v>661</v>
      </c>
      <c r="B4" s="2295" t="s">
        <v>660</v>
      </c>
      <c r="C4" s="2295" t="s">
        <v>659</v>
      </c>
      <c r="D4" s="2295" t="s">
        <v>658</v>
      </c>
      <c r="E4" s="2457"/>
      <c r="F4" s="2458"/>
      <c r="G4" s="2458"/>
      <c r="H4" s="2458"/>
      <c r="I4" s="2458"/>
      <c r="J4" s="2458"/>
      <c r="K4" s="2458"/>
    </row>
    <row r="5" spans="1:11" ht="16.5">
      <c r="A5" s="2295" t="s">
        <v>657</v>
      </c>
      <c r="B5" s="2295">
        <f ca="1">SUM(D14:D23)</f>
        <v>470229</v>
      </c>
      <c r="C5" s="2295">
        <f ca="1">IF(B5=D14,结果表!H102,ROUND(B5*10000/$B$1,0))</f>
        <v>69608</v>
      </c>
      <c r="D5" s="2295">
        <f ca="1">ROUND(B5*10000/$B$2,0)</f>
        <v>156746</v>
      </c>
      <c r="E5" s="2457"/>
      <c r="F5" s="2458"/>
      <c r="G5" s="2458"/>
      <c r="H5" s="2458"/>
      <c r="I5" s="2458"/>
      <c r="J5" s="2458"/>
      <c r="K5" s="2458"/>
    </row>
    <row r="6" spans="1:11" ht="16.5">
      <c r="A6" s="2295" t="s">
        <v>656</v>
      </c>
      <c r="B6" s="2295">
        <f ca="1">SUM(G14:G23)</f>
        <v>470229</v>
      </c>
      <c r="C6" s="2295">
        <f ca="1">IF(B6=G14,结果表!H108,ROUND(B6*10000/$B$1,0))</f>
        <v>69608</v>
      </c>
      <c r="D6" s="2295">
        <f ca="1">ROUND(B6*10000/$B$2,0)</f>
        <v>156746</v>
      </c>
      <c r="E6" s="2457"/>
      <c r="F6" s="2458"/>
      <c r="G6" s="2458"/>
      <c r="H6" s="2458"/>
      <c r="I6" s="2458"/>
      <c r="J6" s="2458"/>
      <c r="K6" s="2458"/>
    </row>
    <row r="7" spans="1:11" ht="16.5">
      <c r="A7" s="2295" t="s">
        <v>664</v>
      </c>
      <c r="B7" s="2295">
        <f>SUM(H14:H23)</f>
        <v>0</v>
      </c>
      <c r="C7" s="2295" t="str">
        <f>IF(B7=H14,结果表!H110,ROUND(B7*10000/$B$1,0))</f>
        <v>——</v>
      </c>
      <c r="D7" s="2295">
        <f>ROUND(B7*10000/$B$2,0)</f>
        <v>0</v>
      </c>
      <c r="E7" s="2457"/>
      <c r="F7" s="2458"/>
      <c r="G7" s="2458"/>
      <c r="H7" s="2458"/>
      <c r="I7" s="2458"/>
      <c r="J7" s="2458"/>
      <c r="K7" s="2458"/>
    </row>
    <row r="8" spans="1:11" ht="16.5">
      <c r="A8" s="2295" t="s">
        <v>587</v>
      </c>
      <c r="B8" s="2295">
        <f>SUM(I14:I23)</f>
        <v>0</v>
      </c>
      <c r="C8" s="2295" t="str">
        <f>IF(B8=I14,结果表!H112,ROUND(B8*10000/$B$1,0))</f>
        <v>——</v>
      </c>
      <c r="D8" s="2295">
        <f>ROUND(B8*10000/$B$2,0)</f>
        <v>0</v>
      </c>
      <c r="E8" s="2457"/>
      <c r="F8" s="2458"/>
      <c r="G8" s="2458"/>
      <c r="H8" s="2458"/>
      <c r="I8" s="2458"/>
      <c r="J8" s="2458"/>
      <c r="K8" s="2458"/>
    </row>
    <row r="9" spans="1:11" ht="16.5">
      <c r="A9" s="2295" t="s">
        <v>655</v>
      </c>
      <c r="B9" s="1241"/>
      <c r="C9" s="2457"/>
      <c r="D9" s="2457"/>
      <c r="E9" s="2457"/>
      <c r="F9" s="2458"/>
      <c r="G9" s="2458"/>
      <c r="H9" s="2458"/>
      <c r="I9" s="2458"/>
      <c r="J9" s="2458"/>
      <c r="K9" s="2458"/>
    </row>
    <row r="10" spans="1:11" ht="16.5">
      <c r="A10" s="2295" t="s">
        <v>654</v>
      </c>
      <c r="B10" s="2295">
        <f>IF(E10="",0,ROUND(B1*(E10*365/G10)/10000,0))</f>
        <v>0</v>
      </c>
      <c r="C10" s="2295" t="s">
        <v>3345</v>
      </c>
      <c r="D10" s="2295" t="s">
        <v>3346</v>
      </c>
      <c r="E10" s="3131"/>
      <c r="F10" s="3135" t="s">
        <v>3347</v>
      </c>
      <c r="G10" s="3132"/>
      <c r="H10" s="2458"/>
      <c r="I10" s="2458"/>
      <c r="J10" s="2458"/>
      <c r="K10" s="2458"/>
    </row>
    <row r="11" spans="1:11" ht="16.5">
      <c r="A11" s="2295" t="s">
        <v>670</v>
      </c>
      <c r="B11" s="1241"/>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669</v>
      </c>
      <c r="B13" s="2299" t="s">
        <v>666</v>
      </c>
      <c r="C13" s="2299" t="s">
        <v>668</v>
      </c>
      <c r="D13" s="2299" t="s">
        <v>667</v>
      </c>
      <c r="E13" s="2295" t="s">
        <v>659</v>
      </c>
      <c r="F13" s="2295" t="s">
        <v>658</v>
      </c>
      <c r="G13" s="2299" t="s">
        <v>652</v>
      </c>
      <c r="H13" s="2299" t="s">
        <v>663</v>
      </c>
      <c r="I13" s="2299" t="s">
        <v>651</v>
      </c>
      <c r="J13" s="2458"/>
      <c r="K13" s="2458"/>
    </row>
    <row r="14" spans="1:11" ht="16.5">
      <c r="A14" s="2300" t="s">
        <v>650</v>
      </c>
      <c r="B14" s="3198">
        <f>ROUND('数据-汇总表'!E3,2)</f>
        <v>67554.070000000007</v>
      </c>
      <c r="C14" s="2301">
        <f>'数据-汇总表'!D3</f>
        <v>29999.43</v>
      </c>
      <c r="D14" s="2301">
        <f ca="1">结果表!G19</f>
        <v>470229</v>
      </c>
      <c r="E14" s="2301">
        <f ca="1">ROUND(D14*10000/B14,0)</f>
        <v>69608</v>
      </c>
      <c r="F14" s="2301">
        <f ca="1">ROUND(D14*10000/C14,0)</f>
        <v>156746</v>
      </c>
      <c r="G14" s="2301">
        <f ca="1">D14</f>
        <v>470229</v>
      </c>
      <c r="H14" s="2301"/>
      <c r="I14" s="2301"/>
      <c r="J14" s="2458"/>
      <c r="K14" s="2458"/>
    </row>
    <row r="15" spans="1:11" ht="16.5">
      <c r="A15" s="2300" t="s">
        <v>649</v>
      </c>
      <c r="B15" s="2302"/>
      <c r="C15" s="2302"/>
      <c r="D15" s="2302"/>
      <c r="E15" s="2301" t="e">
        <f t="shared" ref="E15:E23" si="0">ROUND(D15*10000/B15,0)</f>
        <v>#DIV/0!</v>
      </c>
      <c r="F15" s="2301" t="e">
        <f t="shared" ref="F15:F23" si="1">ROUND(D15*10000/C15,0)</f>
        <v>#DIV/0!</v>
      </c>
      <c r="G15" s="1241"/>
      <c r="H15" s="1241"/>
      <c r="I15" s="2302"/>
      <c r="J15" s="2458"/>
      <c r="K15" s="2458"/>
    </row>
    <row r="16" spans="1:11" ht="16.5">
      <c r="A16" s="2300" t="s">
        <v>648</v>
      </c>
      <c r="B16" s="2302"/>
      <c r="C16" s="2302"/>
      <c r="D16" s="2302"/>
      <c r="E16" s="2301" t="e">
        <f t="shared" si="0"/>
        <v>#DIV/0!</v>
      </c>
      <c r="F16" s="2301" t="e">
        <f t="shared" si="1"/>
        <v>#DIV/0!</v>
      </c>
      <c r="G16" s="1241"/>
      <c r="H16" s="1241"/>
      <c r="I16" s="2302"/>
      <c r="J16" s="2458"/>
      <c r="K16" s="2458"/>
    </row>
    <row r="17" spans="1:11" ht="16.5">
      <c r="A17" s="2300" t="s">
        <v>647</v>
      </c>
      <c r="B17" s="2302"/>
      <c r="C17" s="2302"/>
      <c r="D17" s="2302"/>
      <c r="E17" s="2301" t="e">
        <f t="shared" si="0"/>
        <v>#DIV/0!</v>
      </c>
      <c r="F17" s="2301" t="e">
        <f t="shared" si="1"/>
        <v>#DIV/0!</v>
      </c>
      <c r="G17" s="1241"/>
      <c r="H17" s="1241"/>
      <c r="I17" s="2302"/>
      <c r="J17" s="2458"/>
      <c r="K17" s="2458"/>
    </row>
    <row r="18" spans="1:11" ht="16.5">
      <c r="A18" s="2300" t="s">
        <v>646</v>
      </c>
      <c r="B18" s="2302"/>
      <c r="C18" s="2302"/>
      <c r="D18" s="2302"/>
      <c r="E18" s="2301" t="e">
        <f t="shared" si="0"/>
        <v>#DIV/0!</v>
      </c>
      <c r="F18" s="2301" t="e">
        <f t="shared" si="1"/>
        <v>#DIV/0!</v>
      </c>
      <c r="G18" s="2302"/>
      <c r="H18" s="2302"/>
      <c r="I18" s="2302"/>
      <c r="J18" s="2458"/>
      <c r="K18" s="2458"/>
    </row>
    <row r="19" spans="1:11" ht="16.5">
      <c r="A19" s="2300" t="s">
        <v>645</v>
      </c>
      <c r="B19" s="2302"/>
      <c r="C19" s="2302"/>
      <c r="D19" s="2302"/>
      <c r="E19" s="2301" t="e">
        <f t="shared" si="0"/>
        <v>#DIV/0!</v>
      </c>
      <c r="F19" s="2301" t="e">
        <f t="shared" si="1"/>
        <v>#DIV/0!</v>
      </c>
      <c r="G19" s="2302"/>
      <c r="H19" s="2302"/>
      <c r="I19" s="2302"/>
      <c r="J19" s="2458"/>
      <c r="K19" s="2458"/>
    </row>
    <row r="20" spans="1:11" ht="16.5">
      <c r="A20" s="2300" t="s">
        <v>644</v>
      </c>
      <c r="B20" s="2302"/>
      <c r="C20" s="2302"/>
      <c r="D20" s="2302"/>
      <c r="E20" s="2301" t="e">
        <f t="shared" si="0"/>
        <v>#DIV/0!</v>
      </c>
      <c r="F20" s="2301" t="e">
        <f t="shared" si="1"/>
        <v>#DIV/0!</v>
      </c>
      <c r="G20" s="2302"/>
      <c r="H20" s="2302"/>
      <c r="I20" s="2302"/>
      <c r="J20" s="2458"/>
      <c r="K20" s="2458"/>
    </row>
    <row r="21" spans="1:11" ht="16.5">
      <c r="A21" s="2300" t="s">
        <v>643</v>
      </c>
      <c r="B21" s="2302"/>
      <c r="C21" s="2302"/>
      <c r="D21" s="2302"/>
      <c r="E21" s="2301" t="e">
        <f t="shared" si="0"/>
        <v>#DIV/0!</v>
      </c>
      <c r="F21" s="2301" t="e">
        <f t="shared" si="1"/>
        <v>#DIV/0!</v>
      </c>
      <c r="G21" s="2302"/>
      <c r="H21" s="2302"/>
      <c r="I21" s="2302"/>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1" t="e">
        <f t="shared" si="0"/>
        <v>#DIV/0!</v>
      </c>
      <c r="F23" s="1241"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rgb="FFFF0000"/>
  </sheetPr>
  <dimension ref="A1:AJ512"/>
  <sheetViews>
    <sheetView tabSelected="1" view="pageBreakPreview" topLeftCell="A13" zoomScaleNormal="100" zoomScaleSheetLayoutView="100" zoomScalePageLayoutView="80" workbookViewId="0">
      <selection activeCell="H36" sqref="H36"/>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t="s">
        <v>5825</v>
      </c>
      <c r="H1" s="1618" t="str">
        <f>IF(G1="现房","——","估价对象范围")</f>
        <v>估价对象范围</v>
      </c>
      <c r="I1" s="1619" t="s">
        <v>5826</v>
      </c>
    </row>
    <row r="2" spans="1:12" ht="21.75" customHeight="1" thickBot="1">
      <c r="A2" s="3419" t="str">
        <f>项目基本情况!S2</f>
        <v>北京市出让国有建设用地使用权及在建建筑物房地产</v>
      </c>
      <c r="B2" s="3420"/>
      <c r="C2" s="3420"/>
      <c r="D2" s="3420"/>
      <c r="E2" s="3420"/>
      <c r="F2" s="3420"/>
      <c r="G2" s="3420"/>
      <c r="H2" s="3420"/>
      <c r="I2" s="3421"/>
    </row>
    <row r="3" spans="1:12" ht="12.75">
      <c r="A3" s="3423" t="s">
        <v>1264</v>
      </c>
      <c r="B3" s="3424"/>
      <c r="C3" s="3424"/>
      <c r="D3" s="3424"/>
      <c r="E3" s="3424"/>
      <c r="F3" s="3424"/>
      <c r="G3" s="3424"/>
      <c r="H3" s="3424"/>
      <c r="I3" s="3424"/>
    </row>
    <row r="4" spans="1:12" ht="14.25">
      <c r="A4" s="1621" t="s">
        <v>1265</v>
      </c>
      <c r="B4" s="1622" t="s">
        <v>1266</v>
      </c>
      <c r="C4" s="1623" t="s">
        <v>5800</v>
      </c>
      <c r="D4" s="1623" t="s">
        <v>5801</v>
      </c>
      <c r="E4" s="3428" t="s">
        <v>1267</v>
      </c>
      <c r="F4" s="3429"/>
      <c r="G4" s="3429"/>
      <c r="H4" s="3429"/>
      <c r="I4" s="343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367" t="s">
        <v>1268</v>
      </c>
      <c r="B5" s="3422">
        <v>25</v>
      </c>
      <c r="C5" s="3425"/>
      <c r="D5" s="3413"/>
      <c r="E5" s="123" t="s">
        <v>1269</v>
      </c>
      <c r="F5" s="1624"/>
      <c r="G5" s="1624"/>
      <c r="H5" s="1624"/>
      <c r="I5" s="1278"/>
    </row>
    <row r="6" spans="1:12" ht="12.75">
      <c r="A6" s="3367"/>
      <c r="B6" s="3422"/>
      <c r="C6" s="3427"/>
      <c r="D6" s="3413"/>
      <c r="E6" s="123" t="s">
        <v>1270</v>
      </c>
      <c r="F6" s="1624"/>
      <c r="G6" s="1624"/>
      <c r="H6" s="1624"/>
      <c r="I6" s="1278"/>
    </row>
    <row r="7" spans="1:12" ht="12.75">
      <c r="A7" s="3367"/>
      <c r="B7" s="3422"/>
      <c r="C7" s="3426"/>
      <c r="D7" s="3413"/>
      <c r="E7" s="123" t="s">
        <v>1271</v>
      </c>
      <c r="F7" s="1624"/>
      <c r="G7" s="1624"/>
      <c r="H7" s="1624"/>
      <c r="I7" s="1278"/>
    </row>
    <row r="8" spans="1:12" ht="12.75">
      <c r="A8" s="3367" t="s">
        <v>1272</v>
      </c>
      <c r="B8" s="3422">
        <v>15</v>
      </c>
      <c r="C8" s="3425"/>
      <c r="D8" s="3413"/>
      <c r="E8" s="123" t="s">
        <v>1273</v>
      </c>
      <c r="F8" s="1624"/>
      <c r="G8" s="1624"/>
      <c r="H8" s="1624"/>
      <c r="I8" s="1278"/>
    </row>
    <row r="9" spans="1:12" ht="12.75">
      <c r="A9" s="3367"/>
      <c r="B9" s="3422"/>
      <c r="C9" s="3426"/>
      <c r="D9" s="3413"/>
      <c r="E9" s="123" t="s">
        <v>1274</v>
      </c>
      <c r="F9" s="1624"/>
      <c r="G9" s="1624"/>
      <c r="H9" s="1624"/>
      <c r="I9" s="1278"/>
    </row>
    <row r="10" spans="1:12" ht="12.75">
      <c r="A10" s="3367" t="s">
        <v>1275</v>
      </c>
      <c r="B10" s="3422">
        <v>15</v>
      </c>
      <c r="C10" s="3425"/>
      <c r="D10" s="3413"/>
      <c r="E10" s="123" t="s">
        <v>1276</v>
      </c>
      <c r="F10" s="1624"/>
      <c r="G10" s="1624"/>
      <c r="H10" s="1624"/>
      <c r="I10" s="1278"/>
    </row>
    <row r="11" spans="1:12" ht="12.75">
      <c r="A11" s="3367"/>
      <c r="B11" s="3422"/>
      <c r="C11" s="3426"/>
      <c r="D11" s="3413"/>
      <c r="E11" s="123" t="s">
        <v>1277</v>
      </c>
      <c r="F11" s="1624"/>
      <c r="G11" s="1624"/>
      <c r="H11" s="1624"/>
      <c r="I11" s="1278"/>
    </row>
    <row r="12" spans="1:12" ht="12.75">
      <c r="A12" s="3367" t="s">
        <v>1278</v>
      </c>
      <c r="B12" s="3422">
        <v>15</v>
      </c>
      <c r="C12" s="3425"/>
      <c r="D12" s="3413"/>
      <c r="E12" s="123" t="s">
        <v>1279</v>
      </c>
      <c r="F12" s="1624"/>
      <c r="G12" s="1624"/>
      <c r="H12" s="1624"/>
      <c r="I12" s="1278"/>
    </row>
    <row r="13" spans="1:12" ht="12.75">
      <c r="A13" s="3367"/>
      <c r="B13" s="3422"/>
      <c r="C13" s="3426"/>
      <c r="D13" s="3413"/>
      <c r="E13" s="123" t="s">
        <v>1280</v>
      </c>
      <c r="F13" s="1624"/>
      <c r="G13" s="1624"/>
      <c r="H13" s="1624"/>
      <c r="I13" s="1278"/>
    </row>
    <row r="14" spans="1:12" ht="12.75">
      <c r="A14" s="3367" t="s">
        <v>1281</v>
      </c>
      <c r="B14" s="3422">
        <v>30</v>
      </c>
      <c r="C14" s="3425">
        <v>5</v>
      </c>
      <c r="D14" s="3413">
        <v>5</v>
      </c>
      <c r="E14" s="123" t="s">
        <v>1282</v>
      </c>
      <c r="F14" s="1624"/>
      <c r="G14" s="1624"/>
      <c r="H14" s="1624"/>
      <c r="I14" s="1278"/>
    </row>
    <row r="15" spans="1:12" ht="12.75">
      <c r="A15" s="3367"/>
      <c r="B15" s="3422"/>
      <c r="C15" s="3427"/>
      <c r="D15" s="3413"/>
      <c r="E15" s="123" t="s">
        <v>1283</v>
      </c>
      <c r="F15" s="1624"/>
      <c r="G15" s="1624"/>
      <c r="H15" s="1624"/>
      <c r="I15" s="1278"/>
    </row>
    <row r="16" spans="1:12" ht="12.75">
      <c r="A16" s="3367"/>
      <c r="B16" s="3422"/>
      <c r="C16" s="3426"/>
      <c r="D16" s="3413"/>
      <c r="E16" s="123" t="s">
        <v>1284</v>
      </c>
      <c r="F16" s="1624"/>
      <c r="G16" s="1624"/>
      <c r="H16" s="1624"/>
      <c r="I16" s="1278"/>
    </row>
    <row r="17" spans="1:36" ht="15">
      <c r="A17" s="1625" t="s">
        <v>1285</v>
      </c>
      <c r="B17" s="54"/>
      <c r="C17" s="124">
        <f>SUM(C5:C16)</f>
        <v>5</v>
      </c>
      <c r="D17" s="124">
        <f>SUM(D5:D16)</f>
        <v>5</v>
      </c>
      <c r="E17" s="121"/>
      <c r="F17" s="121"/>
      <c r="G17" s="121"/>
      <c r="H17" s="121"/>
      <c r="I17" s="121"/>
      <c r="K17" s="294"/>
      <c r="L17" s="294" t="s">
        <v>1286</v>
      </c>
      <c r="M17" s="294" t="s">
        <v>1287</v>
      </c>
    </row>
    <row r="18" spans="1:36" ht="31.9" customHeight="1" thickBot="1">
      <c r="A18" s="1626" t="s">
        <v>1288</v>
      </c>
      <c r="B18" s="1539"/>
      <c r="C18" s="125">
        <f>ROUND(C17/SUM(C17:D17),2)</f>
        <v>0.5</v>
      </c>
      <c r="D18" s="125">
        <f>1-C18</f>
        <v>0.5</v>
      </c>
      <c r="E18" s="3444" t="s">
        <v>2130</v>
      </c>
      <c r="F18" s="3445"/>
      <c r="G18" s="3445"/>
      <c r="H18" s="3445"/>
      <c r="I18" s="3445"/>
      <c r="K18" s="294" t="s">
        <v>1289</v>
      </c>
      <c r="L18" s="294">
        <f>IF(C1="",'数据-汇总表'!E3,SUMIF(项目类型,C1,'数据-汇总表'!E17:E26)+SUMIF(项目类型,C1,'数据-汇总表'!I17:I26))</f>
        <v>67554.06999999992</v>
      </c>
      <c r="M18" s="294">
        <f>IF(C1="",'数据-汇总表'!E3,SUMIF(项目类型,C1,'数据-汇总表'!E17:E26))</f>
        <v>67554.06999999992</v>
      </c>
    </row>
    <row r="19" spans="1:36" ht="15">
      <c r="A19" s="1627" t="s">
        <v>1290</v>
      </c>
      <c r="B19" s="1628" t="s">
        <v>1291</v>
      </c>
      <c r="C19" s="126">
        <f ca="1">SUMIF(INDIRECT("'"&amp;C4&amp;"'"&amp;"!A:A"),结果表!B19,INDIRECT("'"&amp;C4&amp;"'"&amp;"!B:B"))</f>
        <v>497243</v>
      </c>
      <c r="D19" s="127">
        <f ca="1">SUMIF(INDIRECT("'"&amp;D4&amp;"'"&amp;"!A:A"),结果表!B19,INDIRECT("'"&amp;D4&amp;"'"&amp;"!B:B"))</f>
        <v>443214</v>
      </c>
      <c r="E19" s="1627" t="s">
        <v>1292</v>
      </c>
      <c r="F19" s="1628" t="s">
        <v>1291</v>
      </c>
      <c r="G19" s="128">
        <f ca="1">ROUND(C19*$C$18+D19*$D$18,0)</f>
        <v>470229</v>
      </c>
      <c r="H19" s="1629" t="s">
        <v>1293</v>
      </c>
      <c r="I19" s="121"/>
      <c r="K19" s="294" t="s">
        <v>1294</v>
      </c>
      <c r="L19" s="294">
        <f>IF(C1="",'数据-汇总表'!D3,SUMIF(项目类型,C1,'数据-汇总表'!D17:D26)+SUMIF(项目类型,C1,'数据-汇总表'!H17:H27))</f>
        <v>29999.43</v>
      </c>
      <c r="M19" s="294">
        <f>IF(C1="",'数据-汇总表'!D3,SUMIF(项目类型,C1,'数据-汇总表'!D17:D26))</f>
        <v>29999.43</v>
      </c>
    </row>
    <row r="20" spans="1:36" ht="15">
      <c r="A20" s="1630"/>
      <c r="B20" s="43" t="s">
        <v>1295</v>
      </c>
      <c r="C20" s="129">
        <f ca="1">SUMIF(INDIRECT("'"&amp;C4&amp;"'"&amp;"!A:A"),结果表!B20,INDIRECT("'"&amp;C4&amp;"'"&amp;"!B:B"))</f>
        <v>73607</v>
      </c>
      <c r="D20" s="130">
        <f ca="1">SUMIF(INDIRECT("'"&amp;D4&amp;"'"&amp;"!A:A"),结果表!B20,INDIRECT("'"&amp;D4&amp;"'"&amp;"!B:B"))</f>
        <v>65609</v>
      </c>
      <c r="E20" s="1630"/>
      <c r="F20" s="43" t="s">
        <v>1295</v>
      </c>
      <c r="G20" s="131">
        <f ca="1">ROUND(C20*$C$18+D20*$D$18,0)</f>
        <v>69608</v>
      </c>
      <c r="H20" s="757" t="s">
        <v>1296</v>
      </c>
      <c r="I20" s="121"/>
    </row>
    <row r="21" spans="1:36" ht="15" customHeight="1" thickBot="1">
      <c r="A21" s="447"/>
      <c r="B21" s="93" t="s">
        <v>1297</v>
      </c>
      <c r="C21" s="676">
        <f ca="1">ROUND(C19*10000/L19,0)</f>
        <v>165751</v>
      </c>
      <c r="D21" s="677">
        <f ca="1">ROUND(D19*10000/L19,0)</f>
        <v>147741</v>
      </c>
      <c r="E21" s="447"/>
      <c r="F21" s="93" t="s">
        <v>1297</v>
      </c>
      <c r="G21" s="132">
        <f ca="1">ROUND(G19*10000/L19,0)</f>
        <v>156746</v>
      </c>
      <c r="H21" s="1631" t="s">
        <v>1296</v>
      </c>
      <c r="I21" s="121"/>
    </row>
    <row r="22" spans="1:36" ht="15" thickBot="1">
      <c r="A22" s="1561" t="s">
        <v>1298</v>
      </c>
      <c r="B22" s="1632"/>
      <c r="C22" s="1633"/>
      <c r="D22" s="678">
        <f ca="1">IF(C19&lt;D19,D19/C19-1,C19/D19-1)</f>
        <v>0.12190273772940396</v>
      </c>
      <c r="E22" s="121"/>
      <c r="F22" s="121"/>
      <c r="G22" s="121"/>
      <c r="H22" s="121"/>
      <c r="I22" s="121"/>
    </row>
    <row r="23" spans="1:36" ht="13.5" thickBot="1">
      <c r="A23" s="644"/>
      <c r="B23" s="644"/>
      <c r="C23" s="644"/>
      <c r="D23" s="644"/>
      <c r="E23" s="121"/>
      <c r="F23" s="121"/>
      <c r="G23" s="121"/>
      <c r="H23" s="121"/>
      <c r="I23" s="121"/>
    </row>
    <row r="24" spans="1:36" ht="14.25">
      <c r="A24" s="3437" t="s">
        <v>1299</v>
      </c>
      <c r="B24" s="1628" t="s">
        <v>1291</v>
      </c>
      <c r="C24" s="128">
        <f>IF(B30=0,0,D30)</f>
        <v>0</v>
      </c>
      <c r="D24" s="1634"/>
      <c r="E24" s="121"/>
      <c r="F24" s="121"/>
      <c r="G24" s="121"/>
      <c r="H24" s="121"/>
      <c r="I24" s="121"/>
    </row>
    <row r="25" spans="1:36" ht="14.25">
      <c r="A25" s="3438"/>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4.25">
      <c r="A27" s="1636"/>
      <c r="B27" s="134">
        <v>0</v>
      </c>
      <c r="C27" s="134">
        <v>0</v>
      </c>
      <c r="D27" s="135">
        <f>ROUND(C27*B27/10000,0)</f>
        <v>0</v>
      </c>
      <c r="E27" s="121"/>
      <c r="F27" s="121"/>
      <c r="G27" s="121"/>
      <c r="H27" s="121"/>
      <c r="I27" s="121"/>
    </row>
    <row r="28" spans="1:36" ht="14.25">
      <c r="A28" s="1636"/>
      <c r="B28" s="134"/>
      <c r="C28" s="134"/>
      <c r="D28" s="135"/>
      <c r="E28" s="121"/>
      <c r="F28" s="121"/>
      <c r="G28" s="121"/>
      <c r="H28" s="121"/>
      <c r="I28" s="121"/>
    </row>
    <row r="29" spans="1:36" ht="14.25">
      <c r="A29" s="1636"/>
      <c r="B29" s="134"/>
      <c r="C29" s="134"/>
      <c r="D29" s="135"/>
      <c r="E29" s="121"/>
      <c r="F29" s="121"/>
      <c r="G29" s="121"/>
      <c r="H29" s="121"/>
      <c r="I29" s="121"/>
    </row>
    <row r="30" spans="1:36" ht="15" thickBot="1">
      <c r="A30" s="134" t="s">
        <v>1304</v>
      </c>
      <c r="B30" s="134"/>
      <c r="C30" s="134"/>
      <c r="D30" s="134"/>
      <c r="E30" s="2122" t="s">
        <v>2131</v>
      </c>
      <c r="F30" s="121"/>
      <c r="G30" s="121"/>
      <c r="H30" s="121"/>
      <c r="I30" s="121"/>
    </row>
    <row r="31" spans="1:36" s="2128" customFormat="1" ht="26.45" customHeight="1" thickTop="1" thickBot="1">
      <c r="A31" s="2123"/>
      <c r="B31" s="2124"/>
      <c r="C31" s="2124"/>
      <c r="D31" s="2124"/>
      <c r="E31" s="2124"/>
      <c r="F31" s="2124"/>
      <c r="G31" s="2124"/>
      <c r="H31" s="2124"/>
      <c r="I31" s="2125" t="s">
        <v>2132</v>
      </c>
      <c r="J31" s="2459"/>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7" t="s">
        <v>1305</v>
      </c>
      <c r="B32" s="1532"/>
      <c r="C32" s="136">
        <f ca="1">IF(D32="总价",G19-C24,G20-C25)</f>
        <v>470229</v>
      </c>
      <c r="D32" s="1638" t="s">
        <v>5802</v>
      </c>
      <c r="E32" s="121"/>
      <c r="F32" s="121"/>
      <c r="G32" s="121"/>
      <c r="H32" s="121"/>
      <c r="I32" s="121"/>
    </row>
    <row r="33" spans="1:15" ht="15">
      <c r="A33" s="737" t="s">
        <v>1306</v>
      </c>
      <c r="B33" s="123"/>
      <c r="C33" s="1639" t="s">
        <v>5965</v>
      </c>
      <c r="D33" s="1640" t="s">
        <v>5800</v>
      </c>
      <c r="E33" s="1641" t="s">
        <v>1307</v>
      </c>
      <c r="F33" s="1642" t="str">
        <f>IF(D32="楼面单价","取值（单价）","取值（总价）")</f>
        <v>取值（总价）</v>
      </c>
      <c r="G33" s="3233" t="s">
        <v>5962</v>
      </c>
      <c r="H33" s="3233" t="s">
        <v>5963</v>
      </c>
      <c r="I33" s="3233" t="s">
        <v>5964</v>
      </c>
    </row>
    <row r="34" spans="1:15" ht="15">
      <c r="A34" s="1643"/>
      <c r="B34" s="1644" t="s">
        <v>1308</v>
      </c>
      <c r="C34" s="140">
        <f ca="1">IF(C33="自定义",F34,C32-C35)</f>
        <v>420435</v>
      </c>
      <c r="D34" s="805">
        <f ca="1">IF(C33="自定义",ROUND(C34/C32,3),IF(C33="收益比率",SUMIF(INDIRECT("'"&amp;D33&amp;"'"&amp;"!b:b"),"土地收益比率",INDIRECT("'"&amp;D33&amp;"'"&amp;"!c:c")),SUMIF(INDIRECT("'"&amp;D33&amp;"'"&amp;"!b:b"),"土地成本比率",INDIRECT("'"&amp;D33&amp;"'"&amp;"!c:c"))))</f>
        <v>0.89400000000000002</v>
      </c>
      <c r="E34" s="1645" t="s">
        <v>1309</v>
      </c>
      <c r="F34" s="1240">
        <f ca="1">I35</f>
        <v>420435</v>
      </c>
      <c r="G34" s="151">
        <v>0.55000000000000004</v>
      </c>
      <c r="H34" s="151">
        <f>1-G34</f>
        <v>0.44999999999999996</v>
      </c>
      <c r="I34" s="151"/>
    </row>
    <row r="35" spans="1:15" ht="15.75" thickBot="1">
      <c r="A35" s="1646"/>
      <c r="B35" s="1647" t="s">
        <v>1310</v>
      </c>
      <c r="C35" s="1087">
        <f ca="1">IF(C33="自定义",F35,ROUND(C32*D35,0))</f>
        <v>49794</v>
      </c>
      <c r="D35" s="1088">
        <f ca="1">IF(C33="自定义",ROUND(C35/C32,3),IF(C33="收益比率",SUMIF(INDIRECT("'"&amp;D33&amp;"'"&amp;"!b:b"),"建筑物收益比率",INDIRECT("'"&amp;D33&amp;"'"&amp;"!c:c")),SUMIF(INDIRECT("'"&amp;D33&amp;"'"&amp;"!b:b"),"建筑物成本比率",INDIRECT("'"&amp;D33&amp;"'"&amp;"!c:c"))))</f>
        <v>0.106</v>
      </c>
      <c r="E35" s="1648" t="s">
        <v>1311</v>
      </c>
      <c r="F35" s="146">
        <f ca="1">I36</f>
        <v>49794</v>
      </c>
      <c r="G35" s="151">
        <f ca="1">ROUND(C19*G36,0)</f>
        <v>442049</v>
      </c>
      <c r="H35" s="151">
        <f ca="1">ROUND(D19*G36,0)</f>
        <v>394017</v>
      </c>
      <c r="I35" s="151">
        <f ca="1">ROUND(G35*G34+H35*H34,0)</f>
        <v>420435</v>
      </c>
    </row>
    <row r="36" spans="1:15" ht="15.75" thickBot="1">
      <c r="A36" s="3414" t="s">
        <v>1312</v>
      </c>
      <c r="B36" s="1649" t="s">
        <v>1313</v>
      </c>
      <c r="C36" s="137"/>
      <c r="D36" s="1650"/>
      <c r="E36" s="1564"/>
      <c r="F36" s="1651"/>
      <c r="G36" s="151">
        <f ca="1">成本法!C56</f>
        <v>0.88900000000000001</v>
      </c>
      <c r="H36" s="151"/>
      <c r="I36" s="151">
        <f ca="1">G19-I35</f>
        <v>49794</v>
      </c>
    </row>
    <row r="37" spans="1:15" ht="15.75" thickBot="1">
      <c r="A37" s="3415"/>
      <c r="B37" s="1552" t="s">
        <v>1314</v>
      </c>
      <c r="C37" s="139"/>
      <c r="D37" s="1068"/>
      <c r="E37" s="1068"/>
      <c r="F37" s="1651"/>
      <c r="G37" s="121"/>
      <c r="H37" s="121"/>
      <c r="I37" s="121"/>
    </row>
    <row r="38" spans="1:15" ht="15.75" thickBot="1">
      <c r="A38" s="3416"/>
      <c r="B38" s="1652" t="s">
        <v>1315</v>
      </c>
      <c r="C38" s="639"/>
      <c r="D38" s="1653" t="s">
        <v>1316</v>
      </c>
      <c r="E38" s="1068"/>
      <c r="F38" s="1651"/>
      <c r="G38" s="121"/>
      <c r="H38" s="121"/>
      <c r="I38" s="121"/>
    </row>
    <row r="39" spans="1:15" ht="15">
      <c r="A39" s="1630" t="s">
        <v>1317</v>
      </c>
      <c r="B39" s="1654" t="s">
        <v>1318</v>
      </c>
      <c r="C39" s="1655" t="s">
        <v>1319</v>
      </c>
      <c r="D39" s="1655" t="s">
        <v>1320</v>
      </c>
      <c r="E39" s="1656" t="s">
        <v>1321</v>
      </c>
      <c r="F39" s="1651"/>
      <c r="G39" s="121"/>
      <c r="H39" s="121"/>
      <c r="I39" s="121"/>
    </row>
    <row r="40" spans="1:15" ht="14.25">
      <c r="A40" s="1657" t="s">
        <v>1322</v>
      </c>
      <c r="B40" s="141"/>
      <c r="C40" s="142"/>
      <c r="D40" s="142"/>
      <c r="E40" s="143"/>
      <c r="F40" s="1651"/>
      <c r="G40" s="121"/>
      <c r="H40" s="121"/>
      <c r="I40" s="121"/>
    </row>
    <row r="41" spans="1:15" ht="14.25">
      <c r="A41" s="1657" t="s">
        <v>1323</v>
      </c>
      <c r="B41" s="141"/>
      <c r="C41" s="142"/>
      <c r="D41" s="142"/>
      <c r="E41" s="143"/>
      <c r="F41" s="1651"/>
      <c r="G41" s="121"/>
      <c r="H41" s="121"/>
      <c r="I41" s="121"/>
    </row>
    <row r="42" spans="1:15" ht="15" thickBot="1">
      <c r="A42" s="1658"/>
      <c r="B42" s="144"/>
      <c r="C42" s="145"/>
      <c r="D42" s="145"/>
      <c r="E42" s="146"/>
      <c r="F42" s="1651"/>
      <c r="G42" s="121"/>
      <c r="H42" s="121"/>
      <c r="I42" s="121"/>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434" t="s">
        <v>1326</v>
      </c>
      <c r="B45" s="3435"/>
      <c r="C45" s="3436"/>
      <c r="D45" s="147">
        <f ca="1">ROUND(H101*F45,0)</f>
        <v>470229</v>
      </c>
      <c r="E45" s="148" t="s">
        <v>1327</v>
      </c>
      <c r="F45" s="149">
        <v>1</v>
      </c>
      <c r="G45" s="150" t="s">
        <v>1328</v>
      </c>
      <c r="H45" s="121"/>
      <c r="I45" s="121"/>
      <c r="J45" s="3354" t="s">
        <v>1329</v>
      </c>
      <c r="K45" s="3354"/>
      <c r="L45" s="3354"/>
      <c r="M45" s="3354"/>
      <c r="N45" s="3354"/>
      <c r="O45" s="3354"/>
    </row>
    <row r="46" spans="1:15" ht="14.25" customHeight="1">
      <c r="A46" s="3431" t="s">
        <v>1330</v>
      </c>
      <c r="B46" s="3432"/>
      <c r="C46" s="3432"/>
      <c r="D46" s="3432"/>
      <c r="E46" s="3432"/>
      <c r="F46" s="3432"/>
      <c r="G46" s="3433"/>
      <c r="H46" s="1665"/>
      <c r="I46" s="151"/>
      <c r="J46" s="2305">
        <v>1</v>
      </c>
      <c r="K46" s="3355" t="s">
        <v>1331</v>
      </c>
      <c r="L46" s="3355"/>
      <c r="M46" s="3356"/>
      <c r="N46" s="3356"/>
      <c r="O46" s="3356"/>
    </row>
    <row r="47" spans="1:15" ht="12" customHeight="1">
      <c r="A47" s="152" t="s">
        <v>1332</v>
      </c>
      <c r="B47" s="153"/>
      <c r="C47" s="154"/>
      <c r="D47" s="1021" t="s">
        <v>1333</v>
      </c>
      <c r="E47" s="294" t="s">
        <v>1334</v>
      </c>
      <c r="F47" s="155" t="s">
        <v>1335</v>
      </c>
      <c r="G47" s="2328" t="s">
        <v>1336</v>
      </c>
      <c r="H47" s="2329"/>
      <c r="I47" s="151"/>
      <c r="J47" s="2305">
        <v>2</v>
      </c>
      <c r="K47" s="3355" t="s">
        <v>1337</v>
      </c>
      <c r="L47" s="3355"/>
      <c r="M47" s="3357">
        <f>'数据-取费表'!B2</f>
        <v>45803</v>
      </c>
      <c r="N47" s="3357"/>
      <c r="O47" s="3357"/>
    </row>
    <row r="48" spans="1:15" ht="25.5">
      <c r="A48" s="3417" t="s">
        <v>1338</v>
      </c>
      <c r="B48" s="3418"/>
      <c r="C48" s="3418"/>
      <c r="D48" s="12">
        <f ca="1">IF(H48="情况1",0,IF(H48="情况2",D52,IF(H48="情况3",D53,IF(H48="情况4",D54))))</f>
        <v>25079</v>
      </c>
      <c r="E48" s="1253" t="str">
        <f>IF(H48="情况4","(销售额-原购置价)×税（费）率","销售额×税（费）率")</f>
        <v>销售额×税（费）率</v>
      </c>
      <c r="F48" s="2330">
        <f>IF(H48="情况1","免征",'数据-取费表'!B41)</f>
        <v>5.6000000000000001E-2</v>
      </c>
      <c r="G48" s="2331" t="s">
        <v>1339</v>
      </c>
      <c r="H48" s="2332" t="s">
        <v>5852</v>
      </c>
      <c r="I48" s="1665"/>
      <c r="J48" s="2305">
        <v>3</v>
      </c>
      <c r="K48" s="3355" t="s">
        <v>1340</v>
      </c>
      <c r="L48" s="3355"/>
      <c r="M48" s="3358">
        <f ca="1">H101</f>
        <v>470229</v>
      </c>
      <c r="N48" s="3358"/>
      <c r="O48" s="3358"/>
    </row>
    <row r="49" spans="1:35" ht="25.5" customHeight="1">
      <c r="A49" s="2147" t="s">
        <v>1341</v>
      </c>
      <c r="B49" s="3403" t="s">
        <v>1342</v>
      </c>
      <c r="C49" s="3403"/>
      <c r="D49" s="1475">
        <v>0</v>
      </c>
      <c r="E49" s="316" t="s">
        <v>1343</v>
      </c>
      <c r="F49" s="2228" t="s">
        <v>28</v>
      </c>
      <c r="G49" s="3386"/>
      <c r="H49" s="2129" t="s">
        <v>2133</v>
      </c>
      <c r="I49" s="2130"/>
      <c r="J49" s="2305">
        <v>4</v>
      </c>
      <c r="K49" s="3355" t="str">
        <f>IF(项目基本情况!E8="房地产抵押价值","房地产抵押价值","抵押担保权已注销时的房地产抵押价值")</f>
        <v>房地产抵押价值</v>
      </c>
      <c r="L49" s="3355"/>
      <c r="M49" s="3358">
        <f ca="1">IF(项目基本情况!E8="房地产抵押价值",H107,H109)</f>
        <v>470229</v>
      </c>
      <c r="N49" s="3358"/>
      <c r="O49" s="3358"/>
    </row>
    <row r="50" spans="1:35" ht="25.5" customHeight="1">
      <c r="A50" s="2333"/>
      <c r="B50" s="3403" t="s">
        <v>1344</v>
      </c>
      <c r="C50" s="3403"/>
      <c r="D50" s="2184"/>
      <c r="E50" s="323"/>
      <c r="F50" s="2228"/>
      <c r="G50" s="3387"/>
      <c r="H50" s="2131" t="s">
        <v>2134</v>
      </c>
      <c r="I50" s="2130"/>
      <c r="J50" s="3354" t="s">
        <v>1345</v>
      </c>
      <c r="K50" s="3354"/>
      <c r="L50" s="3354"/>
      <c r="M50" s="3354"/>
      <c r="N50" s="3354"/>
      <c r="O50" s="3354"/>
    </row>
    <row r="51" spans="1:35" ht="20.45" customHeight="1">
      <c r="A51" s="2334"/>
      <c r="B51" s="3403" t="s">
        <v>1346</v>
      </c>
      <c r="C51" s="3403"/>
      <c r="D51" s="1021"/>
      <c r="E51" s="319"/>
      <c r="F51" s="2228"/>
      <c r="G51" s="3388"/>
      <c r="H51" s="2131" t="s">
        <v>2135</v>
      </c>
      <c r="I51" s="2130"/>
      <c r="J51" s="2306" t="s">
        <v>1347</v>
      </c>
      <c r="K51" s="3355" t="s">
        <v>1348</v>
      </c>
      <c r="L51" s="3355"/>
      <c r="M51" s="2306" t="s">
        <v>1349</v>
      </c>
      <c r="N51" s="2306" t="s">
        <v>1350</v>
      </c>
      <c r="O51" s="2306" t="s">
        <v>1351</v>
      </c>
    </row>
    <row r="52" spans="1:35" ht="24" customHeight="1">
      <c r="A52" s="2148" t="s">
        <v>1352</v>
      </c>
      <c r="B52" s="3403" t="s">
        <v>1353</v>
      </c>
      <c r="C52" s="3403"/>
      <c r="D52" s="1021">
        <f ca="1">ROUND(D45*'数据-取费表'!B41/(1+'数据-取费表'!C42),0)</f>
        <v>25079</v>
      </c>
      <c r="E52" s="1253" t="s">
        <v>1354</v>
      </c>
      <c r="F52" s="2335">
        <f>'数据-取费表'!B41</f>
        <v>5.6000000000000001E-2</v>
      </c>
      <c r="G52" s="2336"/>
      <c r="H52" s="2326"/>
      <c r="I52" s="1666"/>
      <c r="J52" s="2305">
        <v>1</v>
      </c>
      <c r="K52" s="3380" t="s">
        <v>1355</v>
      </c>
      <c r="L52" s="3380"/>
      <c r="M52" s="2307">
        <f ca="1">D48</f>
        <v>25079</v>
      </c>
      <c r="N52" s="2305" t="str">
        <f>E48</f>
        <v>销售额×税（费）率</v>
      </c>
      <c r="O52" s="2308">
        <f>F48</f>
        <v>5.6000000000000001E-2</v>
      </c>
    </row>
    <row r="53" spans="1:35" ht="12" customHeight="1">
      <c r="A53" s="2148" t="s">
        <v>1356</v>
      </c>
      <c r="B53" s="3404" t="s">
        <v>2281</v>
      </c>
      <c r="C53" s="3405"/>
      <c r="D53" s="1021">
        <f ca="1">ROUND(D45*'数据-取费表'!B41/(1+'数据-取费表'!C42),0)</f>
        <v>25079</v>
      </c>
      <c r="E53" s="1253" t="s">
        <v>1354</v>
      </c>
      <c r="F53" s="2335">
        <f>'数据-取费表'!B41</f>
        <v>5.6000000000000001E-2</v>
      </c>
      <c r="G53" s="2336"/>
      <c r="H53" s="2326"/>
      <c r="I53" s="1666"/>
      <c r="J53" s="2305">
        <v>2</v>
      </c>
      <c r="K53" s="3380" t="s">
        <v>1357</v>
      </c>
      <c r="L53" s="3380"/>
      <c r="M53" s="2307">
        <f t="shared" ref="M53:O54" ca="1" si="0">D55</f>
        <v>235</v>
      </c>
      <c r="N53" s="2305" t="str">
        <f t="shared" si="0"/>
        <v>销售额×税（费）率</v>
      </c>
      <c r="O53" s="2308">
        <f t="shared" si="0"/>
        <v>5.0000000000000001E-4</v>
      </c>
    </row>
    <row r="54" spans="1:35" ht="12" customHeight="1">
      <c r="A54" s="2148" t="s">
        <v>1358</v>
      </c>
      <c r="B54" s="3404" t="s">
        <v>2282</v>
      </c>
      <c r="C54" s="3405"/>
      <c r="D54" s="1021">
        <f ca="1">C68</f>
        <v>25079</v>
      </c>
      <c r="E54" s="319" t="s">
        <v>1359</v>
      </c>
      <c r="F54" s="2335">
        <f>'数据-取费表'!B41</f>
        <v>5.6000000000000001E-2</v>
      </c>
      <c r="G54" s="2336"/>
      <c r="H54" s="2337"/>
      <c r="I54" s="1666"/>
      <c r="J54" s="2305">
        <v>3</v>
      </c>
      <c r="K54" s="3380" t="s">
        <v>1360</v>
      </c>
      <c r="L54" s="3380"/>
      <c r="M54" s="2307">
        <f t="shared" ca="1" si="0"/>
        <v>213576</v>
      </c>
      <c r="N54" s="2305" t="str">
        <f t="shared" si="0"/>
        <v>增值额×税（费）率</v>
      </c>
      <c r="O54" s="2309" t="str">
        <f t="shared" si="0"/>
        <v>——</v>
      </c>
    </row>
    <row r="55" spans="1:35" ht="24" customHeight="1">
      <c r="A55" s="3440" t="s">
        <v>1361</v>
      </c>
      <c r="B55" s="3418"/>
      <c r="C55" s="3418"/>
      <c r="D55" s="12">
        <f ca="1">IF(H55="个人住宅",0,ROUND(D45*I55,0))</f>
        <v>235</v>
      </c>
      <c r="E55" s="1253" t="s">
        <v>1362</v>
      </c>
      <c r="F55" s="2335">
        <f>IF(H55="正常",I55,"免征")</f>
        <v>5.0000000000000001E-4</v>
      </c>
      <c r="G55" s="2336"/>
      <c r="H55" s="2332" t="s">
        <v>5786</v>
      </c>
      <c r="I55" s="157">
        <f>'数据-取费表'!B49</f>
        <v>5.0000000000000001E-4</v>
      </c>
      <c r="J55" s="2305" t="str">
        <f>IF(H59="非个人房产","",4)</f>
        <v/>
      </c>
      <c r="K55" s="3380" t="str">
        <f>IF(H59="非个人房产","——","个人所得税")</f>
        <v>——</v>
      </c>
      <c r="L55" s="3380"/>
      <c r="M55" s="2310" t="str">
        <f>D59</f>
        <v>——</v>
      </c>
      <c r="N55" s="1878" t="str">
        <f>E59</f>
        <v>——</v>
      </c>
      <c r="O55" s="2311" t="str">
        <f>F59</f>
        <v>——</v>
      </c>
    </row>
    <row r="56" spans="1:35" ht="24.75">
      <c r="A56" s="3440" t="s">
        <v>1363</v>
      </c>
      <c r="B56" s="3418"/>
      <c r="C56" s="3418"/>
      <c r="D56" s="12">
        <f ca="1">IF(H56="个人住宅",D57,D58)</f>
        <v>213576</v>
      </c>
      <c r="E56" s="1253" t="s">
        <v>1364</v>
      </c>
      <c r="F56" s="2335" t="str">
        <f>IF(H56="正常",F58,"免征")</f>
        <v>——</v>
      </c>
      <c r="G56" s="2338" t="s">
        <v>1365</v>
      </c>
      <c r="H56" s="2339" t="s">
        <v>5786</v>
      </c>
      <c r="I56" s="1667"/>
      <c r="J56" s="2305" t="str">
        <f>IF(项目基本情况!K6="上海银行",IF(J55="",4,J55+1),"")</f>
        <v/>
      </c>
      <c r="K56" s="3361" t="str">
        <f>IF(项目基本情况!K6="上海银行","其他处置费用","")</f>
        <v/>
      </c>
      <c r="L56" s="3362"/>
      <c r="M56" s="2307" t="str">
        <f>IF(项目基本情况!K6="上海银行",M69,"")</f>
        <v/>
      </c>
      <c r="N56" s="3361" t="str">
        <f>IF(项目基本情况!K6="上海银行","包含处置中涉及的律师、诉讼、拍卖、评估等费用","")</f>
        <v/>
      </c>
      <c r="O56" s="3364"/>
    </row>
    <row r="57" spans="1:35" ht="12.75">
      <c r="A57" s="2148" t="s">
        <v>1341</v>
      </c>
      <c r="B57" s="3404" t="s">
        <v>1366</v>
      </c>
      <c r="C57" s="3405"/>
      <c r="D57" s="1475">
        <v>0</v>
      </c>
      <c r="E57" s="316" t="s">
        <v>1343</v>
      </c>
      <c r="F57" s="294"/>
      <c r="G57" s="2336"/>
      <c r="H57" s="2340"/>
      <c r="I57" s="1667"/>
      <c r="J57" s="3380">
        <f>IF(AND(J55="",J56=""),4,IF(项目基本情况!K6="上海银行",结果表!J56+1,结果表!J55+1))</f>
        <v>4</v>
      </c>
      <c r="K57" s="3380" t="s">
        <v>1367</v>
      </c>
      <c r="L57" s="2312" t="s">
        <v>1368</v>
      </c>
      <c r="M57" s="2313"/>
      <c r="N57" s="2314">
        <f ca="1">SUMIF(M52:M56,"&lt;9e307")</f>
        <v>238890</v>
      </c>
      <c r="O57" s="2315"/>
      <c r="P57" s="2460">
        <f ca="1">N57/M49</f>
        <v>0.50802906668878356</v>
      </c>
    </row>
    <row r="58" spans="1:35" ht="24.75">
      <c r="A58" s="2148" t="s">
        <v>1352</v>
      </c>
      <c r="B58" s="3404" t="s">
        <v>1369</v>
      </c>
      <c r="C58" s="3403"/>
      <c r="D58" s="12">
        <f ca="1">IF(H58="转让取得",C81,C97)</f>
        <v>213576</v>
      </c>
      <c r="E58" s="1253" t="s">
        <v>1364</v>
      </c>
      <c r="F58" s="294" t="s">
        <v>28</v>
      </c>
      <c r="G58" s="2336"/>
      <c r="H58" s="2339" t="s">
        <v>5853</v>
      </c>
      <c r="I58" s="1667"/>
      <c r="J58" s="3380"/>
      <c r="K58" s="3380"/>
      <c r="L58" s="2312" t="s">
        <v>1370</v>
      </c>
      <c r="M58" s="2316"/>
      <c r="N58" s="2317" t="str">
        <f ca="1">NUMBERSTRING(INT(N57*10000),2)&amp;"元整"</f>
        <v>贰拾叁亿捌仟捌佰玖拾万元整</v>
      </c>
      <c r="O58" s="2318"/>
    </row>
    <row r="59" spans="1:35" ht="24.75" thickBot="1">
      <c r="A59" s="3384" t="s">
        <v>1371</v>
      </c>
      <c r="B59" s="3385"/>
      <c r="C59" s="3385"/>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3" t="s">
        <v>5854</v>
      </c>
      <c r="I59" s="2132" t="s">
        <v>2136</v>
      </c>
      <c r="J59" s="3382">
        <f>J57+1</f>
        <v>5</v>
      </c>
      <c r="K59" s="3380" t="s">
        <v>1372</v>
      </c>
      <c r="L59" s="2305" t="s">
        <v>1368</v>
      </c>
      <c r="M59" s="2319"/>
      <c r="N59" s="2320">
        <f ca="1">M49-N57</f>
        <v>231339</v>
      </c>
      <c r="O59" s="2321"/>
    </row>
    <row r="60" spans="1:35" ht="12" customHeight="1">
      <c r="A60" s="1668"/>
      <c r="B60" s="644"/>
      <c r="C60" s="644"/>
      <c r="D60" s="644"/>
      <c r="E60" s="1463"/>
      <c r="F60" s="1667"/>
      <c r="G60" s="1667"/>
      <c r="H60" s="151"/>
      <c r="I60" s="121"/>
      <c r="J60" s="3383"/>
      <c r="K60" s="3380"/>
      <c r="L60" s="2312" t="s">
        <v>1370</v>
      </c>
      <c r="M60" s="2316"/>
      <c r="N60" s="2317" t="str">
        <f ca="1">NUMBERSTRING(INT(N59*10000),2)&amp;"元整"</f>
        <v>贰拾叁亿壹仟叁佰叁拾玖万元整</v>
      </c>
      <c r="O60" s="2318"/>
    </row>
    <row r="61" spans="1:35" ht="13.5" thickBot="1">
      <c r="A61" s="3439" t="s">
        <v>1373</v>
      </c>
      <c r="B61" s="3439"/>
      <c r="C61" s="3439"/>
      <c r="D61" s="3439"/>
      <c r="E61" s="3439"/>
      <c r="F61" s="1667"/>
      <c r="G61" s="1667"/>
      <c r="H61" s="151"/>
      <c r="I61" s="121"/>
      <c r="J61" s="2305">
        <f>J59+1</f>
        <v>6</v>
      </c>
      <c r="K61" s="3380" t="s">
        <v>1374</v>
      </c>
      <c r="L61" s="3380"/>
      <c r="M61" s="2322"/>
      <c r="N61" s="2323">
        <f ca="1">ROUND(N59*10000/'数据-汇总表'!E3,0)</f>
        <v>34245</v>
      </c>
      <c r="O61" s="2324"/>
    </row>
    <row r="62" spans="1:35" ht="12.75">
      <c r="A62" s="3399" t="s">
        <v>1375</v>
      </c>
      <c r="B62" s="3400"/>
      <c r="C62" s="1860"/>
      <c r="D62" s="1860" t="s">
        <v>1376</v>
      </c>
      <c r="E62" s="158" t="s">
        <v>1377</v>
      </c>
      <c r="F62" s="1667"/>
      <c r="G62" s="1667"/>
      <c r="H62" s="151"/>
      <c r="I62" s="121"/>
    </row>
    <row r="63" spans="1:35" ht="12.75">
      <c r="A63" s="165" t="s">
        <v>330</v>
      </c>
      <c r="B63" s="159" t="s">
        <v>1378</v>
      </c>
      <c r="C63" s="2345">
        <f ca="1">ROUND((C64+C65)/(1+'数据-取费表'!C42),0)</f>
        <v>447837</v>
      </c>
      <c r="D63" s="159"/>
      <c r="E63" s="160"/>
      <c r="F63" s="1667"/>
      <c r="G63" s="1667"/>
      <c r="H63" s="151"/>
      <c r="I63" s="121"/>
      <c r="J63" s="3363" t="s">
        <v>1379</v>
      </c>
      <c r="K63" s="1242" t="s">
        <v>1380</v>
      </c>
      <c r="L63" s="1242">
        <f ca="1">IF(M49&gt;10000,M49*0.5%,IF(AND(M49&gt;1000,M49&lt;=10000),M49*1%,IF(AND(M49&gt;100,M49&lt;=1000),M49*3%,IF(AND(M49&gt;10,M49&lt;=100),M49*5%,M49*8%))))</f>
        <v>2351.145</v>
      </c>
      <c r="M63" s="294">
        <f ca="1">ROUND(L63,1)</f>
        <v>2351.1</v>
      </c>
      <c r="N63" s="2325"/>
      <c r="Z63" s="1620"/>
      <c r="AI63" s="1558"/>
    </row>
    <row r="64" spans="1:35" ht="14.25" customHeight="1">
      <c r="A64" s="161" t="s">
        <v>325</v>
      </c>
      <c r="B64" s="162" t="s">
        <v>1381</v>
      </c>
      <c r="C64" s="2346">
        <f ca="1">D45</f>
        <v>470229</v>
      </c>
      <c r="D64" s="162" t="s">
        <v>26</v>
      </c>
      <c r="E64" s="164"/>
      <c r="F64" s="1667"/>
      <c r="G64" s="1667"/>
      <c r="H64" s="151"/>
      <c r="I64" s="121"/>
      <c r="J64" s="3363"/>
      <c r="K64" s="1242" t="s">
        <v>1382</v>
      </c>
      <c r="L64" s="1242">
        <f ca="1">IF(M49&gt;2000,M49*0.5%,IF(AND(M49&gt;1000,M49&lt;=2000),M49*0.6%,IF(AND(M49&gt;500,M49&lt;=1000),M49*0.7%,IF(AND(M49&gt;200,M49&lt;=500),M49*0.8%,IF(AND(M49&gt;100,M49&lt;=200),M49*0.9%,IF(AND(M49&gt;50,M49&lt;=100),M49*1%,IF(AND(M49&gt;20,M49&lt;=50),M49*1.5%,IF(AND(M49&gt;10,M49&lt;=20),M49*2%,IF(AND(M49&gt;1,M49&lt;=10),M49*2.5%)))))))))</f>
        <v>2351.145</v>
      </c>
      <c r="M64" s="294">
        <f t="shared" ref="M64:M65" ca="1" si="1">ROUND(L64,1)</f>
        <v>2351.1</v>
      </c>
      <c r="N64" s="2326" t="s">
        <v>1383</v>
      </c>
      <c r="Z64" s="1620"/>
      <c r="AI64" s="1558"/>
    </row>
    <row r="65" spans="1:35" ht="14.25" customHeight="1">
      <c r="A65" s="161" t="s">
        <v>326</v>
      </c>
      <c r="B65" s="162" t="s">
        <v>1384</v>
      </c>
      <c r="C65" s="2347"/>
      <c r="D65" s="162"/>
      <c r="E65" s="164"/>
      <c r="F65" s="1667"/>
      <c r="G65" s="1667"/>
      <c r="H65" s="151"/>
      <c r="I65" s="121"/>
      <c r="J65" s="3363"/>
      <c r="K65" s="1242" t="s">
        <v>1385</v>
      </c>
      <c r="L65" s="1242">
        <f ca="1">IF(M49&gt;1000,M49*0.1%,IF(AND(M49&gt;500,M49&lt;=1000),M49*0.5%,IF(AND(M49&gt;50,M49&lt;=500),M49*1%,IF(AND(M49&gt;1,M49&lt;=50),M49*1.5%))))</f>
        <v>470.22899999999998</v>
      </c>
      <c r="M65" s="294">
        <f t="shared" ca="1" si="1"/>
        <v>470.2</v>
      </c>
      <c r="N65" s="2326" t="s">
        <v>1383</v>
      </c>
      <c r="Z65" s="1620"/>
      <c r="AI65" s="1558"/>
    </row>
    <row r="66" spans="1:35" ht="14.25" customHeight="1">
      <c r="A66" s="165" t="s">
        <v>327</v>
      </c>
      <c r="B66" s="166" t="s">
        <v>1386</v>
      </c>
      <c r="C66" s="2348"/>
      <c r="D66" s="166" t="s">
        <v>26</v>
      </c>
      <c r="E66" s="1248" t="s">
        <v>671</v>
      </c>
      <c r="F66" s="1667"/>
      <c r="G66" s="1667"/>
      <c r="H66" s="151"/>
      <c r="I66" s="121"/>
      <c r="J66" s="3363"/>
      <c r="K66" s="1242" t="s">
        <v>1387</v>
      </c>
      <c r="L66" s="1242">
        <f ca="1">M49*0.5%</f>
        <v>2351.145</v>
      </c>
      <c r="M66" s="294">
        <f ca="1">IF(L66&gt;0.5,0.5,ROUND(L66,0))</f>
        <v>0.5</v>
      </c>
      <c r="N66" s="2326" t="s">
        <v>1388</v>
      </c>
      <c r="Z66" s="1620"/>
      <c r="AI66" s="1558"/>
    </row>
    <row r="67" spans="1:35" ht="14.25" customHeight="1">
      <c r="A67" s="165" t="s">
        <v>328</v>
      </c>
      <c r="B67" s="166" t="s">
        <v>1389</v>
      </c>
      <c r="C67" s="2349">
        <f ca="1">C63-C66</f>
        <v>447837</v>
      </c>
      <c r="D67" s="162" t="s">
        <v>26</v>
      </c>
      <c r="E67" s="164"/>
      <c r="F67" s="1667"/>
      <c r="G67" s="1667"/>
      <c r="H67" s="151"/>
      <c r="I67" s="121"/>
      <c r="J67" s="3363"/>
      <c r="K67" s="1242" t="s">
        <v>1390</v>
      </c>
      <c r="L67" s="1242">
        <f ca="1">IF(M49&gt;=10000,(8.25+(M49-10000)*0.01%),IF(AND(M49&gt;=8000,M49&lt;10000),(7.85+(M49-8000)*0.02%),IF(AND(M49&gt;=5000,M49&lt;8000),(6.65+(M49-5000)*0.04%),IF(AND(M49&gt;=2000,M49&lt;5000),(4.25+(PM49-2000)*0.08%),IF(AND(M49&gt;=1000,M49&lt;2000),(2.75+(M49-1000)*0.15%),IF(AND(M49&gt;=100,M49&lt;1000),(0.5+(M49-100)*0.25%),IF(AND(M49&gt;0,M49&lt;100),M49*0.5%)))))))</f>
        <v>54.2729</v>
      </c>
      <c r="M67" s="294">
        <f ca="1">ROUND(L67*0.9,1)</f>
        <v>48.8</v>
      </c>
      <c r="N67" s="2325"/>
      <c r="Z67" s="1620"/>
      <c r="AI67" s="1558"/>
    </row>
    <row r="68" spans="1:35" ht="14.25" customHeight="1" thickBot="1">
      <c r="A68" s="168" t="s">
        <v>329</v>
      </c>
      <c r="B68" s="169" t="s">
        <v>1391</v>
      </c>
      <c r="C68" s="2350">
        <f ca="1">IF(C67&lt;=0,0,ROUND(C67*D68,0))</f>
        <v>25079</v>
      </c>
      <c r="D68" s="2351">
        <f>'数据-取费表'!B41</f>
        <v>5.6000000000000001E-2</v>
      </c>
      <c r="E68" s="170"/>
      <c r="F68" s="1667"/>
      <c r="G68" s="1667"/>
      <c r="H68" s="151"/>
      <c r="I68" s="121"/>
      <c r="J68" s="3363"/>
      <c r="K68" s="1242" t="s">
        <v>1392</v>
      </c>
      <c r="L68" s="1242">
        <f ca="1">IF(M49&gt;10000,M49*0.5%,IF(AND(M49&gt;5000,M49&lt;=10000),M49*1%,IF(AND(M49&gt;1000,M49&lt;=5000),M49*2%,IF(AND(M49&gt;200,M49&lt;=1000),M49*3%,M49*5%))))</f>
        <v>2351.145</v>
      </c>
      <c r="M68" s="294">
        <f ca="1">ROUND(L68,1)</f>
        <v>2351.1</v>
      </c>
      <c r="N68" s="2325"/>
      <c r="Z68" s="1620"/>
      <c r="AI68" s="1558"/>
    </row>
    <row r="69" spans="1:35" ht="16.5" customHeight="1">
      <c r="A69" s="1669"/>
      <c r="B69" s="1670"/>
      <c r="C69" s="1671"/>
      <c r="D69" s="1672"/>
      <c r="E69" s="1673"/>
      <c r="F69" s="1463"/>
      <c r="G69" s="1463"/>
      <c r="H69" s="1464"/>
      <c r="I69" s="644"/>
      <c r="J69" s="3363"/>
      <c r="K69" s="1242" t="s">
        <v>1393</v>
      </c>
      <c r="L69" s="1242"/>
      <c r="M69" s="294">
        <f ca="1">ROUND(SUM(M63:M68),0)</f>
        <v>7573</v>
      </c>
      <c r="N69" s="2327">
        <f ca="1">M69/M49</f>
        <v>1.6104919092612323E-2</v>
      </c>
      <c r="Z69" s="1620"/>
      <c r="AI69" s="1558"/>
    </row>
    <row r="70" spans="1:35" s="640" customFormat="1" ht="15" thickBot="1">
      <c r="A70" s="3407" t="s">
        <v>1394</v>
      </c>
      <c r="B70" s="3408"/>
      <c r="C70" s="3408"/>
      <c r="D70" s="3408"/>
      <c r="E70" s="3408"/>
      <c r="F70" s="3408"/>
      <c r="G70" s="3408"/>
      <c r="H70" s="3408"/>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99" t="s">
        <v>1375</v>
      </c>
      <c r="B71" s="3400"/>
      <c r="C71" s="1860"/>
      <c r="D71" s="1860" t="s">
        <v>1376</v>
      </c>
      <c r="E71" s="171" t="s">
        <v>1377</v>
      </c>
      <c r="F71" s="172"/>
      <c r="G71" s="172"/>
      <c r="H71" s="173"/>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5" t="s">
        <v>330</v>
      </c>
      <c r="B72" s="166" t="s">
        <v>1395</v>
      </c>
      <c r="C72" s="2349">
        <f ca="1">ROUND(D45/(1+'数据-取费表'!C42),0)</f>
        <v>447837</v>
      </c>
      <c r="D72" s="162" t="s">
        <v>26</v>
      </c>
      <c r="E72" s="1254"/>
      <c r="F72" s="1252"/>
      <c r="G72" s="1252"/>
      <c r="H72" s="174"/>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5" t="s">
        <v>327</v>
      </c>
      <c r="B73" s="155" t="s">
        <v>1396</v>
      </c>
      <c r="C73" s="2349">
        <f ca="1">C74+C78</f>
        <v>2687</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1" t="s">
        <v>331</v>
      </c>
      <c r="B75" s="162" t="s">
        <v>1398</v>
      </c>
      <c r="C75" s="2352"/>
      <c r="D75" s="162" t="s">
        <v>26</v>
      </c>
      <c r="E75" s="176" t="s">
        <v>1399</v>
      </c>
      <c r="F75" s="2353"/>
      <c r="G75" s="176"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1" t="s">
        <v>332</v>
      </c>
      <c r="B76" s="177" t="s">
        <v>1401</v>
      </c>
      <c r="C76" s="162">
        <f>IF(F75="购房发票",ROUND(C75*H75*D76,0),0)</f>
        <v>0</v>
      </c>
      <c r="D76" s="2355">
        <v>0.05</v>
      </c>
      <c r="E76" s="3404" t="s">
        <v>1402</v>
      </c>
      <c r="F76" s="3403"/>
      <c r="G76" s="3403"/>
      <c r="H76" s="3406"/>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79"/>
      <c r="H77" s="2146"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1" t="s">
        <v>326</v>
      </c>
      <c r="B78" s="162" t="s">
        <v>1405</v>
      </c>
      <c r="C78" s="2357">
        <f ca="1">ROUND(D45*D78/(1+'数据-取费表'!C42),0)</f>
        <v>2687</v>
      </c>
      <c r="D78" s="2358">
        <f>'数据-取费表'!B43</f>
        <v>6.000000000000001E-3</v>
      </c>
      <c r="E78" s="3396" t="s">
        <v>1406</v>
      </c>
      <c r="F78" s="3397"/>
      <c r="G78" s="3397"/>
      <c r="H78" s="3398"/>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5" t="s">
        <v>334</v>
      </c>
      <c r="B79" s="166" t="s">
        <v>1407</v>
      </c>
      <c r="C79" s="2349">
        <f ca="1">C72-C73</f>
        <v>445150</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5" t="s">
        <v>335</v>
      </c>
      <c r="B80" s="166" t="s">
        <v>1408</v>
      </c>
      <c r="C80" s="2359">
        <f ca="1">IF(C79&lt;=0,0,C79/C73)</f>
        <v>165.66803126163006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8" t="s">
        <v>336</v>
      </c>
      <c r="B81" s="169" t="s">
        <v>1409</v>
      </c>
      <c r="C81" s="2360">
        <f ca="1">ROUND(IF(C79&lt;=0,0,IF(C80&gt;=200%,C79*60%-C73*35%,IF(C80&gt;=100%,C79*50%-C73*15%,IF(C80&gt;=50%,C79*40%-C73*5%,IF(C80&lt;50%,C79*30%,0))))),0)</f>
        <v>266150</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407" t="s">
        <v>1410</v>
      </c>
      <c r="B83" s="3408"/>
      <c r="C83" s="3408"/>
      <c r="D83" s="3408"/>
      <c r="E83" s="3408"/>
      <c r="F83" s="3408"/>
      <c r="G83" s="3408"/>
      <c r="H83" s="3408"/>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99" t="s">
        <v>1375</v>
      </c>
      <c r="B84" s="3400"/>
      <c r="C84" s="1860"/>
      <c r="D84" s="1860"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5" t="s">
        <v>330</v>
      </c>
      <c r="B85" s="166" t="s">
        <v>1395</v>
      </c>
      <c r="C85" s="2349">
        <f ca="1">ROUND(D45/(1+'数据-取费表'!C42),0)</f>
        <v>447837</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5" t="s">
        <v>327</v>
      </c>
      <c r="B86" s="155" t="s">
        <v>1396</v>
      </c>
      <c r="C86" s="2349">
        <f ca="1">IF(H88="仅含出让金",C87+C90+C91+C92+C93+C94,C87+C91+C92+C93+C94)</f>
        <v>58028</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1" t="s">
        <v>325</v>
      </c>
      <c r="B87" s="162" t="s">
        <v>1411</v>
      </c>
      <c r="C87" s="2357">
        <f>C88+C89</f>
        <v>0</v>
      </c>
      <c r="D87" s="2358"/>
      <c r="E87" s="2142"/>
      <c r="F87" s="2143"/>
      <c r="G87" s="2143"/>
      <c r="H87" s="2144"/>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1" t="s">
        <v>331</v>
      </c>
      <c r="B88" s="162" t="s">
        <v>1412</v>
      </c>
      <c r="C88" s="2363"/>
      <c r="D88" s="2358"/>
      <c r="E88" s="185" t="s">
        <v>1413</v>
      </c>
      <c r="F88" s="2143"/>
      <c r="G88" s="186" t="s">
        <v>1414</v>
      </c>
      <c r="H88" s="1681" t="s">
        <v>5855</v>
      </c>
      <c r="I88" s="1678"/>
      <c r="J88" s="2303" t="s">
        <v>2278</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1" t="s">
        <v>332</v>
      </c>
      <c r="B89" s="162" t="s">
        <v>1403</v>
      </c>
      <c r="C89" s="2357">
        <f>ROUND(C88*D89,0)</f>
        <v>0</v>
      </c>
      <c r="D89" s="2358">
        <f>'数据-取费表'!B48+'数据-取费表'!B49</f>
        <v>3.0499999999999999E-2</v>
      </c>
      <c r="E89" s="185" t="s">
        <v>1415</v>
      </c>
      <c r="F89" s="2143"/>
      <c r="G89" s="2143"/>
      <c r="H89" s="2144"/>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1" t="s">
        <v>326</v>
      </c>
      <c r="B90" s="162" t="s">
        <v>1416</v>
      </c>
      <c r="C90" s="2363"/>
      <c r="D90" s="2358"/>
      <c r="E90" s="185" t="str">
        <f>IF(H88="-","土地取得成本中已包含该笔费用"," ")</f>
        <v xml:space="preserve"> </v>
      </c>
      <c r="F90" s="2143"/>
      <c r="G90" s="3365" t="s">
        <v>2128</v>
      </c>
      <c r="H90" s="3366"/>
      <c r="I90" s="1678"/>
      <c r="J90" s="2303" t="s">
        <v>2279</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1" t="s">
        <v>1417</v>
      </c>
      <c r="B91" s="162" t="s">
        <v>1418</v>
      </c>
      <c r="C91" s="2357">
        <f ca="1">IF(H91="——",成本法!C33,I91)</f>
        <v>42570</v>
      </c>
      <c r="D91" s="2358"/>
      <c r="E91" s="3396" t="s">
        <v>1419</v>
      </c>
      <c r="F91" s="3397"/>
      <c r="G91" s="3397"/>
      <c r="H91" s="1682" t="s">
        <v>43</v>
      </c>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1" t="s">
        <v>1420</v>
      </c>
      <c r="B92" s="162" t="s">
        <v>1421</v>
      </c>
      <c r="C92" s="2357">
        <f ca="1">ROUND((C87+C90+C91)*D92,0)</f>
        <v>4257</v>
      </c>
      <c r="D92" s="2364">
        <v>0.1</v>
      </c>
      <c r="E92" s="3396" t="s">
        <v>1422</v>
      </c>
      <c r="F92" s="3397"/>
      <c r="G92" s="3397"/>
      <c r="H92" s="3398"/>
      <c r="I92" s="1678"/>
      <c r="J92" s="2304" t="s">
        <v>2280</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1" t="s">
        <v>1423</v>
      </c>
      <c r="B93" s="162" t="s">
        <v>1405</v>
      </c>
      <c r="C93" s="2357">
        <f ca="1">ROUND(D45*D93/(1+'数据-取费表'!C42),0)</f>
        <v>2687</v>
      </c>
      <c r="D93" s="2358">
        <f>'数据-取费表'!B43</f>
        <v>6.000000000000001E-3</v>
      </c>
      <c r="E93" s="3396" t="s">
        <v>1406</v>
      </c>
      <c r="F93" s="3397"/>
      <c r="G93" s="3397"/>
      <c r="H93" s="3398"/>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1" t="s">
        <v>1424</v>
      </c>
      <c r="B94" s="162" t="s">
        <v>1425</v>
      </c>
      <c r="C94" s="2363">
        <f ca="1">ROUND((C87+C90+C91)*D94,0)</f>
        <v>8514</v>
      </c>
      <c r="D94" s="2358">
        <v>0.2</v>
      </c>
      <c r="E94" s="3441" t="s">
        <v>1426</v>
      </c>
      <c r="F94" s="3442"/>
      <c r="G94" s="3442"/>
      <c r="H94" s="3443"/>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5" t="s">
        <v>334</v>
      </c>
      <c r="B95" s="166" t="s">
        <v>1407</v>
      </c>
      <c r="C95" s="2349">
        <f ca="1">ROUND(C85-C86,0)</f>
        <v>389809</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5" t="s">
        <v>335</v>
      </c>
      <c r="B96" s="166" t="s">
        <v>1408</v>
      </c>
      <c r="C96" s="2359">
        <f ca="1">IF(C95&lt;=0,0,C95/C86)</f>
        <v>6.7176018473840218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8" t="s">
        <v>336</v>
      </c>
      <c r="B97" s="169" t="s">
        <v>1409</v>
      </c>
      <c r="C97" s="2360">
        <f ca="1">ROUND(IF(C95&lt;=0,0,IF(C96&gt;=200%,C95*60%-C86*35%,IF(C96&gt;=100%,C95*50%-C86*15%,IF(C96&gt;=50%,C95*40%-C86*5%,IF(C96&lt;50%,C95*30%,0))))),0)</f>
        <v>213576</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1"/>
    </row>
    <row r="99" spans="1:35" ht="21.75" customHeight="1" thickBot="1">
      <c r="A99" s="1461" t="s">
        <v>1427</v>
      </c>
      <c r="B99" s="644"/>
      <c r="C99" s="644"/>
      <c r="D99" s="644"/>
      <c r="E99" s="1463"/>
      <c r="F99" s="1463"/>
      <c r="G99" s="1463"/>
      <c r="H99" s="1464"/>
      <c r="I99" s="121"/>
    </row>
    <row r="100" spans="1:35" ht="18.75" customHeight="1">
      <c r="A100" s="3346" t="s">
        <v>1428</v>
      </c>
      <c r="B100" s="3347"/>
      <c r="C100" s="3347"/>
      <c r="D100" s="3381"/>
      <c r="E100" s="3347" t="s">
        <v>1429</v>
      </c>
      <c r="F100" s="3347"/>
      <c r="G100" s="3347"/>
      <c r="H100" s="3381"/>
      <c r="I100" s="121"/>
    </row>
    <row r="101" spans="1:35" ht="18.75" customHeight="1">
      <c r="A101" s="3389" t="s">
        <v>1430</v>
      </c>
      <c r="B101" s="3390"/>
      <c r="C101" s="2366" t="str">
        <f>C4</f>
        <v>成本法</v>
      </c>
      <c r="D101" s="2367" t="str">
        <f>D4</f>
        <v>假设开发法</v>
      </c>
      <c r="E101" s="3359" t="s">
        <v>1431</v>
      </c>
      <c r="F101" s="3360"/>
      <c r="G101" s="1684" t="s">
        <v>1432</v>
      </c>
      <c r="H101" s="2376">
        <f ca="1">H118</f>
        <v>470229</v>
      </c>
      <c r="I101" s="121"/>
    </row>
    <row r="102" spans="1:35" ht="18.75" customHeight="1">
      <c r="A102" s="3391" t="s">
        <v>1433</v>
      </c>
      <c r="B102" s="2365" t="s">
        <v>1432</v>
      </c>
      <c r="C102" s="2366">
        <f ca="1">IF(D32="楼面单价",ROUND(C19,0),C19)</f>
        <v>497243</v>
      </c>
      <c r="D102" s="2367">
        <f ca="1">IF(D32="楼面单价",ROUND(D19,0),D19)</f>
        <v>443214</v>
      </c>
      <c r="E102" s="3359"/>
      <c r="F102" s="3360"/>
      <c r="G102" s="1684" t="s">
        <v>1434</v>
      </c>
      <c r="H102" s="2336">
        <f ca="1">I118</f>
        <v>69608</v>
      </c>
      <c r="I102" s="121"/>
    </row>
    <row r="103" spans="1:35" ht="42.75" customHeight="1">
      <c r="A103" s="3391"/>
      <c r="B103" s="2365" t="s">
        <v>1434</v>
      </c>
      <c r="C103" s="2368">
        <f ca="1">C20</f>
        <v>73607</v>
      </c>
      <c r="D103" s="2369">
        <f ca="1">D20</f>
        <v>65609</v>
      </c>
      <c r="E103" s="3352" t="s">
        <v>1435</v>
      </c>
      <c r="F103" s="3353"/>
      <c r="G103" s="1685" t="s">
        <v>1436</v>
      </c>
      <c r="H103" s="2376">
        <f>IF(D36="正常操作",H104+H105+H106,H105+H106)</f>
        <v>0</v>
      </c>
      <c r="I103" s="121"/>
    </row>
    <row r="104" spans="1:35" ht="18.75" customHeight="1">
      <c r="A104" s="3391" t="s">
        <v>1437</v>
      </c>
      <c r="B104" s="2370" t="s">
        <v>1432</v>
      </c>
      <c r="C104" s="2371">
        <f ca="1">H118</f>
        <v>470229</v>
      </c>
      <c r="D104" s="2372"/>
      <c r="E104" s="1552" t="s">
        <v>1438</v>
      </c>
      <c r="F104" s="1545"/>
      <c r="G104" s="1685" t="s">
        <v>1436</v>
      </c>
      <c r="H104" s="2377">
        <f>IF(D36="同一抵押权人同一抵押物续贷",C36&amp;"（续贷，未扣减，详见特别提示）",C36)</f>
        <v>0</v>
      </c>
      <c r="I104" s="121"/>
    </row>
    <row r="105" spans="1:35" ht="18.75" customHeight="1" thickBot="1">
      <c r="A105" s="3401"/>
      <c r="B105" s="2373" t="s">
        <v>1434</v>
      </c>
      <c r="C105" s="2374">
        <f ca="1">I118</f>
        <v>69608</v>
      </c>
      <c r="D105" s="2375"/>
      <c r="E105" s="1552" t="s">
        <v>1439</v>
      </c>
      <c r="F105" s="1545"/>
      <c r="G105" s="1685" t="s">
        <v>1436</v>
      </c>
      <c r="H105" s="2378">
        <f>C37</f>
        <v>0</v>
      </c>
      <c r="I105" s="121"/>
    </row>
    <row r="106" spans="1:35" ht="18.75" customHeight="1">
      <c r="A106" s="644" t="s">
        <v>1440</v>
      </c>
      <c r="B106" s="644"/>
      <c r="C106" s="644"/>
      <c r="D106" s="644"/>
      <c r="E106" s="1686" t="s">
        <v>1441</v>
      </c>
      <c r="F106" s="1545"/>
      <c r="G106" s="1685" t="s">
        <v>1436</v>
      </c>
      <c r="H106" s="2378">
        <f>C38</f>
        <v>0</v>
      </c>
      <c r="I106" s="121"/>
    </row>
    <row r="107" spans="1:35" ht="18.75" customHeight="1">
      <c r="A107" s="121"/>
      <c r="B107" s="121"/>
      <c r="C107" s="121"/>
      <c r="D107" s="121"/>
      <c r="E107" s="3392" t="str">
        <f>IF(项目基本情况!E8="已注销","——","3.房地产抵押价值")</f>
        <v>3.房地产抵押价值</v>
      </c>
      <c r="F107" s="3360"/>
      <c r="G107" s="1684" t="s">
        <v>1432</v>
      </c>
      <c r="H107" s="2376">
        <f ca="1">IF(E107="——","——",H101-H103)</f>
        <v>470229</v>
      </c>
      <c r="I107" s="121"/>
    </row>
    <row r="108" spans="1:35" ht="18.75" customHeight="1">
      <c r="A108" s="121"/>
      <c r="B108" s="121"/>
      <c r="C108" s="121"/>
      <c r="D108" s="121"/>
      <c r="E108" s="3392"/>
      <c r="F108" s="3360"/>
      <c r="G108" s="1684" t="s">
        <v>1434</v>
      </c>
      <c r="H108" s="2336">
        <f ca="1">IF(H107=H101,H102,ROUND(H107*10000/'数据-汇总表'!E3,0))</f>
        <v>69608</v>
      </c>
      <c r="I108" s="121"/>
    </row>
    <row r="109" spans="1:35" ht="18.75" customHeight="1">
      <c r="A109" s="121"/>
      <c r="B109" s="121"/>
      <c r="C109" s="121"/>
      <c r="D109" s="121"/>
      <c r="E109" s="3392" t="str">
        <f>IF(项目基本情况!E8="已注销及未注销","4.抵押担保权已注销时的房地产抵押价值",IF(项目基本情况!E8="已注销","3.抵押担保权已注销时的房地产抵押价值","——"))</f>
        <v>——</v>
      </c>
      <c r="F109" s="3360"/>
      <c r="G109" s="1684" t="s">
        <v>1432</v>
      </c>
      <c r="H109" s="2379" t="str">
        <f>IF(E109="——","——",H101-H105-H106)</f>
        <v>——</v>
      </c>
      <c r="I109" s="121"/>
    </row>
    <row r="110" spans="1:35" ht="18.75" customHeight="1">
      <c r="A110" s="121"/>
      <c r="B110" s="121"/>
      <c r="C110" s="121"/>
      <c r="D110" s="121"/>
      <c r="E110" s="3392"/>
      <c r="F110" s="3360"/>
      <c r="G110" s="1684" t="s">
        <v>1434</v>
      </c>
      <c r="H110" s="2336" t="str">
        <f>IF(H109="——","——",ROUND(H109*10000/'数据-汇总表'!E3,0))</f>
        <v>——</v>
      </c>
      <c r="I110" s="121"/>
    </row>
    <row r="111" spans="1:35" ht="18.75" customHeight="1">
      <c r="A111" s="121"/>
      <c r="B111" s="121"/>
      <c r="C111" s="121"/>
      <c r="D111" s="121"/>
      <c r="E111" s="3393" t="str">
        <f>IF(项目基本情况!E9="抵押净值",IF(OR(项目基本情况!E8="已注销",项目基本情况!E8="房地产抵押价值"),"4.抵押净值","5.抵押净值"),"——")</f>
        <v>——</v>
      </c>
      <c r="F111" s="3379"/>
      <c r="G111" s="1684" t="s">
        <v>1432</v>
      </c>
      <c r="H111" s="2376" t="str">
        <f>IF(E111="——","——",N59)</f>
        <v>——</v>
      </c>
      <c r="I111" s="121"/>
    </row>
    <row r="112" spans="1:35" ht="18.75" customHeight="1" thickBot="1">
      <c r="A112" s="121"/>
      <c r="B112" s="121"/>
      <c r="C112" s="121"/>
      <c r="D112" s="121"/>
      <c r="E112" s="3394"/>
      <c r="F112" s="3395"/>
      <c r="G112" s="1687" t="s">
        <v>1434</v>
      </c>
      <c r="H112" s="2380" t="str">
        <f>IF(E111="——","——",N61)</f>
        <v>——</v>
      </c>
      <c r="I112" s="121"/>
    </row>
    <row r="113" spans="1:27" ht="18.75" customHeight="1">
      <c r="A113" s="121"/>
      <c r="B113" s="121"/>
      <c r="C113" s="121"/>
      <c r="D113" s="121"/>
      <c r="E113" s="3402" t="s">
        <v>1440</v>
      </c>
      <c r="F113" s="3402"/>
      <c r="G113" s="3402"/>
      <c r="H113" s="3402"/>
      <c r="I113" s="121"/>
    </row>
    <row r="114" spans="1:27" ht="3.75" customHeight="1">
      <c r="A114" s="644"/>
      <c r="B114" s="644"/>
      <c r="C114" s="644"/>
      <c r="D114" s="644"/>
      <c r="E114" s="1668"/>
      <c r="F114" s="1668"/>
      <c r="G114" s="1668"/>
      <c r="H114" s="1668"/>
      <c r="I114" s="644"/>
    </row>
    <row r="115" spans="1:27" ht="18.75" customHeight="1">
      <c r="A115" s="3410" t="s">
        <v>1442</v>
      </c>
      <c r="B115" s="3411"/>
      <c r="C115" s="3411"/>
      <c r="D115" s="3411"/>
      <c r="E115" s="3411"/>
      <c r="F115" s="3411"/>
      <c r="G115" s="3411"/>
      <c r="H115" s="3411"/>
      <c r="I115" s="3412"/>
    </row>
    <row r="116" spans="1:27" ht="27" customHeight="1">
      <c r="A116" s="3367" t="s">
        <v>1443</v>
      </c>
      <c r="B116" s="3371" t="s">
        <v>1444</v>
      </c>
      <c r="C116" s="3371" t="s">
        <v>1445</v>
      </c>
      <c r="D116" s="3377" t="s">
        <v>1446</v>
      </c>
      <c r="E116" s="3378"/>
      <c r="F116" s="3409" t="s">
        <v>1447</v>
      </c>
      <c r="G116" s="3409"/>
      <c r="H116" s="3367" t="s">
        <v>1448</v>
      </c>
      <c r="I116" s="3367"/>
    </row>
    <row r="117" spans="1:27" ht="18.75" customHeight="1">
      <c r="A117" s="3367"/>
      <c r="B117" s="3372"/>
      <c r="C117" s="3372"/>
      <c r="D117" s="2145" t="s">
        <v>1449</v>
      </c>
      <c r="E117" s="2145" t="s">
        <v>1450</v>
      </c>
      <c r="F117" s="2145" t="s">
        <v>1449</v>
      </c>
      <c r="G117" s="2145" t="s">
        <v>1451</v>
      </c>
      <c r="H117" s="2145" t="s">
        <v>1449</v>
      </c>
      <c r="I117" s="2145" t="s">
        <v>1451</v>
      </c>
    </row>
    <row r="118" spans="1:27" ht="24.75" customHeight="1">
      <c r="A118" s="2381" t="str">
        <f>项目基本情况!S2</f>
        <v>北京市出让国有建设用地使用权及在建建筑物房地产</v>
      </c>
      <c r="B118" s="2145">
        <f>M18</f>
        <v>67554.06999999992</v>
      </c>
      <c r="C118" s="2145">
        <f>M19</f>
        <v>29999.43</v>
      </c>
      <c r="D118" s="2145">
        <f ca="1">ROUND(IF(D32="总价",C34,E118*B118/10000),0)</f>
        <v>420435</v>
      </c>
      <c r="E118" s="2145">
        <f ca="1">ROUND(IF(C33="自定义",IF(D32="楼面单价",C34,D118*10000/B118),I118-G118),0)</f>
        <v>62237</v>
      </c>
      <c r="F118" s="2145">
        <f ca="1">ROUND(IF(D32="总价",C35,G118*B118/10000),0)</f>
        <v>49794</v>
      </c>
      <c r="G118" s="2145">
        <f ca="1">ROUND(IF(D32="楼面单价",C35,F118*10000/B118),0)</f>
        <v>7371</v>
      </c>
      <c r="H118" s="2145">
        <f ca="1">ROUND(IF(D32="总价",C32,I118*B118/10000),0)</f>
        <v>470229</v>
      </c>
      <c r="I118" s="2145">
        <f ca="1">ROUND(IF(D32="楼面单价",C32,H118*10000/B118),0)</f>
        <v>69608</v>
      </c>
    </row>
    <row r="119" spans="1:27" ht="18.75" customHeight="1">
      <c r="A119" s="3367" t="s">
        <v>1452</v>
      </c>
      <c r="B119" s="3367"/>
      <c r="C119" s="3367"/>
      <c r="D119" s="3373" t="str">
        <f ca="1">NUMBERSTRING(INT(D118*10000),2)&amp;"元整"</f>
        <v>肆拾贰亿零肆佰叁拾伍万元整</v>
      </c>
      <c r="E119" s="3374"/>
      <c r="F119" s="3373" t="str">
        <f ca="1">NUMBERSTRING(INT(F118*10000),2)&amp;"元整"</f>
        <v>肆亿玖仟柒佰玖拾肆万元整</v>
      </c>
      <c r="G119" s="3374"/>
      <c r="H119" s="3373" t="str">
        <f ca="1">NUMBERSTRING(INT(H118*10000),2)&amp;"元整"</f>
        <v>肆拾柒亿零贰佰贰拾玖万元整</v>
      </c>
      <c r="I119" s="3374"/>
    </row>
    <row r="120" spans="1:27" ht="18.75" customHeight="1">
      <c r="A120" s="3368" t="str">
        <f>IF(项目基本情况!B9="房地产市场价值","",MID(E103,3,LEN(E103)-2))</f>
        <v>估价师知悉的法定优先受偿款</v>
      </c>
      <c r="B120" s="3369"/>
      <c r="C120" s="3370"/>
      <c r="D120" s="3368">
        <f>H103</f>
        <v>0</v>
      </c>
      <c r="E120" s="3369"/>
      <c r="F120" s="3369"/>
      <c r="G120" s="3369"/>
      <c r="H120" s="3369"/>
      <c r="I120" s="3370"/>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73" t="s">
        <v>1452</v>
      </c>
      <c r="B121" s="3375"/>
      <c r="C121" s="3374"/>
      <c r="D121" s="3373" t="str">
        <f>IF(D120=0,"零元整",NUMBERSTRING(INT(D120*10000),2)&amp;"元整")</f>
        <v>零元整</v>
      </c>
      <c r="E121" s="3375"/>
      <c r="F121" s="3375"/>
      <c r="G121" s="3375"/>
      <c r="H121" s="3375"/>
      <c r="I121" s="3374"/>
      <c r="AA121" s="682"/>
    </row>
    <row r="122" spans="1:27" ht="18.75" customHeight="1">
      <c r="A122" s="3379" t="str">
        <f>IF(项目基本情况!B9="房地产市场价值","",MID(E107,3,LEN(E107)-2))</f>
        <v>房地产抵押价值</v>
      </c>
      <c r="B122" s="3379"/>
      <c r="C122" s="3379"/>
      <c r="D122" s="3368">
        <f ca="1">H107</f>
        <v>470229</v>
      </c>
      <c r="E122" s="3369"/>
      <c r="F122" s="3369"/>
      <c r="G122" s="3369"/>
      <c r="H122" s="3369"/>
      <c r="I122" s="3370"/>
      <c r="AA122" s="682"/>
    </row>
    <row r="123" spans="1:27" ht="18.75" customHeight="1">
      <c r="A123" s="3367" t="s">
        <v>1452</v>
      </c>
      <c r="B123" s="3367"/>
      <c r="C123" s="3367"/>
      <c r="D123" s="3373" t="str">
        <f ca="1">NUMBERSTRING(INT(D122*10000),2)&amp;"元整"</f>
        <v>肆拾柒亿零贰佰贰拾玖万元整</v>
      </c>
      <c r="E123" s="3375"/>
      <c r="F123" s="3375"/>
      <c r="G123" s="3375"/>
      <c r="H123" s="3375"/>
      <c r="I123" s="3374"/>
      <c r="AA123" s="682"/>
    </row>
    <row r="124" spans="1:27" ht="18.75" customHeight="1">
      <c r="A124" s="3379" t="str">
        <f>IF(项目基本情况!B9="房地产市场价值","",MID(E109,3,LEN(E109)-2))</f>
        <v/>
      </c>
      <c r="B124" s="3379"/>
      <c r="C124" s="3379"/>
      <c r="D124" s="3368" t="str">
        <f>H109</f>
        <v>——</v>
      </c>
      <c r="E124" s="3369"/>
      <c r="F124" s="3369"/>
      <c r="G124" s="3369"/>
      <c r="H124" s="3369"/>
      <c r="I124" s="3370"/>
      <c r="AA124" s="682"/>
    </row>
    <row r="125" spans="1:27" ht="18.75" customHeight="1">
      <c r="A125" s="3367" t="s">
        <v>1452</v>
      </c>
      <c r="B125" s="3367"/>
      <c r="C125" s="3367"/>
      <c r="D125" s="3373" t="e">
        <f>NUMBERSTRING(INT(D124*10000),2)&amp;"元整"</f>
        <v>#VALUE!</v>
      </c>
      <c r="E125" s="3375"/>
      <c r="F125" s="3375"/>
      <c r="G125" s="3375"/>
      <c r="H125" s="3375"/>
      <c r="I125" s="3374"/>
      <c r="AA125" s="682"/>
    </row>
    <row r="126" spans="1:27" ht="18.75" customHeight="1">
      <c r="A126" s="3379" t="str">
        <f>IF(项目基本情况!B9="房地产市场价值","",MID(E111,3,LEN(E111)-2))</f>
        <v/>
      </c>
      <c r="B126" s="3379"/>
      <c r="C126" s="3379"/>
      <c r="D126" s="3368" t="str">
        <f>H111</f>
        <v>——</v>
      </c>
      <c r="E126" s="3369"/>
      <c r="F126" s="3369"/>
      <c r="G126" s="3369"/>
      <c r="H126" s="3369"/>
      <c r="I126" s="3370"/>
      <c r="AA126" s="682"/>
    </row>
    <row r="127" spans="1:27" ht="18.75" customHeight="1">
      <c r="A127" s="3367" t="s">
        <v>1452</v>
      </c>
      <c r="B127" s="3367"/>
      <c r="C127" s="3367"/>
      <c r="D127" s="3373" t="e">
        <f>NUMBERSTRING(INT(D126*10000),2)&amp;"元整"</f>
        <v>#VALUE!</v>
      </c>
      <c r="E127" s="3375"/>
      <c r="F127" s="3375"/>
      <c r="G127" s="3375"/>
      <c r="H127" s="3375"/>
      <c r="I127" s="3374"/>
      <c r="AA127" s="682"/>
    </row>
    <row r="128" spans="1:27" ht="21.75" customHeight="1">
      <c r="A128" s="3376" t="s">
        <v>1453</v>
      </c>
      <c r="B128" s="3376"/>
      <c r="C128" s="3376"/>
      <c r="D128" s="3376"/>
      <c r="E128" s="3376"/>
      <c r="F128" s="3376"/>
      <c r="G128" s="3376"/>
      <c r="H128" s="3376"/>
      <c r="I128" s="3376"/>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2"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B00-000000000000}">
      <formula1>估价方法</formula1>
    </dataValidation>
    <dataValidation type="list" allowBlank="1" showInputMessage="1" showErrorMessage="1" sqref="H55:H56" xr:uid="{00000000-0002-0000-1B00-000001000000}">
      <formula1>"个人住宅,正常"</formula1>
    </dataValidation>
    <dataValidation type="list" allowBlank="1" showInputMessage="1" showErrorMessage="1" sqref="H48" xr:uid="{00000000-0002-0000-1B00-000002000000}">
      <formula1>"情况1,情况2,情况3,情况4"</formula1>
    </dataValidation>
    <dataValidation type="list" allowBlank="1" showInputMessage="1" showErrorMessage="1" sqref="H58" xr:uid="{00000000-0002-0000-1B00-000003000000}">
      <formula1>"转让取得,自行开发建设"</formula1>
    </dataValidation>
    <dataValidation type="list" allowBlank="1" showInputMessage="1" showErrorMessage="1" sqref="D32" xr:uid="{00000000-0002-0000-1B00-000004000000}">
      <formula1>"总价,楼面单价"</formula1>
    </dataValidation>
    <dataValidation type="list" allowBlank="1" showInputMessage="1" showErrorMessage="1" sqref="F45" xr:uid="{00000000-0002-0000-1B00-000005000000}">
      <formula1>"100%,70%,56%"</formula1>
    </dataValidation>
    <dataValidation type="list" allowBlank="1" showInputMessage="1" showErrorMessage="1" sqref="C33" xr:uid="{00000000-0002-0000-1B00-000006000000}">
      <formula1>"成本比率,收益比率,自定义"</formula1>
    </dataValidation>
    <dataValidation type="list" allowBlank="1" showInputMessage="1" showErrorMessage="1" sqref="H91" xr:uid="{00000000-0002-0000-1B00-000007000000}">
      <formula1>"企业提供（在右侧录入）,——"</formula1>
    </dataValidation>
    <dataValidation type="list" allowBlank="1" showInputMessage="1" showErrorMessage="1" sqref="H88" xr:uid="{00000000-0002-0000-1B00-000008000000}">
      <formula1>"仅含出让金,出让金+开发费"</formula1>
    </dataValidation>
    <dataValidation type="list" allowBlank="1" showInputMessage="1" showErrorMessage="1" sqref="F75" xr:uid="{00000000-0002-0000-1B00-000009000000}">
      <formula1>"买卖合同,购房发票"</formula1>
    </dataValidation>
    <dataValidation type="list" allowBlank="1" showInputMessage="1" showErrorMessage="1" sqref="D36" xr:uid="{00000000-0002-0000-1B00-00000A000000}">
      <formula1>"同一抵押权人同一抵押物续贷,注销后放款,正常操作"</formula1>
    </dataValidation>
    <dataValidation type="list" allowBlank="1" showInputMessage="1" showErrorMessage="1" sqref="B116:B117" xr:uid="{00000000-0002-0000-1B00-00000B000000}">
      <formula1>"建筑面积,规划建筑面积,（规划）建筑面积"</formula1>
    </dataValidation>
    <dataValidation type="list" allowBlank="1" showInputMessage="1" showErrorMessage="1" sqref="C116:C117" xr:uid="{00000000-0002-0000-1B00-00000C000000}">
      <formula1>"土地面积,分摊土地面积,（分摊）土地面积"</formula1>
    </dataValidation>
    <dataValidation type="list" allowBlank="1" showInputMessage="1" showErrorMessage="1" sqref="D116:E116" xr:uid="{00000000-0002-0000-1B00-00000D000000}">
      <formula1>"出让国有建设用地使用权价值,划拨国有建设用地使用权价值"</formula1>
    </dataValidation>
    <dataValidation type="list" allowBlank="1" showInputMessage="1" showErrorMessage="1" sqref="F116:G116" xr:uid="{00000000-0002-0000-1B00-00000E000000}">
      <formula1>"建筑物价值,在建建筑物价值,建筑物/在建建筑物价值"</formula1>
    </dataValidation>
    <dataValidation type="list" allowBlank="1" showInputMessage="1" showErrorMessage="1" sqref="C129" xr:uid="{00000000-0002-0000-1B00-00000F000000}">
      <formula1>"无,有"</formula1>
    </dataValidation>
    <dataValidation type="list" showInputMessage="1" showErrorMessage="1" sqref="G1" xr:uid="{00000000-0002-0000-1B00-000010000000}">
      <formula1>"现房,在建,土地,-"</formula1>
    </dataValidation>
    <dataValidation type="list" allowBlank="1" showInputMessage="1" showErrorMessage="1" sqref="I1" xr:uid="{00000000-0002-0000-1B00-000011000000}">
      <formula1>"项目局部,项目全部,——"</formula1>
    </dataValidation>
    <dataValidation type="list" allowBlank="1" showInputMessage="1" showErrorMessage="1" sqref="C1" xr:uid="{00000000-0002-0000-1B00-000012000000}">
      <formula1>项目类型</formula1>
    </dataValidation>
    <dataValidation type="list" allowBlank="1" showInputMessage="1" showErrorMessage="1" sqref="G77" xr:uid="{00000000-0002-0000-1B00-000013000000}">
      <formula1>"个人住宅,2016年5月1日前购买,2016年5月1日后购买"</formula1>
    </dataValidation>
    <dataValidation type="list" allowBlank="1" showInputMessage="1" showErrorMessage="1" sqref="E103" xr:uid="{00000000-0002-0000-1B00-000014000000}">
      <formula1>"2.估价师知悉的法定优先受偿款,2.估价师知悉的除抵押担保权以外的法定优先受偿款"</formula1>
    </dataValidation>
    <dataValidation type="list" allowBlank="1" showInputMessage="1" showErrorMessage="1" sqref="H59" xr:uid="{00000000-0002-0000-1B00-000015000000}">
      <formula1>"非个人房产,个人住宅（满五唯一有凭证）,个人其他（有凭证）,个人其他（无凭证）"</formula1>
    </dataValidation>
    <dataValidation type="list" allowBlank="1" showInputMessage="1" showErrorMessage="1" sqref="D92" xr:uid="{00000000-0002-0000-1B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I57"/>
  <sheetViews>
    <sheetView view="pageBreakPreview" topLeftCell="A31" zoomScaleNormal="70" zoomScaleSheetLayoutView="100" workbookViewId="0">
      <selection activeCell="C52" sqref="C5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1"/>
      <c r="C1" s="190"/>
      <c r="D1" s="190"/>
      <c r="E1" s="190"/>
      <c r="F1" s="190"/>
      <c r="G1" s="1059">
        <f>MATCH(B1,'数据-取费表'!A6:A16,0)+5</f>
        <v>9</v>
      </c>
    </row>
    <row r="2" spans="1:9" s="192" customFormat="1" ht="18" customHeight="1">
      <c r="A2" s="193" t="s">
        <v>1462</v>
      </c>
      <c r="B2" s="194">
        <f ca="1">IF(D2="——",C52,C52-E2)</f>
        <v>497243</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73607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331556</v>
      </c>
      <c r="D5" s="203" t="s">
        <v>1469</v>
      </c>
      <c r="E5" s="204" t="s">
        <v>1470</v>
      </c>
      <c r="F5" s="204" t="s">
        <v>1471</v>
      </c>
      <c r="G5" s="205"/>
    </row>
    <row r="6" spans="1:9" s="206" customFormat="1" ht="13.5" customHeight="1">
      <c r="A6" s="729" t="s">
        <v>1472</v>
      </c>
      <c r="B6" s="207" t="s">
        <v>1473</v>
      </c>
      <c r="C6" s="208">
        <f>'土地比较法-住宅、综合'!B2</f>
        <v>320572</v>
      </c>
      <c r="D6" s="209"/>
      <c r="E6" s="210"/>
      <c r="F6" s="210"/>
      <c r="G6" s="211"/>
    </row>
    <row r="7" spans="1:9" s="206" customFormat="1" ht="13.5" customHeight="1">
      <c r="A7" s="729" t="s">
        <v>1474</v>
      </c>
      <c r="B7" s="207" t="s">
        <v>1475</v>
      </c>
      <c r="C7" s="212">
        <f>ROUND(C6*F7,0)</f>
        <v>9777</v>
      </c>
      <c r="D7" s="212"/>
      <c r="E7" s="210"/>
      <c r="F7" s="213">
        <f>IF(项目基本情况!B8="出让",0,'数据-取费表'!B48+'数据-取费表'!B49)</f>
        <v>3.0499999999999999E-2</v>
      </c>
      <c r="G7" s="211"/>
    </row>
    <row r="8" spans="1:9" s="215" customFormat="1">
      <c r="A8" s="729" t="s">
        <v>1476</v>
      </c>
      <c r="B8" s="207" t="s">
        <v>1477</v>
      </c>
      <c r="C8" s="212">
        <f ca="1">IF(G8="已包含在土地购买价格中","0",IF(B1="",'数据-取费表'!B29,IF(G9="全部缴纳",C9+C10,H9)))</f>
        <v>1207</v>
      </c>
      <c r="D8" s="214"/>
      <c r="E8" s="212"/>
      <c r="F8" s="213"/>
      <c r="G8" s="1711" t="s">
        <v>5696</v>
      </c>
    </row>
    <row r="9" spans="1:9" s="206" customFormat="1" ht="13.5" customHeight="1">
      <c r="A9" s="730" t="s">
        <v>355</v>
      </c>
      <c r="B9" s="216" t="s">
        <v>1478</v>
      </c>
      <c r="C9" s="217">
        <f ca="1">ROUND(D9*E9/10000,0)</f>
        <v>578</v>
      </c>
      <c r="D9" s="792">
        <f ca="1">IF(B1="",'数据-汇总表'!E5,IF(INDIRECT("'数据-取费表'!c"&amp;$G$1)="住宅",INDIRECT("'数据-取费表'!k"&amp;$G$1),0))</f>
        <v>36124.270000000026</v>
      </c>
      <c r="E9" s="217">
        <f>'数据-取费表'!B27</f>
        <v>160</v>
      </c>
      <c r="F9" s="213"/>
      <c r="G9" s="1712" t="s">
        <v>5697</v>
      </c>
      <c r="H9" s="1067"/>
      <c r="I9" s="1713" t="s">
        <v>1479</v>
      </c>
    </row>
    <row r="10" spans="1:9" s="206" customFormat="1" ht="13.5" customHeight="1">
      <c r="A10" s="730" t="s">
        <v>356</v>
      </c>
      <c r="B10" s="216" t="s">
        <v>1480</v>
      </c>
      <c r="C10" s="217">
        <f ca="1">ROUND(D10*E10/10000,0)</f>
        <v>629</v>
      </c>
      <c r="D10" s="792">
        <f ca="1">IF(B1="",'数据-汇总表'!E6,IF(INDIRECT("'数据-取费表'!c"&amp;$G$1)="住宅",INDIRECT("'数据-取费表'!s"&amp;$G$1),INDIRECT("'数据-取费表'!k"&amp;$G$1)+INDIRECT("'数据-取费表'!s"&amp;$G$1)))</f>
        <v>31429.799999999894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67554.06999999992</v>
      </c>
      <c r="E19" s="203">
        <f>'数据-取费表'!B31</f>
        <v>200</v>
      </c>
      <c r="F19" s="223"/>
      <c r="G19" s="1711" t="s">
        <v>5698</v>
      </c>
    </row>
    <row r="20" spans="1:7" s="206" customFormat="1" ht="13.5" customHeight="1">
      <c r="A20" s="247" t="s">
        <v>1493</v>
      </c>
      <c r="B20" s="202" t="s">
        <v>1494</v>
      </c>
      <c r="C20" s="224">
        <f ca="1">ROUND((C5+C19)*F20,0)</f>
        <v>9947</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38">
        <f ca="1">ROUND(SUM(C23:C25),0)</f>
        <v>27951</v>
      </c>
      <c r="D22" s="227">
        <f ca="1">C26</f>
        <v>1.1999999999999999E-3</v>
      </c>
      <c r="E22" s="228" t="s">
        <v>1498</v>
      </c>
      <c r="F22" s="229">
        <f ca="1">'数据-取费表'!B40</f>
        <v>0.03</v>
      </c>
      <c r="G22" s="226" t="str">
        <f>IF('数据-取费表'!B22&lt;=1,"单利计息","复利计息")</f>
        <v>复利计息</v>
      </c>
    </row>
    <row r="23" spans="1:7" s="206" customFormat="1" ht="13.5" customHeight="1">
      <c r="A23" s="731" t="s">
        <v>1502</v>
      </c>
      <c r="B23" s="207" t="s">
        <v>1503</v>
      </c>
      <c r="C23" s="1039">
        <f ca="1">ROUND(IF('数据-取费表'!B22&lt;=1,C5*F22*'数据-取费表'!B23,C5*(POWER((1+F22),'数据-取费表'!B23)-1)),0)</f>
        <v>27546</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1508</v>
      </c>
      <c r="B25" s="207" t="s">
        <v>1509</v>
      </c>
      <c r="C25" s="1039">
        <f ca="1">ROUND(IF('数据-取费表'!B22&lt;=1,C20*F22*'数据-取费表'!B23/2,C20*(POWER((1+F22),'数据-取费表'!B23/2)-1)),0)</f>
        <v>405</v>
      </c>
      <c r="D25" s="230"/>
      <c r="E25" s="233"/>
      <c r="F25" s="231"/>
      <c r="G25" s="234" t="s">
        <v>1510</v>
      </c>
    </row>
    <row r="26" spans="1:7" s="206" customFormat="1">
      <c r="A26" s="731" t="s">
        <v>350</v>
      </c>
      <c r="B26" s="207" t="s">
        <v>1511</v>
      </c>
      <c r="C26" s="230">
        <f ca="1">ROUND(IF('数据-取费表'!B22&lt;=1,F21*F22*'数据-取费表'!B23/2,F21*(POWER((1+F22),'数据-取费表'!B23/2)-1)),4)</f>
        <v>1.1999999999999999E-3</v>
      </c>
      <c r="D26" s="230"/>
      <c r="E26" s="233"/>
      <c r="F26" s="231"/>
      <c r="G26" s="235"/>
    </row>
    <row r="27" spans="1:7" s="206" customFormat="1" ht="24.75">
      <c r="A27" s="247" t="s">
        <v>1512</v>
      </c>
      <c r="B27" s="236" t="s">
        <v>1513</v>
      </c>
      <c r="C27" s="237">
        <f ca="1">C28</f>
        <v>33809</v>
      </c>
      <c r="D27" s="227">
        <f ca="1">C29</f>
        <v>3.0000000000000001E-3</v>
      </c>
      <c r="E27" s="228" t="s">
        <v>1514</v>
      </c>
      <c r="F27" s="238">
        <f ca="1">IF(B1="",'数据-取费表'!Q16,INDIRECT("'数据-取费表'!q"&amp;$G$1))</f>
        <v>0.11</v>
      </c>
      <c r="G27" s="239" t="s">
        <v>1515</v>
      </c>
    </row>
    <row r="28" spans="1:7" s="206" customFormat="1" ht="13.5" customHeight="1">
      <c r="A28" s="731" t="s">
        <v>346</v>
      </c>
      <c r="B28" s="240" t="s">
        <v>1516</v>
      </c>
      <c r="C28" s="241">
        <f ca="1">ROUND((C5+C19+C20)*F27*'数据-取费表'!B21/'数据-取费表'!B20,0)</f>
        <v>33809</v>
      </c>
      <c r="D28" s="227"/>
      <c r="E28" s="228"/>
      <c r="F28" s="238"/>
      <c r="G28" s="239"/>
    </row>
    <row r="29" spans="1:7" s="206" customFormat="1" ht="13.5" customHeight="1">
      <c r="A29" s="731"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441932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42570</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36633</v>
      </c>
      <c r="D34" s="209"/>
      <c r="E34" s="212"/>
      <c r="F34" s="249">
        <f ca="1">IF('数据-取费表'!B24=0,1,IF(B1="",'数据-取费表'!N16,INDIRECT("'数据-取费表'!n"&amp;$G$1)))</f>
        <v>0.9</v>
      </c>
      <c r="G34" s="211" t="s">
        <v>1526</v>
      </c>
    </row>
    <row r="35" spans="1:7" ht="13.5" customHeight="1">
      <c r="A35" s="731" t="s">
        <v>351</v>
      </c>
      <c r="B35" s="207" t="s">
        <v>1527</v>
      </c>
      <c r="C35" s="212">
        <f ca="1">ROUND(C34*F35,0)</f>
        <v>2931</v>
      </c>
      <c r="D35" s="212"/>
      <c r="E35" s="212"/>
      <c r="F35" s="251">
        <f>'数据-取费表'!B33</f>
        <v>0.08</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1057</v>
      </c>
      <c r="D36" s="212"/>
      <c r="E36" s="212"/>
      <c r="F36" s="251">
        <f>'数据-取费表'!B34</f>
        <v>0.05</v>
      </c>
      <c r="G36" s="252" t="s">
        <v>1530</v>
      </c>
    </row>
    <row r="37" spans="1:7" s="250" customFormat="1" ht="13.5" customHeight="1">
      <c r="A37" s="731" t="s">
        <v>353</v>
      </c>
      <c r="B37" s="207" t="s">
        <v>1531</v>
      </c>
      <c r="C37" s="241">
        <f ca="1">ROUND(E37*D37*F34/10000,0)</f>
        <v>1216</v>
      </c>
      <c r="D37" s="209">
        <f ca="1">D19</f>
        <v>67554.06999999992</v>
      </c>
      <c r="E37" s="241">
        <f>'数据-取费表'!B35</f>
        <v>200</v>
      </c>
      <c r="F37" s="251"/>
      <c r="G37" s="253" t="s">
        <v>1532</v>
      </c>
    </row>
    <row r="38" spans="1:7" ht="13.5" customHeight="1">
      <c r="A38" s="731" t="s">
        <v>354</v>
      </c>
      <c r="B38" s="207" t="s">
        <v>1533</v>
      </c>
      <c r="C38" s="212">
        <f ca="1">ROUND(C34*F38,0)</f>
        <v>733</v>
      </c>
      <c r="D38" s="212"/>
      <c r="E38" s="212"/>
      <c r="F38" s="251">
        <f>'数据-取费表'!B36</f>
        <v>0.02</v>
      </c>
      <c r="G38" s="211" t="s">
        <v>1528</v>
      </c>
    </row>
    <row r="39" spans="1:7" s="206" customFormat="1" ht="13.5" customHeight="1">
      <c r="A39" s="247" t="s">
        <v>1534</v>
      </c>
      <c r="B39" s="202" t="s">
        <v>1535</v>
      </c>
      <c r="C39" s="224">
        <f ca="1">ROUND(C33*F20,0)</f>
        <v>1277</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1785</v>
      </c>
      <c r="D41" s="227">
        <f ca="1">C44</f>
        <v>1.1999999999999999E-3</v>
      </c>
      <c r="E41" s="228" t="s">
        <v>1539</v>
      </c>
      <c r="F41" s="229">
        <f ca="1">F22</f>
        <v>0.03</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1733</v>
      </c>
      <c r="D42" s="230"/>
      <c r="E42" s="230"/>
      <c r="F42" s="231"/>
      <c r="G42" s="3446" t="s">
        <v>1544</v>
      </c>
    </row>
    <row r="43" spans="1:7" ht="13.5" customHeight="1">
      <c r="A43" s="731" t="s">
        <v>347</v>
      </c>
      <c r="B43" s="207" t="s">
        <v>1545</v>
      </c>
      <c r="C43" s="230">
        <f ca="1">ROUND(IF('数据-取费表'!B22&lt;=1,C39*F22*'数据-取费表'!B21/2,C39*(POWER((1+F22),'数据-取费表'!B21/2)-1)),0)</f>
        <v>52</v>
      </c>
      <c r="D43" s="230"/>
      <c r="E43" s="230"/>
      <c r="F43" s="231"/>
      <c r="G43" s="3447"/>
    </row>
    <row r="44" spans="1:7" ht="13.5" customHeight="1">
      <c r="A44" s="731" t="s">
        <v>348</v>
      </c>
      <c r="B44" s="207" t="s">
        <v>1546</v>
      </c>
      <c r="C44" s="230">
        <f ca="1">ROUND(IF('数据-取费表'!B22&lt;=1,C40*F22*'数据-取费表'!B21/2,C40*(POWER((1+F22),'数据-取费表'!B21/2)-1)),4)</f>
        <v>1.1999999999999999E-3</v>
      </c>
      <c r="D44" s="230"/>
      <c r="E44" s="230"/>
      <c r="F44" s="231"/>
      <c r="G44" s="3448"/>
    </row>
    <row r="45" spans="1:7" s="206" customFormat="1" ht="13.5" customHeight="1">
      <c r="A45" s="247" t="s">
        <v>1547</v>
      </c>
      <c r="B45" s="236" t="s">
        <v>1513</v>
      </c>
      <c r="C45" s="237">
        <f ca="1">C46</f>
        <v>4823</v>
      </c>
      <c r="D45" s="227">
        <f ca="1">C47</f>
        <v>3.3E-3</v>
      </c>
      <c r="E45" s="228" t="s">
        <v>1539</v>
      </c>
      <c r="F45" s="238">
        <f ca="1">F27</f>
        <v>0.11</v>
      </c>
      <c r="G45" s="239" t="s">
        <v>1548</v>
      </c>
    </row>
    <row r="46" spans="1:7" s="206" customFormat="1" ht="13.5" customHeight="1">
      <c r="A46" s="731" t="s">
        <v>346</v>
      </c>
      <c r="B46" s="240" t="s">
        <v>1549</v>
      </c>
      <c r="C46" s="241">
        <f ca="1">ROUND((C33+C39)*F27,0)</f>
        <v>4823</v>
      </c>
      <c r="D46" s="255"/>
      <c r="E46" s="228"/>
      <c r="F46" s="238"/>
      <c r="G46" s="239"/>
    </row>
    <row r="47" spans="1:7" s="206" customFormat="1" ht="13.5" customHeight="1">
      <c r="A47" s="731" t="s">
        <v>347</v>
      </c>
      <c r="B47" s="240" t="s">
        <v>1550</v>
      </c>
      <c r="C47" s="230">
        <f ca="1">ROUND(C40*F27,4)</f>
        <v>3.3E-3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55311</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55311</v>
      </c>
      <c r="D51" s="224"/>
      <c r="E51" s="224"/>
      <c r="F51" s="256"/>
      <c r="G51" s="226" t="s">
        <v>1560</v>
      </c>
    </row>
    <row r="52" spans="1:7" s="200" customFormat="1" ht="16.5" thickBot="1">
      <c r="A52" s="257" t="s">
        <v>1561</v>
      </c>
      <c r="B52" s="258"/>
      <c r="C52" s="259">
        <f ca="1">C31+C51</f>
        <v>497243</v>
      </c>
      <c r="D52" s="258"/>
      <c r="E52" s="258"/>
      <c r="F52" s="258"/>
      <c r="G52" s="260"/>
    </row>
    <row r="55" spans="1:7" ht="15">
      <c r="B55" s="262" t="s">
        <v>1562</v>
      </c>
      <c r="C55" s="263"/>
    </row>
    <row r="56" spans="1:7">
      <c r="B56" s="265" t="s">
        <v>802</v>
      </c>
      <c r="C56" s="267">
        <f ca="1">1-C57</f>
        <v>0.88900000000000001</v>
      </c>
    </row>
    <row r="57" spans="1:7">
      <c r="B57" s="265" t="s">
        <v>803</v>
      </c>
      <c r="C57" s="266">
        <f ca="1">ROUND(C51/C52,3)</f>
        <v>0.111</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xr:uid="{00000000-0002-0000-1C00-000000000000}">
      <formula1>"已包含在土地购买价格中,未包含在土地购买价格中"</formula1>
    </dataValidation>
    <dataValidation type="list" allowBlank="1" showInputMessage="1" showErrorMessage="1" sqref="G19" xr:uid="{00000000-0002-0000-1C00-000001000000}">
      <formula1>"已包含在土地取得成本中,未包含在土地取得成本中"</formula1>
    </dataValidation>
    <dataValidation type="list" allowBlank="1" showInputMessage="1" showErrorMessage="1" sqref="B1" xr:uid="{00000000-0002-0000-1C00-000002000000}">
      <formula1>项目类型</formula1>
    </dataValidation>
    <dataValidation type="list" allowBlank="1" showInputMessage="1" showErrorMessage="1" sqref="G9" xr:uid="{00000000-0002-0000-1C00-000003000000}">
      <formula1>"部分缴纳,全部缴纳"</formula1>
    </dataValidation>
    <dataValidation type="list" allowBlank="1" showInputMessage="1" showErrorMessage="1" sqref="G2" xr:uid="{00000000-0002-0000-1C00-000004000000}">
      <formula1>估价方法</formula1>
    </dataValidation>
    <dataValidation type="list" allowBlank="1" showInputMessage="1" showErrorMessage="1" sqref="D2" xr:uid="{00000000-0002-0000-1C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受贵公司委托，我公司对北京市出让国有建设用地使用权及在建建筑物房地产抵押价值进行了预评估。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估价对象为北京市出让国有建设用地使用权及在建建筑物房地产，为所有。根据《国有土地使用证》[]，估价对象（分摊）出让国有建设用地使用权面积为29999.43平方米，建筑面积为67554.0699999999平方米。</v>
      </c>
    </row>
    <row r="8" spans="1:1" ht="57.75">
      <c r="A8" s="1382" t="s">
        <v>901</v>
      </c>
    </row>
    <row r="9" spans="1:1" ht="18.75">
      <c r="A9" s="1381" t="s">
        <v>902</v>
      </c>
    </row>
    <row r="10" spans="1:1" ht="7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29999.43平方米，规划建筑面积为67554.0699999999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2025年5月26日（评估专业人员实地查勘之日）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9" t="str">
        <f>IF(项目基本情况!B9="房地产市场价值","——",IF(项目基本情况!E9="——","",定义!C57))</f>
        <v/>
      </c>
    </row>
    <row r="23" spans="1:1" ht="18.75">
      <c r="A23" s="1378" t="s">
        <v>896</v>
      </c>
    </row>
    <row r="24" spans="1:1" ht="18">
      <c r="A24" s="1384" t="str">
        <f>"本次评估采用的主估价方法为"&amp;结果表!K4&amp;"和"&amp;结果表!L4&amp;"。"</f>
        <v>本次评估采用的主估价方法为成本法和假设开发法。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1"/>
      <c r="C1" s="1714" t="s">
        <v>1563</v>
      </c>
      <c r="D1" s="190"/>
      <c r="E1" s="190"/>
      <c r="F1" s="190"/>
      <c r="G1" s="1059">
        <f>MATCH(B1,'数据-取费表'!A6:A16,0)+5</f>
        <v>9</v>
      </c>
      <c r="H1" s="995" t="str">
        <f>IF(ISERROR(FIND("住宅",B1)),"非住宅","住宅")</f>
        <v>非住宅</v>
      </c>
    </row>
    <row r="2" spans="1:8" s="192" customFormat="1" ht="18" customHeight="1">
      <c r="A2" s="193" t="s">
        <v>1462</v>
      </c>
      <c r="B2" s="3118">
        <f ca="1">ROUND(IF(D2="——",C52/10000,C52/10000-E2),4)</f>
        <v>65186.443200000002</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9650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12065843</v>
      </c>
      <c r="D5" s="203" t="s">
        <v>1469</v>
      </c>
      <c r="E5" s="204" t="s">
        <v>1470</v>
      </c>
      <c r="F5" s="204" t="s">
        <v>1471</v>
      </c>
      <c r="G5" s="205"/>
    </row>
    <row r="6" spans="1:8" s="206" customFormat="1" ht="13.5" customHeight="1">
      <c r="A6" s="729" t="s">
        <v>1472</v>
      </c>
      <c r="B6" s="207" t="s">
        <v>1473</v>
      </c>
      <c r="C6" s="208"/>
      <c r="D6" s="209"/>
      <c r="E6" s="210"/>
      <c r="F6" s="210"/>
      <c r="G6" s="211"/>
    </row>
    <row r="7" spans="1:8" s="206" customFormat="1" ht="13.5" customHeight="1">
      <c r="A7" s="729" t="s">
        <v>1474</v>
      </c>
      <c r="B7" s="207" t="s">
        <v>1475</v>
      </c>
      <c r="C7" s="212">
        <f>ROUND(C6*F7,0)</f>
        <v>0</v>
      </c>
      <c r="D7" s="212"/>
      <c r="E7" s="210"/>
      <c r="F7" s="213">
        <f>IF(项目基本情况!B8="出让",0,'数据-取费表'!B48+'数据-取费表'!B49)</f>
        <v>3.0499999999999999E-2</v>
      </c>
      <c r="G7" s="211"/>
    </row>
    <row r="8" spans="1:8" s="215" customFormat="1">
      <c r="A8" s="729" t="s">
        <v>1476</v>
      </c>
      <c r="B8" s="207" t="s">
        <v>1477</v>
      </c>
      <c r="C8" s="212">
        <f ca="1">IF(G8="已包含在土地购买价格中",0,C9+C10)</f>
        <v>12065843</v>
      </c>
      <c r="D8" s="214"/>
      <c r="E8" s="212"/>
      <c r="F8" s="213"/>
      <c r="G8" s="1711"/>
    </row>
    <row r="9" spans="1:8" s="206" customFormat="1" ht="13.5" customHeight="1">
      <c r="A9" s="730" t="s">
        <v>355</v>
      </c>
      <c r="B9" s="216" t="s">
        <v>1478</v>
      </c>
      <c r="C9" s="217">
        <f ca="1">ROUND(D9*E9,0)</f>
        <v>5779883</v>
      </c>
      <c r="D9" s="792">
        <f ca="1">IF(B1="",'数据-汇总表'!E5,IF(INDIRECT("'数据-取费表'!c"&amp;$G$1)="住宅",INDIRECT("'数据-取费表'!k"&amp;$G$1),0))</f>
        <v>36124.270000000026</v>
      </c>
      <c r="E9" s="217">
        <f>'数据-取费表'!B27</f>
        <v>160</v>
      </c>
      <c r="F9" s="213"/>
      <c r="G9" s="218"/>
    </row>
    <row r="10" spans="1:8" s="206" customFormat="1" ht="13.5" customHeight="1">
      <c r="A10" s="730" t="s">
        <v>356</v>
      </c>
      <c r="B10" s="216" t="s">
        <v>1480</v>
      </c>
      <c r="C10" s="217">
        <f ca="1">ROUND(D10*E10,0)</f>
        <v>6285960</v>
      </c>
      <c r="D10" s="792">
        <f ca="1">IF(B1="",'数据-汇总表'!E6,IF(INDIRECT("'数据-取费表'!c"&amp;$G$1)="住宅",INDIRECT("'数据-取费表'!s"&amp;$G$1),INDIRECT("'数据-取费表'!k"&amp;$G$1)+INDIRECT("'数据-取费表'!s"&amp;$G$1)))</f>
        <v>31429.799999999894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13510814</v>
      </c>
      <c r="D19" s="204">
        <f ca="1">D9+D10</f>
        <v>67554.06999999992</v>
      </c>
      <c r="E19" s="203">
        <f>'数据-取费表'!B31</f>
        <v>200</v>
      </c>
      <c r="F19" s="223"/>
      <c r="G19" s="1711"/>
    </row>
    <row r="20" spans="1:7" s="206" customFormat="1" ht="13.5" customHeight="1">
      <c r="A20" s="247" t="s">
        <v>1574</v>
      </c>
      <c r="B20" s="202" t="s">
        <v>1575</v>
      </c>
      <c r="C20" s="224">
        <f ca="1">ROUND((C5+C19)*F20,0)</f>
        <v>767300</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2406432</v>
      </c>
      <c r="D22" s="227">
        <f ca="1">C26</f>
        <v>1.4E-3</v>
      </c>
      <c r="E22" s="228" t="s">
        <v>1579</v>
      </c>
      <c r="F22" s="229">
        <f ca="1">'数据-取费表'!B40</f>
        <v>0.03</v>
      </c>
      <c r="G22" s="226" t="str">
        <f>IF('数据-取费表'!B22&lt;=1,"单利计息","复利计息")</f>
        <v>复利计息</v>
      </c>
    </row>
    <row r="23" spans="1:7" s="206" customFormat="1" ht="13.5" customHeight="1">
      <c r="A23" s="731" t="s">
        <v>1472</v>
      </c>
      <c r="B23" s="207" t="s">
        <v>1583</v>
      </c>
      <c r="C23" s="230">
        <f ca="1">ROUND(IF('数据-取费表'!B22&lt;=1,C5*F22*'数据-取费表'!B22,C5*(POWER((1+F22),'数据-取费表'!B22)-1)),0)</f>
        <v>1118829</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1252817</v>
      </c>
      <c r="D24" s="230"/>
      <c r="E24" s="230"/>
      <c r="F24" s="231"/>
      <c r="G24" s="232" t="s">
        <v>1586</v>
      </c>
    </row>
    <row r="25" spans="1:7" s="206" customFormat="1" ht="24">
      <c r="A25" s="731" t="s">
        <v>1476</v>
      </c>
      <c r="B25" s="207" t="s">
        <v>1587</v>
      </c>
      <c r="C25" s="230">
        <f ca="1">ROUND(IF('数据-取费表'!B22&lt;=1,C20*F22*'数据-取费表'!B22/2,C20*(POWER((1+F22),'数据-取费表'!B22/2)-1)),0)</f>
        <v>34786</v>
      </c>
      <c r="D25" s="230"/>
      <c r="E25" s="233"/>
      <c r="F25" s="231"/>
      <c r="G25" s="234" t="s">
        <v>1588</v>
      </c>
    </row>
    <row r="26" spans="1:7" s="206" customFormat="1">
      <c r="A26" s="731"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2897835</v>
      </c>
      <c r="D27" s="227">
        <f ca="1">C29</f>
        <v>3.3E-3</v>
      </c>
      <c r="E27" s="228" t="s">
        <v>1514</v>
      </c>
      <c r="F27" s="238">
        <f ca="1">IF(B1="",'数据-取费表'!Q16,INDIRECT("'数据-取费表'!q"&amp;$G$1))</f>
        <v>0.11</v>
      </c>
      <c r="G27" s="239" t="s">
        <v>1515</v>
      </c>
    </row>
    <row r="28" spans="1:7" s="206" customFormat="1" ht="13.5" customHeight="1">
      <c r="A28" s="731" t="s">
        <v>346</v>
      </c>
      <c r="B28" s="240" t="s">
        <v>1516</v>
      </c>
      <c r="C28" s="241">
        <f ca="1">ROUND((C5+C19+C20)*F27,0)</f>
        <v>2897835</v>
      </c>
      <c r="D28" s="227"/>
      <c r="E28" s="228"/>
      <c r="F28" s="238"/>
      <c r="G28" s="239"/>
    </row>
    <row r="29" spans="1:7" s="206" customFormat="1" ht="13.5" customHeight="1">
      <c r="A29" s="731" t="s">
        <v>347</v>
      </c>
      <c r="B29" s="240" t="s">
        <v>1517</v>
      </c>
      <c r="C29" s="230">
        <f ca="1">ROUND(C21*F27,4)</f>
        <v>3.3E-3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34702000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472986617</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407032195</v>
      </c>
      <c r="D34" s="209"/>
      <c r="E34" s="212"/>
      <c r="F34" s="249"/>
      <c r="G34" s="211"/>
    </row>
    <row r="35" spans="1:7" ht="13.5" customHeight="1">
      <c r="A35" s="731" t="s">
        <v>351</v>
      </c>
      <c r="B35" s="207" t="s">
        <v>1527</v>
      </c>
      <c r="C35" s="212">
        <f ca="1">ROUND(C34*F35,0)</f>
        <v>32562576</v>
      </c>
      <c r="D35" s="212"/>
      <c r="E35" s="212"/>
      <c r="F35" s="251">
        <f>'数据-取费表'!B33</f>
        <v>0.08</v>
      </c>
      <c r="G35" s="211" t="s">
        <v>1528</v>
      </c>
    </row>
    <row r="36" spans="1:7" ht="24">
      <c r="A36" s="731" t="s">
        <v>352</v>
      </c>
      <c r="B36" s="207" t="s">
        <v>1529</v>
      </c>
      <c r="C36" s="212">
        <f ca="1">ROUND(IF(B1="",SUM('数据-取费表'!AP6:AP13)*F36,IF(INDIRECT("'数据-取费表'!c"&amp;$G$1)="住宅",INDIRECT("'数据-取费表'!k"&amp;$G$1)*INDIRECT("'数据-取费表'!l"&amp;$G$1)*F36,0)),0)</f>
        <v>11740388</v>
      </c>
      <c r="D36" s="212"/>
      <c r="E36" s="212"/>
      <c r="F36" s="251">
        <f>'数据-取费表'!B34</f>
        <v>0.05</v>
      </c>
      <c r="G36" s="252" t="s">
        <v>1530</v>
      </c>
    </row>
    <row r="37" spans="1:7" s="250" customFormat="1" ht="13.5" customHeight="1">
      <c r="A37" s="731" t="s">
        <v>353</v>
      </c>
      <c r="B37" s="207" t="s">
        <v>1531</v>
      </c>
      <c r="C37" s="241">
        <f ca="1">ROUND(E37*D37,0)</f>
        <v>13510814</v>
      </c>
      <c r="D37" s="209">
        <f ca="1">D19</f>
        <v>67554.06999999992</v>
      </c>
      <c r="E37" s="241">
        <f>'数据-取费表'!B35</f>
        <v>200</v>
      </c>
      <c r="F37" s="251"/>
      <c r="G37" s="253"/>
    </row>
    <row r="38" spans="1:7" ht="13.5" customHeight="1">
      <c r="A38" s="731" t="s">
        <v>354</v>
      </c>
      <c r="B38" s="207" t="s">
        <v>1533</v>
      </c>
      <c r="C38" s="212">
        <f ca="1">ROUND(C34*F38,0)</f>
        <v>8140644</v>
      </c>
      <c r="D38" s="212"/>
      <c r="E38" s="212"/>
      <c r="F38" s="251">
        <f>'数据-取费表'!B36</f>
        <v>0.02</v>
      </c>
      <c r="G38" s="211" t="s">
        <v>1528</v>
      </c>
    </row>
    <row r="39" spans="1:7" s="206" customFormat="1" ht="13.5" customHeight="1">
      <c r="A39" s="247" t="s">
        <v>1534</v>
      </c>
      <c r="B39" s="202" t="s">
        <v>1535</v>
      </c>
      <c r="C39" s="224">
        <f ca="1">ROUND(C33*F20,0)</f>
        <v>14189599</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22086538</v>
      </c>
      <c r="D41" s="227">
        <f ca="1">C44</f>
        <v>1.4E-3</v>
      </c>
      <c r="E41" s="228" t="s">
        <v>1539</v>
      </c>
      <c r="F41" s="229">
        <f ca="1">F22</f>
        <v>0.03</v>
      </c>
      <c r="G41" s="226" t="str">
        <f>IF('数据-取费表'!B22&lt;=1,"单利计息","复利计息")</f>
        <v>复利计息</v>
      </c>
    </row>
    <row r="42" spans="1:7" ht="13.5" customHeight="1">
      <c r="A42" s="731" t="s">
        <v>346</v>
      </c>
      <c r="B42" s="207" t="s">
        <v>1543</v>
      </c>
      <c r="C42" s="230">
        <f ca="1">ROUND(IF('数据-取费表'!B22&lt;=1,C33*F22*'数据-取费表'!B20/2,C33*(POWER((1+F22),'数据-取费表'!B20/2)-1)),0)</f>
        <v>21443241</v>
      </c>
      <c r="D42" s="230"/>
      <c r="E42" s="230"/>
      <c r="F42" s="231"/>
      <c r="G42" s="3446" t="s">
        <v>1591</v>
      </c>
    </row>
    <row r="43" spans="1:7" ht="13.5" customHeight="1">
      <c r="A43" s="731" t="s">
        <v>347</v>
      </c>
      <c r="B43" s="207" t="s">
        <v>1545</v>
      </c>
      <c r="C43" s="230">
        <f ca="1">ROUND(IF('数据-取费表'!B22&lt;=1,C39*F22*'数据-取费表'!B20/2,C39*(POWER((1+F22),'数据-取费表'!B20/2)-1)),0)</f>
        <v>643297</v>
      </c>
      <c r="D43" s="230"/>
      <c r="E43" s="230"/>
      <c r="F43" s="231"/>
      <c r="G43" s="3447"/>
    </row>
    <row r="44" spans="1:7" ht="13.5" customHeight="1">
      <c r="A44" s="731" t="s">
        <v>348</v>
      </c>
      <c r="B44" s="207" t="s">
        <v>1546</v>
      </c>
      <c r="C44" s="230">
        <f ca="1">ROUND(IF('数据-取费表'!B22&lt;=1,C40*F22*'数据-取费表'!B20/2,C40*(POWER((1+F22),'数据-取费表'!B20/2)-1)),4)</f>
        <v>1.4E-3</v>
      </c>
      <c r="D44" s="230"/>
      <c r="E44" s="230"/>
      <c r="F44" s="231"/>
      <c r="G44" s="3448"/>
    </row>
    <row r="45" spans="1:7" s="206" customFormat="1" ht="13.5" customHeight="1">
      <c r="A45" s="247" t="s">
        <v>1547</v>
      </c>
      <c r="B45" s="236" t="s">
        <v>1513</v>
      </c>
      <c r="C45" s="237">
        <f ca="1">C46</f>
        <v>53589384</v>
      </c>
      <c r="D45" s="227">
        <f ca="1">C47</f>
        <v>3.3E-3</v>
      </c>
      <c r="E45" s="228" t="s">
        <v>1539</v>
      </c>
      <c r="F45" s="238">
        <f ca="1">F27</f>
        <v>0.11</v>
      </c>
      <c r="G45" s="239" t="s">
        <v>1548</v>
      </c>
    </row>
    <row r="46" spans="1:7" s="206" customFormat="1" ht="13.5" customHeight="1">
      <c r="A46" s="731" t="s">
        <v>346</v>
      </c>
      <c r="B46" s="240" t="s">
        <v>1549</v>
      </c>
      <c r="C46" s="241">
        <f ca="1">ROUND((C33+C39)*F27,0)</f>
        <v>53589384</v>
      </c>
      <c r="D46" s="255"/>
      <c r="E46" s="228"/>
      <c r="F46" s="238"/>
      <c r="G46" s="239"/>
    </row>
    <row r="47" spans="1:7" s="206" customFormat="1" ht="13.5" customHeight="1">
      <c r="A47" s="731" t="s">
        <v>347</v>
      </c>
      <c r="B47" s="240" t="s">
        <v>1550</v>
      </c>
      <c r="C47" s="230">
        <f ca="1">ROUND(C40*F27,4)</f>
        <v>3.3E-3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617162432</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617162432</v>
      </c>
      <c r="D51" s="224"/>
      <c r="E51" s="224"/>
      <c r="F51" s="256"/>
      <c r="G51" s="226" t="s">
        <v>1560</v>
      </c>
    </row>
    <row r="52" spans="1:7" s="200" customFormat="1" ht="16.5" thickBot="1">
      <c r="A52" s="257" t="s">
        <v>1561</v>
      </c>
      <c r="B52" s="258"/>
      <c r="C52" s="259">
        <f ca="1">C31+C51</f>
        <v>651864432</v>
      </c>
      <c r="D52" s="258"/>
      <c r="E52" s="258"/>
      <c r="F52" s="258"/>
      <c r="G52" s="260"/>
    </row>
    <row r="55" spans="1:7" ht="15">
      <c r="B55" s="262" t="s">
        <v>1562</v>
      </c>
      <c r="C55" s="263"/>
    </row>
    <row r="56" spans="1:7">
      <c r="B56" s="265" t="s">
        <v>802</v>
      </c>
      <c r="C56" s="267">
        <f ca="1">1-C57</f>
        <v>5.3000000000000047E-2</v>
      </c>
    </row>
    <row r="57" spans="1:7">
      <c r="B57" s="265" t="s">
        <v>803</v>
      </c>
      <c r="C57" s="266">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D00-000000000000}">
      <formula1>"已包含在土地购买价格中,未包含在土地购买价格中"</formula1>
    </dataValidation>
    <dataValidation type="list" allowBlank="1" showInputMessage="1" showErrorMessage="1" sqref="G19" xr:uid="{00000000-0002-0000-1D00-000001000000}">
      <formula1>"已包含在土地取得成本中,未包含在土地取得成本中"</formula1>
    </dataValidation>
    <dataValidation type="list" allowBlank="1" showInputMessage="1" showErrorMessage="1" sqref="B1" xr:uid="{00000000-0002-0000-1D00-000002000000}">
      <formula1>项目类型</formula1>
    </dataValidation>
    <dataValidation type="list" allowBlank="1" showInputMessage="1" showErrorMessage="1" sqref="G2" xr:uid="{00000000-0002-0000-1D00-000003000000}">
      <formula1>估价方法</formula1>
    </dataValidation>
    <dataValidation type="list" allowBlank="1" showInputMessage="1" showErrorMessage="1" sqref="D2" xr:uid="{00000000-0002-0000-1D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85" zoomScaleNormal="60" zoomScaleSheetLayoutView="85" workbookViewId="0">
      <selection activeCell="B2" sqref="B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89">
        <f>F65</f>
        <v>320572</v>
      </c>
      <c r="C2" s="851"/>
      <c r="D2" s="851"/>
      <c r="E2" s="852"/>
      <c r="F2" s="853"/>
      <c r="G2" s="852"/>
      <c r="H2" s="852"/>
      <c r="I2" s="852"/>
      <c r="J2" s="852"/>
      <c r="K2" s="854"/>
      <c r="L2" s="2499"/>
      <c r="M2" s="2500"/>
      <c r="N2" s="2500"/>
      <c r="O2" s="2500"/>
      <c r="P2" s="341"/>
      <c r="Q2" s="341"/>
      <c r="R2" s="341"/>
      <c r="S2" s="341"/>
      <c r="T2" s="341"/>
      <c r="U2" s="341"/>
      <c r="V2" s="341"/>
      <c r="W2" s="341"/>
      <c r="X2" s="341"/>
      <c r="Y2" s="341"/>
      <c r="Z2" s="341"/>
      <c r="AA2" s="341"/>
      <c r="AB2" s="341"/>
      <c r="AC2" s="661"/>
    </row>
    <row r="3" spans="1:29" s="342" customFormat="1" ht="28.5" customHeight="1" thickBot="1">
      <c r="A3" s="195" t="s">
        <v>1464</v>
      </c>
      <c r="B3" s="534">
        <f>ROUND(IF(D3="",B2*10000/'数据-汇总表'!E3,B2*10000/D3),0)</f>
        <v>47454</v>
      </c>
      <c r="C3" s="195" t="s">
        <v>1869</v>
      </c>
      <c r="D3" s="1108"/>
      <c r="E3" s="852"/>
      <c r="F3" s="853"/>
      <c r="G3" s="852"/>
      <c r="H3" s="852"/>
      <c r="I3" s="852"/>
      <c r="J3" s="852"/>
      <c r="K3" s="854"/>
      <c r="L3" s="2499"/>
      <c r="M3" s="2500"/>
      <c r="N3" s="2500"/>
      <c r="O3" s="2500"/>
      <c r="P3" s="341"/>
      <c r="Q3" s="341"/>
      <c r="R3" s="341"/>
      <c r="S3" s="341"/>
      <c r="T3" s="341"/>
      <c r="U3" s="341"/>
      <c r="V3" s="341"/>
      <c r="W3" s="341"/>
      <c r="X3" s="341"/>
      <c r="Y3" s="341"/>
      <c r="Z3" s="341"/>
      <c r="AA3" s="341"/>
      <c r="AB3" s="674"/>
      <c r="AC3" s="661"/>
    </row>
    <row r="4" spans="1:29" ht="15">
      <c r="A4" s="345" t="s">
        <v>1769</v>
      </c>
      <c r="B4" s="346"/>
      <c r="C4" s="3468" t="s">
        <v>1770</v>
      </c>
      <c r="D4" s="3469"/>
      <c r="E4" s="3470" t="s">
        <v>1771</v>
      </c>
      <c r="F4" s="3471"/>
      <c r="G4" s="3468" t="s">
        <v>1772</v>
      </c>
      <c r="H4" s="3469"/>
      <c r="I4" s="3468" t="s">
        <v>1773</v>
      </c>
      <c r="J4" s="3469"/>
      <c r="K4" s="535" t="s">
        <v>1774</v>
      </c>
      <c r="L4" s="2482"/>
      <c r="M4" s="2483"/>
      <c r="N4" s="2483"/>
      <c r="O4" s="2483"/>
      <c r="P4" s="3472" t="s">
        <v>1775</v>
      </c>
      <c r="Q4" s="3473"/>
      <c r="R4" s="3454" t="s">
        <v>1771</v>
      </c>
      <c r="S4" s="3455"/>
      <c r="T4" s="3454" t="s">
        <v>1772</v>
      </c>
      <c r="U4" s="3455"/>
      <c r="V4" s="3480" t="s">
        <v>1773</v>
      </c>
      <c r="W4" s="3480"/>
      <c r="X4" s="1262"/>
      <c r="Y4" s="3454" t="s">
        <v>1775</v>
      </c>
      <c r="Z4" s="3455"/>
      <c r="AA4" s="3449" t="s">
        <v>1771</v>
      </c>
      <c r="AB4" s="3450" t="s">
        <v>1772</v>
      </c>
      <c r="AC4" s="3449" t="s">
        <v>1773</v>
      </c>
    </row>
    <row r="5" spans="1:29" ht="61.5" customHeight="1" thickBot="1">
      <c r="A5" s="348"/>
      <c r="B5" s="349"/>
      <c r="C5" s="3460" t="s">
        <v>1673</v>
      </c>
      <c r="D5" s="3461"/>
      <c r="E5" s="3458" t="s">
        <v>5783</v>
      </c>
      <c r="F5" s="3459"/>
      <c r="G5" s="3464" t="s">
        <v>5784</v>
      </c>
      <c r="H5" s="3461"/>
      <c r="I5" s="3464" t="s">
        <v>5785</v>
      </c>
      <c r="J5" s="3461"/>
      <c r="K5" s="535"/>
      <c r="L5" s="2482"/>
      <c r="M5" s="2483"/>
      <c r="N5" s="2483"/>
      <c r="O5" s="2483"/>
      <c r="P5" s="3474"/>
      <c r="Q5" s="3475"/>
      <c r="R5" s="3456"/>
      <c r="S5" s="3457"/>
      <c r="T5" s="3456"/>
      <c r="U5" s="3457"/>
      <c r="V5" s="3480"/>
      <c r="W5" s="3480"/>
      <c r="X5" s="1262"/>
      <c r="Y5" s="3456"/>
      <c r="Z5" s="3457"/>
      <c r="AA5" s="3450"/>
      <c r="AB5" s="3450"/>
      <c r="AC5" s="3450"/>
    </row>
    <row r="6" spans="1:29" ht="15.75" hidden="1" thickBot="1">
      <c r="A6" s="350"/>
      <c r="B6" s="351"/>
      <c r="C6" s="3462" t="s">
        <v>1677</v>
      </c>
      <c r="D6" s="3463"/>
      <c r="E6" s="3465" t="s">
        <v>1677</v>
      </c>
      <c r="F6" s="3466"/>
      <c r="G6" s="3462" t="s">
        <v>1677</v>
      </c>
      <c r="H6" s="3463"/>
      <c r="I6" s="3462" t="s">
        <v>1677</v>
      </c>
      <c r="J6" s="3463"/>
      <c r="K6" s="535" t="s">
        <v>1678</v>
      </c>
      <c r="L6" s="2482"/>
      <c r="M6" s="2483"/>
      <c r="N6" s="2483"/>
      <c r="O6" s="2483"/>
      <c r="P6" s="3476"/>
      <c r="Q6" s="3477"/>
      <c r="R6" s="3456"/>
      <c r="S6" s="3457"/>
      <c r="T6" s="3478"/>
      <c r="U6" s="3479"/>
      <c r="V6" s="3480"/>
      <c r="W6" s="3480"/>
      <c r="X6" s="1262"/>
      <c r="Y6" s="3478"/>
      <c r="Z6" s="3479"/>
      <c r="AA6" s="3451"/>
      <c r="AB6" s="3451"/>
      <c r="AC6" s="3451"/>
    </row>
    <row r="7" spans="1:29" s="102" customFormat="1" ht="15.75" thickBot="1">
      <c r="A7" s="352" t="s">
        <v>1679</v>
      </c>
      <c r="B7" s="353"/>
      <c r="C7" s="354">
        <f>'数据-取费表'!B2</f>
        <v>45803</v>
      </c>
      <c r="D7" s="355">
        <v>100</v>
      </c>
      <c r="E7" s="356">
        <v>45734</v>
      </c>
      <c r="F7" s="357">
        <f>SUMIF(69:69,YEAR(E7)&amp;"-"&amp;INT((MONTH(E7)+2)/3),70:70)</f>
        <v>99</v>
      </c>
      <c r="G7" s="1817">
        <v>45659</v>
      </c>
      <c r="H7" s="355">
        <f>SUMIF(69:69,YEAR(G7)&amp;"-"&amp;INT((MONTH(G7)+2)/3),70:70)</f>
        <v>99</v>
      </c>
      <c r="I7" s="1817">
        <v>45659</v>
      </c>
      <c r="J7" s="355">
        <f>SUMIF(69:69,YEAR(I7)&amp;"-"&amp;INT((MONTH(I7)+2)/3),70:70)</f>
        <v>99</v>
      </c>
      <c r="K7" s="38"/>
      <c r="L7" s="2484"/>
      <c r="M7" s="2435"/>
      <c r="N7" s="2435"/>
      <c r="O7" s="2435"/>
      <c r="P7" s="3452" t="s">
        <v>1680</v>
      </c>
      <c r="Q7" s="3481"/>
      <c r="R7" s="662" t="s">
        <v>14</v>
      </c>
      <c r="S7" s="663">
        <f t="shared" ref="S7:S15" si="0">F7</f>
        <v>99</v>
      </c>
      <c r="T7" s="662" t="s">
        <v>14</v>
      </c>
      <c r="U7" s="663">
        <f t="shared" ref="U7:U15" si="1">H7</f>
        <v>99</v>
      </c>
      <c r="V7" s="662" t="s">
        <v>14</v>
      </c>
      <c r="W7" s="663">
        <f t="shared" ref="W7:W15" si="2">J7</f>
        <v>99</v>
      </c>
      <c r="X7" s="664"/>
      <c r="Y7" s="3452" t="s">
        <v>1680</v>
      </c>
      <c r="Z7" s="3453"/>
      <c r="AA7" s="50">
        <f>D7/F7</f>
        <v>1.0101010101010102</v>
      </c>
      <c r="AB7" s="50">
        <f>D7/H7</f>
        <v>1.0101010101010102</v>
      </c>
      <c r="AC7" s="50">
        <f>D7/J7</f>
        <v>1.0101010101010102</v>
      </c>
    </row>
    <row r="8" spans="1:29" s="102" customFormat="1" ht="15.75" thickBot="1">
      <c r="A8" s="352" t="s">
        <v>1681</v>
      </c>
      <c r="B8" s="353"/>
      <c r="C8" s="358" t="s">
        <v>1682</v>
      </c>
      <c r="D8" s="355">
        <v>100</v>
      </c>
      <c r="E8" s="358" t="s">
        <v>5786</v>
      </c>
      <c r="F8" s="357">
        <f>SUMIF(72:72,E8,73:73)-SUMIF(72:72,C8,73:73)+100</f>
        <v>100</v>
      </c>
      <c r="G8" s="358" t="s">
        <v>5786</v>
      </c>
      <c r="H8" s="355">
        <f>SUMIF(72:72,G8,73:73)-SUMIF(72:72,C8,73:73)+100</f>
        <v>100</v>
      </c>
      <c r="I8" s="358" t="s">
        <v>5786</v>
      </c>
      <c r="J8" s="355">
        <f>SUMIF(72:72,I8,73:73)-SUMIF(72:72,C8,73:73)+100</f>
        <v>100</v>
      </c>
      <c r="K8" s="38"/>
      <c r="L8" s="2484"/>
      <c r="M8" s="2435"/>
      <c r="N8" s="2435"/>
      <c r="O8" s="2435"/>
      <c r="P8" s="3452" t="s">
        <v>1683</v>
      </c>
      <c r="Q8" s="3453"/>
      <c r="R8" s="662" t="s">
        <v>14</v>
      </c>
      <c r="S8" s="663">
        <f t="shared" si="0"/>
        <v>100</v>
      </c>
      <c r="T8" s="662" t="s">
        <v>14</v>
      </c>
      <c r="U8" s="663">
        <f t="shared" si="1"/>
        <v>100</v>
      </c>
      <c r="V8" s="662" t="s">
        <v>14</v>
      </c>
      <c r="W8" s="663">
        <f t="shared" si="2"/>
        <v>100</v>
      </c>
      <c r="X8" s="664"/>
      <c r="Y8" s="3452" t="s">
        <v>1683</v>
      </c>
      <c r="Z8" s="3453"/>
      <c r="AA8" s="50">
        <f t="shared" ref="AA8:AA45" si="3">D8/F8</f>
        <v>1</v>
      </c>
      <c r="AB8" s="50">
        <f t="shared" ref="AB8:AB45" si="4">D8/H8</f>
        <v>1</v>
      </c>
      <c r="AC8" s="50">
        <f t="shared" ref="AC8:AC45" si="5">D8/J8</f>
        <v>1</v>
      </c>
    </row>
    <row r="9" spans="1:29" s="102" customFormat="1">
      <c r="A9" s="359" t="s">
        <v>1684</v>
      </c>
      <c r="B9" s="60" t="s">
        <v>1685</v>
      </c>
      <c r="C9" s="3181" t="s">
        <v>5794</v>
      </c>
      <c r="D9" s="59">
        <v>100</v>
      </c>
      <c r="E9" s="1820" t="s">
        <v>3395</v>
      </c>
      <c r="F9" s="59">
        <f>SUMIF(74:74,E9,75:75)-SUMIF(74:74,C9,75:75)+100</f>
        <v>100</v>
      </c>
      <c r="G9" s="1820" t="s">
        <v>3395</v>
      </c>
      <c r="H9" s="59">
        <f>SUMIF(74:74,G9,75:75)-SUMIF(74:74,C9,75:75)+100</f>
        <v>100</v>
      </c>
      <c r="I9" s="1820" t="s">
        <v>3395</v>
      </c>
      <c r="J9" s="59">
        <f>SUMIF(74:74,I9,75:75)-SUMIF(74:74,C9,75:75)+100</f>
        <v>100</v>
      </c>
      <c r="K9" s="38"/>
      <c r="L9" s="2484"/>
      <c r="M9" s="2435"/>
      <c r="N9" s="2435"/>
      <c r="O9" s="2536"/>
      <c r="P9" s="3467" t="s">
        <v>1686</v>
      </c>
      <c r="Q9" s="528" t="str">
        <f t="shared" ref="Q9:Q15" si="6">B9</f>
        <v>用途</v>
      </c>
      <c r="R9" s="662" t="s">
        <v>14</v>
      </c>
      <c r="S9" s="663">
        <f t="shared" si="0"/>
        <v>100</v>
      </c>
      <c r="T9" s="662" t="s">
        <v>14</v>
      </c>
      <c r="U9" s="663">
        <f t="shared" si="1"/>
        <v>100</v>
      </c>
      <c r="V9" s="662" t="s">
        <v>14</v>
      </c>
      <c r="W9" s="663">
        <f t="shared" si="2"/>
        <v>100</v>
      </c>
      <c r="X9" s="664"/>
      <c r="Y9" s="342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101</v>
      </c>
      <c r="G10" s="402"/>
      <c r="H10" s="119">
        <f>ROUND(100/'数据-取费表'!G16,0)</f>
        <v>101</v>
      </c>
      <c r="I10" s="402"/>
      <c r="J10" s="119">
        <f>ROUND(100/'数据-取费表'!G16,0)</f>
        <v>101</v>
      </c>
      <c r="K10" s="590"/>
      <c r="L10" s="2485"/>
      <c r="M10" s="2486"/>
      <c r="N10" s="2486"/>
      <c r="O10" s="2537"/>
      <c r="P10" s="3467"/>
      <c r="Q10" s="528" t="str">
        <f t="shared" si="6"/>
        <v>土地使用年限（年）</v>
      </c>
      <c r="R10" s="662" t="s">
        <v>14</v>
      </c>
      <c r="S10" s="663">
        <f t="shared" si="0"/>
        <v>101</v>
      </c>
      <c r="T10" s="662" t="s">
        <v>14</v>
      </c>
      <c r="U10" s="663">
        <f t="shared" si="1"/>
        <v>101</v>
      </c>
      <c r="V10" s="662" t="s">
        <v>14</v>
      </c>
      <c r="W10" s="663">
        <f t="shared" si="2"/>
        <v>101</v>
      </c>
      <c r="X10" s="664"/>
      <c r="Y10" s="3422"/>
      <c r="Z10" s="50" t="str">
        <f t="shared" si="7"/>
        <v>土地使用年限（年）</v>
      </c>
      <c r="AA10" s="50">
        <f t="shared" si="3"/>
        <v>0.99009900990099009</v>
      </c>
      <c r="AB10" s="50">
        <f t="shared" si="4"/>
        <v>0.99009900990099009</v>
      </c>
      <c r="AC10" s="50">
        <f t="shared" si="5"/>
        <v>0.99009900990099009</v>
      </c>
    </row>
    <row r="11" spans="1:29" ht="15">
      <c r="A11" s="367"/>
      <c r="B11" s="364" t="s">
        <v>1689</v>
      </c>
      <c r="C11" s="368">
        <f>'数据-汇总表'!I7</f>
        <v>1.05</v>
      </c>
      <c r="D11" s="119">
        <v>100</v>
      </c>
      <c r="E11" s="368">
        <v>1.6</v>
      </c>
      <c r="F11" s="119">
        <f>LOOKUP(E11,79:79,80:80)-LOOKUP(C11,79:79,80:80)+100</f>
        <v>97</v>
      </c>
      <c r="G11" s="369">
        <v>2.4</v>
      </c>
      <c r="H11" s="119">
        <f>LOOKUP(G11,79:79,80:80)-LOOKUP(C11,79:79,80:80)+100</f>
        <v>94</v>
      </c>
      <c r="I11" s="368">
        <v>2.42</v>
      </c>
      <c r="J11" s="119">
        <f>LOOKUP(I11,79:79,80:80)-LOOKUP(C11,79:79,80:80)+100</f>
        <v>94</v>
      </c>
      <c r="K11" s="591">
        <v>3</v>
      </c>
      <c r="L11" s="2487"/>
      <c r="M11" s="2483"/>
      <c r="N11" s="2483"/>
      <c r="O11" s="2538"/>
      <c r="P11" s="3467"/>
      <c r="Q11" s="528" t="str">
        <f t="shared" si="6"/>
        <v>容积率</v>
      </c>
      <c r="R11" s="662" t="s">
        <v>14</v>
      </c>
      <c r="S11" s="663">
        <f t="shared" si="0"/>
        <v>97</v>
      </c>
      <c r="T11" s="662" t="s">
        <v>14</v>
      </c>
      <c r="U11" s="663">
        <f t="shared" si="1"/>
        <v>94</v>
      </c>
      <c r="V11" s="662" t="s">
        <v>14</v>
      </c>
      <c r="W11" s="663">
        <f t="shared" si="2"/>
        <v>94</v>
      </c>
      <c r="X11" s="664"/>
      <c r="Y11" s="3422"/>
      <c r="Z11" s="50" t="str">
        <f t="shared" si="7"/>
        <v>容积率</v>
      </c>
      <c r="AA11" s="50">
        <f t="shared" si="3"/>
        <v>1.0309278350515463</v>
      </c>
      <c r="AB11" s="50">
        <f t="shared" si="4"/>
        <v>1.0638297872340425</v>
      </c>
      <c r="AC11" s="50">
        <f t="shared" si="5"/>
        <v>1.0638297872340425</v>
      </c>
    </row>
    <row r="12" spans="1:29" s="102" customFormat="1" ht="15.75" thickBot="1">
      <c r="A12" s="370"/>
      <c r="B12" s="3180" t="s">
        <v>5793</v>
      </c>
      <c r="C12" s="371">
        <v>120000</v>
      </c>
      <c r="D12" s="372">
        <v>100</v>
      </c>
      <c r="E12" s="403" t="s">
        <v>5787</v>
      </c>
      <c r="F12" s="119">
        <f>SUMIF(81:81,E12,82:82)-SUMIF(81:81,C12,82:82)+100</f>
        <v>110</v>
      </c>
      <c r="G12" s="402" t="s">
        <v>5787</v>
      </c>
      <c r="H12" s="119">
        <f>SUMIF(81:81,G12,82:82)-SUMIF(81:81,C12,82:82)+100</f>
        <v>110</v>
      </c>
      <c r="I12" s="403" t="s">
        <v>5787</v>
      </c>
      <c r="J12" s="119">
        <f>SUMIF(81:81,I12,82:82)-SUMIF(81:81,C12,82:82)+100</f>
        <v>110</v>
      </c>
      <c r="K12" s="590"/>
      <c r="L12" s="2484"/>
      <c r="M12" s="2435"/>
      <c r="N12" s="2435"/>
      <c r="O12" s="2536"/>
      <c r="P12" s="3467"/>
      <c r="Q12" s="528" t="str">
        <f t="shared" si="6"/>
        <v>限价</v>
      </c>
      <c r="R12" s="662" t="s">
        <v>14</v>
      </c>
      <c r="S12" s="663">
        <f t="shared" si="0"/>
        <v>110</v>
      </c>
      <c r="T12" s="662" t="s">
        <v>14</v>
      </c>
      <c r="U12" s="663">
        <f t="shared" si="1"/>
        <v>110</v>
      </c>
      <c r="V12" s="662" t="s">
        <v>14</v>
      </c>
      <c r="W12" s="663">
        <f t="shared" si="2"/>
        <v>110</v>
      </c>
      <c r="X12" s="664"/>
      <c r="Y12" s="3422"/>
      <c r="Z12" s="50" t="str">
        <f t="shared" si="7"/>
        <v>限价</v>
      </c>
      <c r="AA12" s="50">
        <f>D12/F12</f>
        <v>0.90909090909090906</v>
      </c>
      <c r="AB12" s="50">
        <f>D12/H12</f>
        <v>0.90909090909090906</v>
      </c>
      <c r="AC12" s="50">
        <f>D12/J12</f>
        <v>0.90909090909090906</v>
      </c>
    </row>
    <row r="13" spans="1:29" ht="15" hidden="1">
      <c r="A13" s="367"/>
      <c r="B13" s="445">
        <v>111</v>
      </c>
      <c r="C13" s="373"/>
      <c r="D13" s="374">
        <v>100</v>
      </c>
      <c r="E13" s="478"/>
      <c r="F13" s="119">
        <f>SUMIF(83:83,E13,84:84)-SUMIF(83:83,C13,84:84)+100</f>
        <v>100</v>
      </c>
      <c r="G13" s="592"/>
      <c r="H13" s="374">
        <f>SUMIF(83:83,G13,84:84)-SUMIF(83:83,C13,84:84)+100</f>
        <v>100</v>
      </c>
      <c r="I13" s="592"/>
      <c r="J13" s="374">
        <f>SUMIF(83:83,I13,84:84)-SUMIF(83:83,C13,84:84)+100</f>
        <v>100</v>
      </c>
      <c r="K13" s="590"/>
      <c r="L13" s="2488"/>
      <c r="M13" s="2483"/>
      <c r="N13" s="2483"/>
      <c r="O13" s="2538"/>
      <c r="P13" s="3467"/>
      <c r="Q13" s="528">
        <f t="shared" si="6"/>
        <v>111</v>
      </c>
      <c r="R13" s="662" t="s">
        <v>14</v>
      </c>
      <c r="S13" s="663">
        <f t="shared" si="0"/>
        <v>100</v>
      </c>
      <c r="T13" s="662" t="s">
        <v>14</v>
      </c>
      <c r="U13" s="663">
        <f t="shared" si="1"/>
        <v>100</v>
      </c>
      <c r="V13" s="662" t="s">
        <v>14</v>
      </c>
      <c r="W13" s="663">
        <f t="shared" si="2"/>
        <v>100</v>
      </c>
      <c r="X13" s="664"/>
      <c r="Y13" s="3422"/>
      <c r="Z13" s="50">
        <f t="shared" si="7"/>
        <v>111</v>
      </c>
      <c r="AA13" s="50">
        <f>D13/F13</f>
        <v>1</v>
      </c>
      <c r="AB13" s="50">
        <f>D13/H13</f>
        <v>1</v>
      </c>
      <c r="AC13" s="50">
        <f>D13/J13</f>
        <v>1</v>
      </c>
    </row>
    <row r="14" spans="1:29" ht="15.75" hidden="1" thickBot="1">
      <c r="A14" s="375"/>
      <c r="B14" s="1746">
        <v>111</v>
      </c>
      <c r="C14" s="376"/>
      <c r="D14" s="377">
        <v>100</v>
      </c>
      <c r="E14" s="478"/>
      <c r="F14" s="377">
        <f>SUMIF(85:85,E14,86:86)-SUMIF(85:85,C14,86:86)+100</f>
        <v>100</v>
      </c>
      <c r="G14" s="592"/>
      <c r="H14" s="377">
        <f>SUMIF(85:85,G14,86:86)-SUMIF(85:85,C14,86:86)+100</f>
        <v>100</v>
      </c>
      <c r="I14" s="592"/>
      <c r="J14" s="377">
        <f>SUMIF(85:85,I14,86:86)-SUMIF(85:85,C14,86:86)+100</f>
        <v>100</v>
      </c>
      <c r="K14" s="590"/>
      <c r="L14" s="2488"/>
      <c r="M14" s="2483"/>
      <c r="N14" s="2483"/>
      <c r="O14" s="2538"/>
      <c r="P14" s="3467"/>
      <c r="Q14" s="528">
        <f t="shared" si="6"/>
        <v>111</v>
      </c>
      <c r="R14" s="662" t="s">
        <v>14</v>
      </c>
      <c r="S14" s="663">
        <f t="shared" si="0"/>
        <v>100</v>
      </c>
      <c r="T14" s="662" t="s">
        <v>14</v>
      </c>
      <c r="U14" s="663">
        <f t="shared" si="1"/>
        <v>100</v>
      </c>
      <c r="V14" s="662" t="s">
        <v>14</v>
      </c>
      <c r="W14" s="663">
        <f t="shared" si="2"/>
        <v>100</v>
      </c>
      <c r="X14" s="664"/>
      <c r="Y14" s="3422"/>
      <c r="Z14" s="50">
        <f t="shared" si="7"/>
        <v>111</v>
      </c>
      <c r="AA14" s="50">
        <f>D14/F14</f>
        <v>1</v>
      </c>
      <c r="AB14" s="50">
        <f>D14/H14</f>
        <v>1</v>
      </c>
      <c r="AC14" s="50">
        <f>D14/J14</f>
        <v>1</v>
      </c>
    </row>
    <row r="15" spans="1:29" ht="15">
      <c r="A15" s="379" t="s">
        <v>1690</v>
      </c>
      <c r="B15" s="58" t="s">
        <v>1257</v>
      </c>
      <c r="C15" s="1747">
        <f>估价对象房地状况!C15</f>
        <v>0</v>
      </c>
      <c r="D15" s="380">
        <v>100</v>
      </c>
      <c r="E15" s="381"/>
      <c r="F15" s="380">
        <f>SUMIF(87:87,E16,88:88)-SUMIF(87:87,C16,88:88)+100</f>
        <v>103</v>
      </c>
      <c r="G15" s="381"/>
      <c r="H15" s="380">
        <f>SUMIF(87:87,G16,88:88)-SUMIF(87:87,C16,88:88)+100</f>
        <v>100</v>
      </c>
      <c r="I15" s="383"/>
      <c r="J15" s="380">
        <f>SUMIF(87:87,I16,88:88)-SUMIF(87:87,C16,88:88)+100</f>
        <v>100</v>
      </c>
      <c r="K15" s="591">
        <v>3</v>
      </c>
      <c r="L15" s="2488"/>
      <c r="M15" s="2483"/>
      <c r="N15" s="2483"/>
      <c r="O15" s="2538"/>
      <c r="P15" s="3482" t="s">
        <v>1691</v>
      </c>
      <c r="Q15" s="1260" t="str">
        <f t="shared" si="6"/>
        <v>居住社区成熟度</v>
      </c>
      <c r="R15" s="665" t="s">
        <v>14</v>
      </c>
      <c r="S15" s="666">
        <f t="shared" si="0"/>
        <v>103</v>
      </c>
      <c r="T15" s="665" t="s">
        <v>14</v>
      </c>
      <c r="U15" s="666">
        <f t="shared" si="1"/>
        <v>100</v>
      </c>
      <c r="V15" s="665" t="s">
        <v>14</v>
      </c>
      <c r="W15" s="666">
        <f t="shared" si="2"/>
        <v>100</v>
      </c>
      <c r="X15" s="1262"/>
      <c r="Y15" s="3482" t="s">
        <v>1691</v>
      </c>
      <c r="Z15" s="1261" t="str">
        <f t="shared" si="7"/>
        <v>居住社区成熟度</v>
      </c>
      <c r="AA15" s="1261">
        <f t="shared" si="3"/>
        <v>0.970873786407767</v>
      </c>
      <c r="AB15" s="1261">
        <f t="shared" si="4"/>
        <v>1</v>
      </c>
      <c r="AC15" s="1261">
        <f t="shared" si="5"/>
        <v>1</v>
      </c>
    </row>
    <row r="16" spans="1:29" ht="15">
      <c r="A16" s="367"/>
      <c r="B16" s="385"/>
      <c r="C16" s="386" t="s">
        <v>5792</v>
      </c>
      <c r="D16" s="387"/>
      <c r="E16" s="1749" t="s">
        <v>5788</v>
      </c>
      <c r="F16" s="387"/>
      <c r="G16" s="1749" t="s">
        <v>5792</v>
      </c>
      <c r="H16" s="389"/>
      <c r="I16" s="1748" t="s">
        <v>5792</v>
      </c>
      <c r="J16" s="387"/>
      <c r="K16" s="590"/>
      <c r="L16" s="2488"/>
      <c r="M16" s="2483"/>
      <c r="N16" s="2483"/>
      <c r="O16" s="2538"/>
      <c r="P16" s="3483"/>
      <c r="Q16" s="1260"/>
      <c r="R16" s="665"/>
      <c r="S16" s="666"/>
      <c r="T16" s="665"/>
      <c r="U16" s="666"/>
      <c r="V16" s="665"/>
      <c r="W16" s="666"/>
      <c r="X16" s="1262"/>
      <c r="Y16" s="3483"/>
      <c r="Z16" s="1261"/>
      <c r="AA16" s="1261">
        <v>1</v>
      </c>
      <c r="AB16" s="1261">
        <v>1</v>
      </c>
      <c r="AC16" s="1261">
        <v>1</v>
      </c>
    </row>
    <row r="17" spans="1:29" ht="15" hidden="1">
      <c r="A17" s="367"/>
      <c r="B17" s="390" t="s">
        <v>1777</v>
      </c>
      <c r="C17" s="1801">
        <f>估价对象房地状况!C16</f>
        <v>0</v>
      </c>
      <c r="D17" s="389">
        <v>100</v>
      </c>
      <c r="E17" s="391">
        <v>0</v>
      </c>
      <c r="F17" s="389">
        <f>SUMIF(89:89,E18,90:90)-SUMIF(89:89,C18,90:90)+100</f>
        <v>100</v>
      </c>
      <c r="G17" s="391">
        <v>0</v>
      </c>
      <c r="H17" s="394">
        <f>SUMIF(89:89,G18,90:90)-SUMIF(89:89,C18,90:90)+100</f>
        <v>100</v>
      </c>
      <c r="I17" s="393">
        <v>0</v>
      </c>
      <c r="J17" s="394">
        <f>SUMIF(89:89,I18,90:90)-SUMIF(89:89,C18,90:90)+100</f>
        <v>100</v>
      </c>
      <c r="K17" s="591"/>
      <c r="L17" s="2488"/>
      <c r="M17" s="2483"/>
      <c r="N17" s="2483"/>
      <c r="O17" s="2538"/>
      <c r="P17" s="3483"/>
      <c r="Q17" s="1260" t="str">
        <f>B17</f>
        <v>商业繁华度</v>
      </c>
      <c r="R17" s="665" t="s">
        <v>14</v>
      </c>
      <c r="S17" s="666">
        <f>F17</f>
        <v>100</v>
      </c>
      <c r="T17" s="665" t="s">
        <v>14</v>
      </c>
      <c r="U17" s="666">
        <f>H17</f>
        <v>100</v>
      </c>
      <c r="V17" s="665" t="s">
        <v>14</v>
      </c>
      <c r="W17" s="666">
        <f>J17</f>
        <v>100</v>
      </c>
      <c r="X17" s="1262"/>
      <c r="Y17" s="3483"/>
      <c r="Z17" s="1261" t="str">
        <f>Q17</f>
        <v>商业繁华度</v>
      </c>
      <c r="AA17" s="1261">
        <f t="shared" si="3"/>
        <v>1</v>
      </c>
      <c r="AB17" s="1261">
        <f t="shared" si="4"/>
        <v>1</v>
      </c>
      <c r="AC17" s="1261">
        <f t="shared" si="5"/>
        <v>1</v>
      </c>
    </row>
    <row r="18" spans="1:29" ht="15" hidden="1">
      <c r="A18" s="367"/>
      <c r="B18" s="395"/>
      <c r="C18" s="1752"/>
      <c r="D18" s="389"/>
      <c r="E18" s="1754"/>
      <c r="F18" s="389"/>
      <c r="G18" s="1754"/>
      <c r="H18" s="387"/>
      <c r="I18" s="1753"/>
      <c r="J18" s="387"/>
      <c r="K18" s="590"/>
      <c r="L18" s="2488"/>
      <c r="M18" s="2483"/>
      <c r="N18" s="2483"/>
      <c r="O18" s="2538"/>
      <c r="P18" s="3483"/>
      <c r="Q18" s="1260"/>
      <c r="R18" s="665"/>
      <c r="S18" s="666"/>
      <c r="T18" s="665"/>
      <c r="U18" s="666"/>
      <c r="V18" s="665"/>
      <c r="W18" s="666"/>
      <c r="X18" s="1262"/>
      <c r="Y18" s="3483"/>
      <c r="Z18" s="1261"/>
      <c r="AA18" s="1261">
        <v>1</v>
      </c>
      <c r="AB18" s="1261">
        <v>1</v>
      </c>
      <c r="AC18" s="1261">
        <v>1</v>
      </c>
    </row>
    <row r="19" spans="1:29" ht="15" hidden="1">
      <c r="A19" s="367"/>
      <c r="B19" s="390" t="s">
        <v>1811</v>
      </c>
      <c r="C19" s="1801">
        <f>估价对象房地状况!C17</f>
        <v>0</v>
      </c>
      <c r="D19" s="394">
        <v>100</v>
      </c>
      <c r="E19" s="396">
        <v>0</v>
      </c>
      <c r="F19" s="394">
        <f>SUMIF(91:91,E20,92:92)-SUMIF(91:91,C20,92:92)+100</f>
        <v>100</v>
      </c>
      <c r="G19" s="396">
        <v>0</v>
      </c>
      <c r="H19" s="389">
        <f>SUMIF(91:91,G20,92:92)-SUMIF(91:91,C20,92:92)+100</f>
        <v>100</v>
      </c>
      <c r="I19" s="398">
        <v>0</v>
      </c>
      <c r="J19" s="389">
        <f>SUMIF(91:91,I20,92:92)-SUMIF(91:91,C20,92:92)+100</f>
        <v>100</v>
      </c>
      <c r="K19" s="591"/>
      <c r="L19" s="2488"/>
      <c r="M19" s="2483"/>
      <c r="N19" s="2483"/>
      <c r="O19" s="2538"/>
      <c r="P19" s="3483"/>
      <c r="Q19" s="1260" t="str">
        <f>B19</f>
        <v>办公集聚程度</v>
      </c>
      <c r="R19" s="665" t="s">
        <v>14</v>
      </c>
      <c r="S19" s="666">
        <f>F19</f>
        <v>100</v>
      </c>
      <c r="T19" s="665" t="s">
        <v>14</v>
      </c>
      <c r="U19" s="666">
        <f>H19</f>
        <v>100</v>
      </c>
      <c r="V19" s="665" t="s">
        <v>14</v>
      </c>
      <c r="W19" s="666">
        <f>J19</f>
        <v>100</v>
      </c>
      <c r="X19" s="1262"/>
      <c r="Y19" s="3483"/>
      <c r="Z19" s="1261" t="str">
        <f>Q19</f>
        <v>办公集聚程度</v>
      </c>
      <c r="AA19" s="1261">
        <f t="shared" si="3"/>
        <v>1</v>
      </c>
      <c r="AB19" s="1261">
        <f t="shared" si="4"/>
        <v>1</v>
      </c>
      <c r="AC19" s="1261">
        <f t="shared" si="5"/>
        <v>1</v>
      </c>
    </row>
    <row r="20" spans="1:29" ht="15" hidden="1">
      <c r="A20" s="367"/>
      <c r="B20" s="395"/>
      <c r="C20" s="386"/>
      <c r="D20" s="387"/>
      <c r="E20" s="1749"/>
      <c r="F20" s="387"/>
      <c r="G20" s="1749"/>
      <c r="H20" s="387"/>
      <c r="I20" s="1748"/>
      <c r="J20" s="387"/>
      <c r="K20" s="590"/>
      <c r="L20" s="2488"/>
      <c r="M20" s="2483"/>
      <c r="N20" s="2483"/>
      <c r="O20" s="2538"/>
      <c r="P20" s="3483"/>
      <c r="Q20" s="1260"/>
      <c r="R20" s="665"/>
      <c r="S20" s="666"/>
      <c r="T20" s="665"/>
      <c r="U20" s="666"/>
      <c r="V20" s="665"/>
      <c r="W20" s="666"/>
      <c r="X20" s="1262"/>
      <c r="Y20" s="3483"/>
      <c r="Z20" s="1261"/>
      <c r="AA20" s="1261">
        <v>1</v>
      </c>
      <c r="AB20" s="1261">
        <v>1</v>
      </c>
      <c r="AC20" s="1261">
        <v>1</v>
      </c>
    </row>
    <row r="21" spans="1:29" ht="15">
      <c r="A21" s="367"/>
      <c r="B21" s="390" t="s">
        <v>1833</v>
      </c>
      <c r="C21" s="1751">
        <f>估价对象房地状况!C18</f>
        <v>0</v>
      </c>
      <c r="D21" s="389">
        <v>100</v>
      </c>
      <c r="E21" s="391"/>
      <c r="F21" s="394">
        <f>SUMIF(93:93,E22,94:94)-SUMIF(93:93,C22,94:94)+100</f>
        <v>103</v>
      </c>
      <c r="G21" s="391"/>
      <c r="H21" s="389">
        <f>SUMIF(93:93,G22,94:94)-SUMIF(93:93,C22,94:94)+100</f>
        <v>103</v>
      </c>
      <c r="I21" s="393"/>
      <c r="J21" s="389">
        <f>SUMIF(93:93,I22,94:94)-SUMIF(93:93,C22,94:94)+100</f>
        <v>103</v>
      </c>
      <c r="K21" s="591">
        <v>3</v>
      </c>
      <c r="L21" s="2488"/>
      <c r="M21" s="2483"/>
      <c r="N21" s="2483"/>
      <c r="O21" s="2538"/>
      <c r="P21" s="3483"/>
      <c r="Q21" s="1260" t="str">
        <f>B21</f>
        <v>交通便捷度</v>
      </c>
      <c r="R21" s="665" t="s">
        <v>14</v>
      </c>
      <c r="S21" s="666">
        <f>F21</f>
        <v>103</v>
      </c>
      <c r="T21" s="665" t="s">
        <v>14</v>
      </c>
      <c r="U21" s="666">
        <f>H21</f>
        <v>103</v>
      </c>
      <c r="V21" s="665" t="s">
        <v>14</v>
      </c>
      <c r="W21" s="666">
        <f>J21</f>
        <v>103</v>
      </c>
      <c r="X21" s="1262"/>
      <c r="Y21" s="3483"/>
      <c r="Z21" s="1261" t="str">
        <f>Q21</f>
        <v>交通便捷度</v>
      </c>
      <c r="AA21" s="1261">
        <f t="shared" si="3"/>
        <v>0.970873786407767</v>
      </c>
      <c r="AB21" s="1261">
        <f t="shared" si="4"/>
        <v>0.970873786407767</v>
      </c>
      <c r="AC21" s="1261">
        <f t="shared" si="5"/>
        <v>0.970873786407767</v>
      </c>
    </row>
    <row r="22" spans="1:29" ht="15">
      <c r="A22" s="367"/>
      <c r="B22" s="584"/>
      <c r="C22" s="386" t="s">
        <v>5792</v>
      </c>
      <c r="D22" s="389"/>
      <c r="E22" s="1749" t="s">
        <v>5788</v>
      </c>
      <c r="F22" s="387"/>
      <c r="G22" s="1749" t="s">
        <v>5788</v>
      </c>
      <c r="H22" s="387"/>
      <c r="I22" s="1748" t="s">
        <v>5788</v>
      </c>
      <c r="J22" s="387"/>
      <c r="K22" s="590"/>
      <c r="L22" s="2488"/>
      <c r="M22" s="2483"/>
      <c r="N22" s="2483"/>
      <c r="O22" s="2538"/>
      <c r="P22" s="3483"/>
      <c r="Q22" s="1260"/>
      <c r="R22" s="665"/>
      <c r="S22" s="666"/>
      <c r="T22" s="665"/>
      <c r="U22" s="666"/>
      <c r="V22" s="665"/>
      <c r="W22" s="666"/>
      <c r="X22" s="1262"/>
      <c r="Y22" s="3483"/>
      <c r="Z22" s="1261"/>
      <c r="AA22" s="1261">
        <v>1</v>
      </c>
      <c r="AB22" s="1261">
        <v>1</v>
      </c>
      <c r="AC22" s="1261">
        <v>1</v>
      </c>
    </row>
    <row r="23" spans="1:29" ht="15">
      <c r="A23" s="348"/>
      <c r="B23" s="390" t="s">
        <v>1870</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1">
        <v>2</v>
      </c>
      <c r="L23" s="2488"/>
      <c r="M23" s="2483"/>
      <c r="N23" s="2483"/>
      <c r="O23" s="2538"/>
      <c r="P23" s="3483"/>
      <c r="Q23" s="1260" t="str">
        <f t="shared" ref="Q23:Q37" si="8">B23</f>
        <v>区域土地利用方向</v>
      </c>
      <c r="R23" s="665" t="s">
        <v>14</v>
      </c>
      <c r="S23" s="666">
        <f>F23</f>
        <v>100</v>
      </c>
      <c r="T23" s="665" t="s">
        <v>14</v>
      </c>
      <c r="U23" s="666">
        <f>H23</f>
        <v>100</v>
      </c>
      <c r="V23" s="665" t="s">
        <v>14</v>
      </c>
      <c r="W23" s="666">
        <f>J23</f>
        <v>100</v>
      </c>
      <c r="X23" s="1262"/>
      <c r="Y23" s="3483"/>
      <c r="Z23" s="1261" t="str">
        <f>Q23</f>
        <v>区域土地利用方向</v>
      </c>
      <c r="AA23" s="1261">
        <f t="shared" si="3"/>
        <v>1</v>
      </c>
      <c r="AB23" s="1261">
        <f t="shared" si="4"/>
        <v>1</v>
      </c>
      <c r="AC23" s="1261">
        <f t="shared" si="5"/>
        <v>1</v>
      </c>
    </row>
    <row r="24" spans="1:29" ht="15">
      <c r="A24" s="348"/>
      <c r="B24" s="395"/>
      <c r="C24" s="540" t="s">
        <v>5788</v>
      </c>
      <c r="D24" s="387"/>
      <c r="E24" s="1749" t="s">
        <v>5788</v>
      </c>
      <c r="F24" s="387"/>
      <c r="G24" s="1748" t="s">
        <v>5788</v>
      </c>
      <c r="H24" s="387"/>
      <c r="I24" s="1748" t="s">
        <v>5788</v>
      </c>
      <c r="J24" s="387"/>
      <c r="K24" s="695"/>
      <c r="L24" s="2488"/>
      <c r="M24" s="2483"/>
      <c r="N24" s="2483"/>
      <c r="O24" s="2538"/>
      <c r="P24" s="3483"/>
      <c r="Q24" s="1260"/>
      <c r="R24" s="665"/>
      <c r="S24" s="666"/>
      <c r="T24" s="665"/>
      <c r="U24" s="666"/>
      <c r="V24" s="665"/>
      <c r="W24" s="666"/>
      <c r="X24" s="1262"/>
      <c r="Y24" s="3483"/>
      <c r="Z24" s="1261"/>
      <c r="AA24" s="1261"/>
      <c r="AB24" s="1261"/>
      <c r="AC24" s="1261"/>
    </row>
    <row r="25" spans="1:29" ht="27">
      <c r="A25" s="348"/>
      <c r="B25" s="584" t="s">
        <v>1871</v>
      </c>
      <c r="C25" s="1801">
        <f>估价对象房地状况!C20</f>
        <v>0</v>
      </c>
      <c r="D25" s="389">
        <v>100</v>
      </c>
      <c r="E25" s="391"/>
      <c r="F25" s="389">
        <f>SUMIF(97:97,E26,98:98)-SUMIF(97:97,C26,98:98)+100</f>
        <v>100</v>
      </c>
      <c r="G25" s="391"/>
      <c r="H25" s="389">
        <f>SUMIF(97:97,G26,98:98)-SUMIF(97:97,C26,98:98)+100</f>
        <v>100</v>
      </c>
      <c r="I25" s="393"/>
      <c r="J25" s="389">
        <f>SUMIF(97:97,I26,98:98)-SUMIF(97:97,C26,98:98)+100</f>
        <v>100</v>
      </c>
      <c r="K25" s="591">
        <v>3</v>
      </c>
      <c r="L25" s="2488"/>
      <c r="M25" s="2483"/>
      <c r="N25" s="2483"/>
      <c r="O25" s="2538"/>
      <c r="P25" s="3483"/>
      <c r="Q25" s="1260" t="str">
        <f t="shared" si="8"/>
        <v>自然及人文环境状况</v>
      </c>
      <c r="R25" s="665" t="s">
        <v>14</v>
      </c>
      <c r="S25" s="666">
        <f>F25</f>
        <v>100</v>
      </c>
      <c r="T25" s="665" t="s">
        <v>14</v>
      </c>
      <c r="U25" s="666">
        <f>H25</f>
        <v>100</v>
      </c>
      <c r="V25" s="665" t="s">
        <v>14</v>
      </c>
      <c r="W25" s="666">
        <f>J25</f>
        <v>100</v>
      </c>
      <c r="X25" s="1262"/>
      <c r="Y25" s="3483"/>
      <c r="Z25" s="1261" t="str">
        <f>Q25</f>
        <v>自然及人文环境状况</v>
      </c>
      <c r="AA25" s="1261">
        <f t="shared" si="3"/>
        <v>1</v>
      </c>
      <c r="AB25" s="1261">
        <f t="shared" si="4"/>
        <v>1</v>
      </c>
      <c r="AC25" s="1261">
        <f t="shared" si="5"/>
        <v>1</v>
      </c>
    </row>
    <row r="26" spans="1:29" ht="15">
      <c r="A26" s="348"/>
      <c r="B26" s="395"/>
      <c r="C26" s="386" t="s">
        <v>5788</v>
      </c>
      <c r="D26" s="387"/>
      <c r="E26" s="1755" t="s">
        <v>5788</v>
      </c>
      <c r="F26" s="387"/>
      <c r="G26" s="1755" t="s">
        <v>5788</v>
      </c>
      <c r="H26" s="387"/>
      <c r="I26" s="386" t="s">
        <v>5788</v>
      </c>
      <c r="J26" s="387"/>
      <c r="K26" s="590"/>
      <c r="L26" s="2488"/>
      <c r="M26" s="2483"/>
      <c r="N26" s="2483"/>
      <c r="O26" s="2538"/>
      <c r="P26" s="3483"/>
      <c r="Q26" s="1260"/>
      <c r="R26" s="665"/>
      <c r="S26" s="666"/>
      <c r="T26" s="665"/>
      <c r="U26" s="666"/>
      <c r="V26" s="665"/>
      <c r="W26" s="666"/>
      <c r="X26" s="1262"/>
      <c r="Y26" s="3483"/>
      <c r="Z26" s="1261"/>
      <c r="AA26" s="1261">
        <v>1</v>
      </c>
      <c r="AB26" s="1261">
        <v>1</v>
      </c>
      <c r="AC26" s="1261">
        <v>1</v>
      </c>
    </row>
    <row r="27" spans="1:29" s="102" customFormat="1" ht="15">
      <c r="A27" s="441"/>
      <c r="B27" s="584" t="s">
        <v>1778</v>
      </c>
      <c r="C27" s="1751">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1">
        <v>3</v>
      </c>
      <c r="L27" s="2484"/>
      <c r="M27" s="2435"/>
      <c r="N27" s="2435"/>
      <c r="O27" s="2536"/>
      <c r="P27" s="3483"/>
      <c r="Q27" s="528" t="str">
        <f t="shared" si="8"/>
        <v>公共配套设施</v>
      </c>
      <c r="R27" s="662" t="s">
        <v>14</v>
      </c>
      <c r="S27" s="663">
        <f>F27</f>
        <v>100</v>
      </c>
      <c r="T27" s="662" t="s">
        <v>14</v>
      </c>
      <c r="U27" s="663">
        <f>H27</f>
        <v>100</v>
      </c>
      <c r="V27" s="662" t="s">
        <v>14</v>
      </c>
      <c r="W27" s="663">
        <f>J27</f>
        <v>100</v>
      </c>
      <c r="X27" s="664"/>
      <c r="Y27" s="3483"/>
      <c r="Z27" s="50" t="str">
        <f>Q27</f>
        <v>公共配套设施</v>
      </c>
      <c r="AA27" s="1261">
        <f>D27/F27</f>
        <v>1</v>
      </c>
      <c r="AB27" s="1261">
        <f>D27/H27</f>
        <v>1</v>
      </c>
      <c r="AC27" s="1261">
        <f>D27/J27</f>
        <v>1</v>
      </c>
    </row>
    <row r="28" spans="1:29" s="102" customFormat="1" ht="15">
      <c r="A28" s="441"/>
      <c r="B28" s="395"/>
      <c r="C28" s="1821" t="s">
        <v>5788</v>
      </c>
      <c r="D28" s="387"/>
      <c r="E28" s="1755" t="s">
        <v>5788</v>
      </c>
      <c r="F28" s="387"/>
      <c r="G28" s="1755" t="s">
        <v>5788</v>
      </c>
      <c r="H28" s="387"/>
      <c r="I28" s="386" t="s">
        <v>5788</v>
      </c>
      <c r="J28" s="387"/>
      <c r="K28" s="590"/>
      <c r="L28" s="2484"/>
      <c r="M28" s="2435"/>
      <c r="N28" s="2435"/>
      <c r="O28" s="2536"/>
      <c r="P28" s="3483"/>
      <c r="Q28" s="528"/>
      <c r="R28" s="662"/>
      <c r="S28" s="663"/>
      <c r="T28" s="662"/>
      <c r="U28" s="663"/>
      <c r="V28" s="662"/>
      <c r="W28" s="663"/>
      <c r="X28" s="664"/>
      <c r="Y28" s="3483"/>
      <c r="Z28" s="50"/>
      <c r="AA28" s="1261">
        <v>1</v>
      </c>
      <c r="AB28" s="1261">
        <v>1</v>
      </c>
      <c r="AC28" s="1261">
        <v>1</v>
      </c>
    </row>
    <row r="29" spans="1:29" s="102" customFormat="1" ht="15">
      <c r="A29" s="441"/>
      <c r="B29" s="584" t="s">
        <v>1779</v>
      </c>
      <c r="C29" s="1751">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1">
        <v>2</v>
      </c>
      <c r="L29" s="2484"/>
      <c r="M29" s="2435"/>
      <c r="N29" s="2435"/>
      <c r="O29" s="2536"/>
      <c r="P29" s="3483"/>
      <c r="Q29" s="528" t="str">
        <f t="shared" ref="Q29" si="9">B29</f>
        <v>基础设施水平</v>
      </c>
      <c r="R29" s="662" t="s">
        <v>14</v>
      </c>
      <c r="S29" s="663">
        <f>F29</f>
        <v>100</v>
      </c>
      <c r="T29" s="662" t="s">
        <v>14</v>
      </c>
      <c r="U29" s="663">
        <f>H29</f>
        <v>100</v>
      </c>
      <c r="V29" s="662" t="s">
        <v>14</v>
      </c>
      <c r="W29" s="663">
        <f>J29</f>
        <v>100</v>
      </c>
      <c r="X29" s="664"/>
      <c r="Y29" s="3483"/>
      <c r="Z29" s="50" t="str">
        <f>Q29</f>
        <v>基础设施水平</v>
      </c>
      <c r="AA29" s="1261">
        <f>D29/F29</f>
        <v>1</v>
      </c>
      <c r="AB29" s="1261">
        <f>D29/H29</f>
        <v>1</v>
      </c>
      <c r="AC29" s="1261">
        <f>D29/J29</f>
        <v>1</v>
      </c>
    </row>
    <row r="30" spans="1:29" s="102" customFormat="1" ht="15.75" thickBot="1">
      <c r="A30" s="441"/>
      <c r="B30" s="395"/>
      <c r="C30" s="1821" t="s">
        <v>5789</v>
      </c>
      <c r="D30" s="387"/>
      <c r="E30" s="1822" t="s">
        <v>5789</v>
      </c>
      <c r="F30" s="387"/>
      <c r="G30" s="1822" t="s">
        <v>5789</v>
      </c>
      <c r="H30" s="387"/>
      <c r="I30" s="1822" t="s">
        <v>5789</v>
      </c>
      <c r="J30" s="387"/>
      <c r="K30" s="590"/>
      <c r="L30" s="2484"/>
      <c r="M30" s="2435"/>
      <c r="N30" s="2435"/>
      <c r="O30" s="2536"/>
      <c r="P30" s="3483"/>
      <c r="Q30" s="528"/>
      <c r="R30" s="662"/>
      <c r="S30" s="663"/>
      <c r="T30" s="662"/>
      <c r="U30" s="663"/>
      <c r="V30" s="662"/>
      <c r="W30" s="663"/>
      <c r="X30" s="664"/>
      <c r="Y30" s="3483"/>
      <c r="Z30" s="50"/>
      <c r="AA30" s="1261">
        <v>1</v>
      </c>
      <c r="AB30" s="1261">
        <v>1</v>
      </c>
      <c r="AC30" s="1261">
        <v>1</v>
      </c>
    </row>
    <row r="31" spans="1:29" ht="15" hidden="1">
      <c r="A31" s="367"/>
      <c r="B31" s="395" t="s">
        <v>1780</v>
      </c>
      <c r="C31" s="540"/>
      <c r="D31" s="374">
        <v>100</v>
      </c>
      <c r="E31" s="556"/>
      <c r="F31" s="374">
        <f>SUMIF(103:103,E31,104:104)-SUMIF(103:103,C31,104:104)+100</f>
        <v>100</v>
      </c>
      <c r="G31" s="556"/>
      <c r="H31" s="374">
        <f>SUMIF(103:103,G31,104:104)-SUMIF(103:103,C31,104:104)+100</f>
        <v>100</v>
      </c>
      <c r="I31" s="556"/>
      <c r="J31" s="374">
        <f>SUMIF(103:103,I31,104:104)-SUMIF(103:103,C31,104:104)+100</f>
        <v>100</v>
      </c>
      <c r="K31" s="591"/>
      <c r="L31" s="2488"/>
      <c r="M31" s="2483"/>
      <c r="N31" s="2483"/>
      <c r="O31" s="2538"/>
      <c r="P31" s="3483"/>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83"/>
      <c r="Z31" s="1261" t="str">
        <f t="shared" ref="Z31:Z45" si="13">Q31</f>
        <v>临街状况</v>
      </c>
      <c r="AA31" s="1261">
        <f t="shared" si="3"/>
        <v>1</v>
      </c>
      <c r="AB31" s="1261">
        <f t="shared" si="4"/>
        <v>1</v>
      </c>
      <c r="AC31" s="1261">
        <f t="shared" si="5"/>
        <v>1</v>
      </c>
    </row>
    <row r="32" spans="1:29" ht="27" hidden="1">
      <c r="A32" s="367"/>
      <c r="B32" s="584"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1"/>
      <c r="L32" s="2488"/>
      <c r="M32" s="2483"/>
      <c r="N32" s="2483"/>
      <c r="O32" s="2538"/>
      <c r="P32" s="3483"/>
      <c r="Q32" s="1260" t="str">
        <f t="shared" si="8"/>
        <v>毗邻道路的类型与等级</v>
      </c>
      <c r="R32" s="665" t="s">
        <v>14</v>
      </c>
      <c r="S32" s="666">
        <f t="shared" si="10"/>
        <v>100</v>
      </c>
      <c r="T32" s="665" t="s">
        <v>14</v>
      </c>
      <c r="U32" s="666">
        <f t="shared" si="11"/>
        <v>100</v>
      </c>
      <c r="V32" s="665" t="s">
        <v>14</v>
      </c>
      <c r="W32" s="666">
        <f t="shared" si="12"/>
        <v>100</v>
      </c>
      <c r="X32" s="1262"/>
      <c r="Y32" s="3483"/>
      <c r="Z32" s="1261" t="str">
        <f t="shared" si="13"/>
        <v>毗邻道路的类型与等级</v>
      </c>
      <c r="AA32" s="1261">
        <f t="shared" si="3"/>
        <v>1</v>
      </c>
      <c r="AB32" s="1261">
        <f t="shared" si="4"/>
        <v>1</v>
      </c>
      <c r="AC32" s="1261">
        <f t="shared" si="5"/>
        <v>1</v>
      </c>
    </row>
    <row r="33" spans="1:29" ht="15" hidden="1">
      <c r="A33" s="367"/>
      <c r="B33" s="395"/>
      <c r="C33" s="386"/>
      <c r="D33" s="387"/>
      <c r="E33" s="1755"/>
      <c r="F33" s="387"/>
      <c r="G33" s="1755"/>
      <c r="H33" s="387"/>
      <c r="I33" s="386"/>
      <c r="J33" s="387"/>
      <c r="K33" s="537"/>
      <c r="L33" s="2488"/>
      <c r="M33" s="2483"/>
      <c r="N33" s="2483"/>
      <c r="O33" s="2538"/>
      <c r="P33" s="3483"/>
      <c r="Q33" s="1260"/>
      <c r="R33" s="665"/>
      <c r="S33" s="666"/>
      <c r="T33" s="665"/>
      <c r="U33" s="666"/>
      <c r="V33" s="665"/>
      <c r="W33" s="666"/>
      <c r="X33" s="1262"/>
      <c r="Y33" s="3483"/>
      <c r="Z33" s="1261"/>
      <c r="AA33" s="1261">
        <v>1</v>
      </c>
      <c r="AB33" s="1261">
        <v>1</v>
      </c>
      <c r="AC33" s="1261">
        <v>1</v>
      </c>
    </row>
    <row r="34" spans="1:29" ht="15" hidden="1">
      <c r="A34" s="367"/>
      <c r="B34" s="364" t="s">
        <v>1872</v>
      </c>
      <c r="C34" s="540"/>
      <c r="D34" s="374">
        <v>100</v>
      </c>
      <c r="E34" s="556"/>
      <c r="F34" s="374">
        <f>SUMIF(107:107,E34,108:108)-SUMIF(107:107,C34,108:108)+100</f>
        <v>100</v>
      </c>
      <c r="G34" s="556"/>
      <c r="H34" s="374">
        <f>SUMIF(107:107,G34,108:108)-SUMIF(107:107,C34,108:108)+100</f>
        <v>100</v>
      </c>
      <c r="I34" s="540"/>
      <c r="J34" s="374">
        <f>SUMIF(107:107,I34,108:108)-SUMIF(107:107,C34,108:108)+100</f>
        <v>100</v>
      </c>
      <c r="K34" s="536"/>
      <c r="L34" s="2488"/>
      <c r="M34" s="2483"/>
      <c r="N34" s="2483"/>
      <c r="O34" s="2538"/>
      <c r="P34" s="3483"/>
      <c r="Q34" s="1260" t="str">
        <f t="shared" si="8"/>
        <v>土地级别</v>
      </c>
      <c r="R34" s="665" t="s">
        <v>14</v>
      </c>
      <c r="S34" s="666">
        <f t="shared" si="10"/>
        <v>100</v>
      </c>
      <c r="T34" s="665" t="s">
        <v>14</v>
      </c>
      <c r="U34" s="666">
        <f t="shared" si="11"/>
        <v>100</v>
      </c>
      <c r="V34" s="665" t="s">
        <v>14</v>
      </c>
      <c r="W34" s="666">
        <f t="shared" si="12"/>
        <v>100</v>
      </c>
      <c r="X34" s="1262"/>
      <c r="Y34" s="3483"/>
      <c r="Z34" s="1261" t="str">
        <f t="shared" si="13"/>
        <v>土地级别</v>
      </c>
      <c r="AA34" s="1261">
        <f t="shared" si="3"/>
        <v>1</v>
      </c>
      <c r="AB34" s="1261">
        <f t="shared" si="4"/>
        <v>1</v>
      </c>
      <c r="AC34" s="1261">
        <f t="shared" si="5"/>
        <v>1</v>
      </c>
    </row>
    <row r="35" spans="1:29" ht="15" hidden="1">
      <c r="A35" s="348"/>
      <c r="B35" s="1063">
        <v>111</v>
      </c>
      <c r="C35" s="592"/>
      <c r="D35" s="374">
        <v>100</v>
      </c>
      <c r="E35" s="412"/>
      <c r="F35" s="374">
        <f>SUMIF(109:109,E35,110:110)-SUMIF(109:109,C35,110:110)+100</f>
        <v>100</v>
      </c>
      <c r="G35" s="412"/>
      <c r="H35" s="374">
        <f>SUMIF(109:109,G35,110:110)-SUMIF(109:109,C35,110:110)+100</f>
        <v>100</v>
      </c>
      <c r="I35" s="592"/>
      <c r="J35" s="374">
        <f>SUMIF(109:109,I35,110:110)-SUMIF(109:109,C35,110:110)+100</f>
        <v>100</v>
      </c>
      <c r="K35" s="537"/>
      <c r="L35" s="2488"/>
      <c r="M35" s="2483"/>
      <c r="N35" s="2483"/>
      <c r="O35" s="2538"/>
      <c r="P35" s="3483"/>
      <c r="Q35" s="1260">
        <f t="shared" si="8"/>
        <v>111</v>
      </c>
      <c r="R35" s="665" t="s">
        <v>14</v>
      </c>
      <c r="S35" s="666">
        <f t="shared" si="10"/>
        <v>100</v>
      </c>
      <c r="T35" s="665" t="s">
        <v>14</v>
      </c>
      <c r="U35" s="666">
        <f t="shared" si="11"/>
        <v>100</v>
      </c>
      <c r="V35" s="665" t="s">
        <v>14</v>
      </c>
      <c r="W35" s="666">
        <f t="shared" si="12"/>
        <v>100</v>
      </c>
      <c r="X35" s="1262"/>
      <c r="Y35" s="3483"/>
      <c r="Z35" s="1261">
        <f t="shared" si="13"/>
        <v>111</v>
      </c>
      <c r="AA35" s="1261">
        <f t="shared" si="3"/>
        <v>1</v>
      </c>
      <c r="AB35" s="1261">
        <f t="shared" si="4"/>
        <v>1</v>
      </c>
      <c r="AC35" s="1261">
        <f t="shared" si="5"/>
        <v>1</v>
      </c>
    </row>
    <row r="36" spans="1:29" ht="15" hidden="1">
      <c r="A36" s="593"/>
      <c r="B36" s="1064">
        <v>111</v>
      </c>
      <c r="C36" s="592"/>
      <c r="D36" s="374">
        <v>100</v>
      </c>
      <c r="E36" s="412"/>
      <c r="F36" s="374">
        <f>SUMIF(111:111,E37,112:112)-SUMIF(111:111,C37,112:112)+100</f>
        <v>100</v>
      </c>
      <c r="G36" s="412"/>
      <c r="H36" s="374">
        <f>SUMIF(111:111,G36,112:112)-SUMIF(111:111,C36,112:112)+100</f>
        <v>100</v>
      </c>
      <c r="I36" s="592"/>
      <c r="J36" s="374">
        <f>SUMIF(111:111,I36,112:112)-SUMIF(111:111,C36,112:112)+100</f>
        <v>100</v>
      </c>
      <c r="K36" s="537"/>
      <c r="L36" s="2488"/>
      <c r="M36" s="2483"/>
      <c r="N36" s="2483"/>
      <c r="O36" s="2538"/>
      <c r="P36" s="3484" t="s">
        <v>1696</v>
      </c>
      <c r="Q36" s="1260">
        <f t="shared" si="8"/>
        <v>111</v>
      </c>
      <c r="R36" s="665" t="s">
        <v>14</v>
      </c>
      <c r="S36" s="666">
        <f t="shared" si="10"/>
        <v>100</v>
      </c>
      <c r="T36" s="665" t="s">
        <v>14</v>
      </c>
      <c r="U36" s="666">
        <f t="shared" si="11"/>
        <v>100</v>
      </c>
      <c r="V36" s="665" t="s">
        <v>14</v>
      </c>
      <c r="W36" s="666">
        <f t="shared" si="12"/>
        <v>100</v>
      </c>
      <c r="X36" s="1262"/>
      <c r="Y36" s="3485" t="s">
        <v>1696</v>
      </c>
      <c r="Z36" s="1261">
        <f t="shared" si="13"/>
        <v>111</v>
      </c>
      <c r="AA36" s="1261">
        <f t="shared" si="3"/>
        <v>1</v>
      </c>
      <c r="AB36" s="1261">
        <f t="shared" si="4"/>
        <v>1</v>
      </c>
      <c r="AC36" s="1261">
        <f t="shared" si="5"/>
        <v>1</v>
      </c>
    </row>
    <row r="37" spans="1:29" s="408" customFormat="1" ht="15.75" hidden="1" thickBot="1">
      <c r="A37" s="594"/>
      <c r="B37" s="1065">
        <v>111</v>
      </c>
      <c r="C37" s="596"/>
      <c r="D37" s="120">
        <v>100</v>
      </c>
      <c r="E37" s="619"/>
      <c r="F37" s="377">
        <f>SUMIF(113:113,E37,114:114)-SUMIF(113:113,C37,114:114)+100</f>
        <v>100</v>
      </c>
      <c r="G37" s="619"/>
      <c r="H37" s="377">
        <f>SUMIF(113:113,G37,114:114)-SUMIF(113:113,C37,114:114)+100</f>
        <v>100</v>
      </c>
      <c r="I37" s="596"/>
      <c r="J37" s="377">
        <f>SUMIF(113:113,I37,114:114)-SUMIF(113:113,C37,114:114)+100</f>
        <v>100</v>
      </c>
      <c r="K37" s="537"/>
      <c r="L37" s="2487"/>
      <c r="M37" s="2489"/>
      <c r="N37" s="2489"/>
      <c r="O37" s="2539"/>
      <c r="P37" s="3485"/>
      <c r="Q37" s="1260">
        <f t="shared" si="8"/>
        <v>111</v>
      </c>
      <c r="R37" s="667" t="s">
        <v>14</v>
      </c>
      <c r="S37" s="668">
        <f t="shared" si="10"/>
        <v>100</v>
      </c>
      <c r="T37" s="667" t="s">
        <v>14</v>
      </c>
      <c r="U37" s="668">
        <f t="shared" si="11"/>
        <v>100</v>
      </c>
      <c r="V37" s="667" t="s">
        <v>14</v>
      </c>
      <c r="W37" s="668">
        <f t="shared" si="12"/>
        <v>100</v>
      </c>
      <c r="X37" s="669"/>
      <c r="Y37" s="3485"/>
      <c r="Z37" s="670">
        <f t="shared" si="13"/>
        <v>111</v>
      </c>
      <c r="AA37" s="1261">
        <f t="shared" si="3"/>
        <v>1</v>
      </c>
      <c r="AB37" s="1261">
        <f t="shared" si="4"/>
        <v>1</v>
      </c>
      <c r="AC37" s="1261">
        <f t="shared" si="5"/>
        <v>1</v>
      </c>
    </row>
    <row r="38" spans="1:29" ht="15">
      <c r="A38" s="409" t="s">
        <v>1694</v>
      </c>
      <c r="B38" s="395" t="s">
        <v>1873</v>
      </c>
      <c r="C38" s="597">
        <v>73887.39</v>
      </c>
      <c r="D38" s="405">
        <v>100</v>
      </c>
      <c r="E38" s="597">
        <v>39737.800000000003</v>
      </c>
      <c r="F38" s="405">
        <f>LOOKUP(E38,116:116,117:117)-LOOKUP(C38,116:116,117:117)+100</f>
        <v>98</v>
      </c>
      <c r="G38" s="597">
        <v>42734.16</v>
      </c>
      <c r="H38" s="405">
        <f>LOOKUP(G38,116:116,117:117)-LOOKUP(C38,116:116,117:117)+100</f>
        <v>98</v>
      </c>
      <c r="I38" s="460">
        <v>39303.71</v>
      </c>
      <c r="J38" s="405">
        <f>LOOKUP(I38,116:116,117:117)-LOOKUP(C38,116:116,117:117)+100</f>
        <v>98</v>
      </c>
      <c r="K38" s="537"/>
      <c r="L38" s="2488"/>
      <c r="M38" s="2483"/>
      <c r="N38" s="2483"/>
      <c r="O38" s="2538"/>
      <c r="P38" s="3485"/>
      <c r="Q38" s="1260" t="str">
        <f>B38</f>
        <v>宗地面积</v>
      </c>
      <c r="R38" s="665" t="s">
        <v>14</v>
      </c>
      <c r="S38" s="666">
        <f t="shared" si="10"/>
        <v>98</v>
      </c>
      <c r="T38" s="665" t="s">
        <v>14</v>
      </c>
      <c r="U38" s="666">
        <f t="shared" si="11"/>
        <v>98</v>
      </c>
      <c r="V38" s="665" t="s">
        <v>14</v>
      </c>
      <c r="W38" s="666">
        <f t="shared" si="12"/>
        <v>98</v>
      </c>
      <c r="X38" s="1262"/>
      <c r="Y38" s="3485"/>
      <c r="Z38" s="1261" t="str">
        <f t="shared" si="13"/>
        <v>宗地面积</v>
      </c>
      <c r="AA38" s="1261">
        <f t="shared" si="3"/>
        <v>1.0204081632653061</v>
      </c>
      <c r="AB38" s="1261">
        <f t="shared" si="4"/>
        <v>1.0204081632653061</v>
      </c>
      <c r="AC38" s="1261">
        <f t="shared" si="5"/>
        <v>1.0204081632653061</v>
      </c>
    </row>
    <row r="39" spans="1:29" ht="15">
      <c r="A39" s="409"/>
      <c r="B39" s="364" t="s">
        <v>1874</v>
      </c>
      <c r="C39" s="1757" t="s">
        <v>5795</v>
      </c>
      <c r="D39" s="374">
        <v>100</v>
      </c>
      <c r="E39" s="1757" t="s">
        <v>5790</v>
      </c>
      <c r="F39" s="374">
        <f>SUMIF(118:118,E39,119:119)-SUMIF(118:118,C39,119:119)+100</f>
        <v>104</v>
      </c>
      <c r="G39" s="1757" t="s">
        <v>5790</v>
      </c>
      <c r="H39" s="374">
        <f>SUMIF(118:118,G39,119:119)-SUMIF(118:118,C39,119:119)+100</f>
        <v>104</v>
      </c>
      <c r="I39" s="1757" t="s">
        <v>5790</v>
      </c>
      <c r="J39" s="374">
        <f>SUMIF(118:118,I39,119:119)-SUMIF(118:118,C39,119:119)+100</f>
        <v>104</v>
      </c>
      <c r="K39" s="536">
        <v>2</v>
      </c>
      <c r="L39" s="2488"/>
      <c r="M39" s="2483"/>
      <c r="N39" s="2483"/>
      <c r="O39" s="2538"/>
      <c r="P39" s="3485"/>
      <c r="Q39" s="1260" t="str">
        <f t="shared" ref="Q39:Q45" si="14">B39</f>
        <v>宗地形状</v>
      </c>
      <c r="R39" s="665" t="s">
        <v>14</v>
      </c>
      <c r="S39" s="666">
        <f t="shared" si="10"/>
        <v>104</v>
      </c>
      <c r="T39" s="665" t="s">
        <v>14</v>
      </c>
      <c r="U39" s="666">
        <f t="shared" si="11"/>
        <v>104</v>
      </c>
      <c r="V39" s="665" t="s">
        <v>14</v>
      </c>
      <c r="W39" s="666">
        <f t="shared" si="12"/>
        <v>104</v>
      </c>
      <c r="X39" s="1262"/>
      <c r="Y39" s="3485"/>
      <c r="Z39" s="1261" t="str">
        <f t="shared" si="13"/>
        <v>宗地形状</v>
      </c>
      <c r="AA39" s="1261">
        <f t="shared" si="3"/>
        <v>0.96153846153846156</v>
      </c>
      <c r="AB39" s="1261">
        <f t="shared" si="4"/>
        <v>0.96153846153846156</v>
      </c>
      <c r="AC39" s="1261">
        <f t="shared" si="5"/>
        <v>0.96153846153846156</v>
      </c>
    </row>
    <row r="40" spans="1:29" ht="15">
      <c r="A40" s="409"/>
      <c r="B40" s="364" t="s">
        <v>1875</v>
      </c>
      <c r="C40" s="1757" t="s">
        <v>5788</v>
      </c>
      <c r="D40" s="374">
        <v>100</v>
      </c>
      <c r="E40" s="1757" t="s">
        <v>5788</v>
      </c>
      <c r="F40" s="374">
        <f>SUMIF(120:120,E40,121:121)-SUMIF(120:120,C40,121:121)+100</f>
        <v>100</v>
      </c>
      <c r="G40" s="1757" t="s">
        <v>5788</v>
      </c>
      <c r="H40" s="374">
        <f>SUMIF(120:120,G40,121:121)-SUMIF(120:120,C40,121:121)+100</f>
        <v>100</v>
      </c>
      <c r="I40" s="1757" t="s">
        <v>5788</v>
      </c>
      <c r="J40" s="374">
        <f>SUMIF(120:120,I40,121:121)-SUMIF(120:120,C40,121:121)+100</f>
        <v>100</v>
      </c>
      <c r="K40" s="536">
        <v>2</v>
      </c>
      <c r="L40" s="2488"/>
      <c r="M40" s="2483"/>
      <c r="N40" s="2483"/>
      <c r="O40" s="2538"/>
      <c r="P40" s="3485"/>
      <c r="Q40" s="1260" t="str">
        <f t="shared" si="14"/>
        <v>临街宽度及深度</v>
      </c>
      <c r="R40" s="665" t="s">
        <v>14</v>
      </c>
      <c r="S40" s="666">
        <f t="shared" si="10"/>
        <v>100</v>
      </c>
      <c r="T40" s="665" t="s">
        <v>14</v>
      </c>
      <c r="U40" s="666">
        <f t="shared" si="11"/>
        <v>100</v>
      </c>
      <c r="V40" s="665" t="s">
        <v>14</v>
      </c>
      <c r="W40" s="666">
        <f t="shared" si="12"/>
        <v>100</v>
      </c>
      <c r="X40" s="1262"/>
      <c r="Y40" s="3485"/>
      <c r="Z40" s="1261" t="str">
        <f t="shared" si="13"/>
        <v>临街宽度及深度</v>
      </c>
      <c r="AA40" s="1261">
        <f t="shared" si="3"/>
        <v>1</v>
      </c>
      <c r="AB40" s="1261">
        <f t="shared" si="4"/>
        <v>1</v>
      </c>
      <c r="AC40" s="1261">
        <f t="shared" si="5"/>
        <v>1</v>
      </c>
    </row>
    <row r="41" spans="1:29" s="102" customFormat="1" ht="15">
      <c r="A41" s="410"/>
      <c r="B41" s="364" t="s">
        <v>1876</v>
      </c>
      <c r="C41" s="3189" t="s">
        <v>5791</v>
      </c>
      <c r="D41" s="119">
        <v>100</v>
      </c>
      <c r="E41" s="1823" t="s">
        <v>5791</v>
      </c>
      <c r="F41" s="374">
        <f>SUMIF(122:122,E41,123:123)-SUMIF(122:122,C41,123:123)+100</f>
        <v>100</v>
      </c>
      <c r="G41" s="1823" t="s">
        <v>5789</v>
      </c>
      <c r="H41" s="374">
        <f>SUMIF(122:122,G41,123:123)-SUMIF(122:122,C41,123:123)+100</f>
        <v>102</v>
      </c>
      <c r="I41" s="1823" t="s">
        <v>5789</v>
      </c>
      <c r="J41" s="374">
        <f>SUMIF(122:122,I41,123:123)-SUMIF(122:122,C41,123:123)+100</f>
        <v>102</v>
      </c>
      <c r="K41" s="536">
        <v>2</v>
      </c>
      <c r="L41" s="2484"/>
      <c r="M41" s="2435"/>
      <c r="N41" s="2435"/>
      <c r="O41" s="2536"/>
      <c r="P41" s="3485"/>
      <c r="Q41" s="1260" t="str">
        <f t="shared" si="14"/>
        <v>宗地开发程度</v>
      </c>
      <c r="R41" s="662" t="s">
        <v>14</v>
      </c>
      <c r="S41" s="663">
        <f t="shared" si="10"/>
        <v>100</v>
      </c>
      <c r="T41" s="662" t="s">
        <v>14</v>
      </c>
      <c r="U41" s="663">
        <f t="shared" si="11"/>
        <v>102</v>
      </c>
      <c r="V41" s="662" t="s">
        <v>14</v>
      </c>
      <c r="W41" s="663">
        <f t="shared" si="12"/>
        <v>102</v>
      </c>
      <c r="X41" s="664"/>
      <c r="Y41" s="3485"/>
      <c r="Z41" s="50" t="str">
        <f t="shared" si="13"/>
        <v>宗地开发程度</v>
      </c>
      <c r="AA41" s="50">
        <f t="shared" si="3"/>
        <v>1</v>
      </c>
      <c r="AB41" s="50">
        <f t="shared" si="4"/>
        <v>0.98039215686274506</v>
      </c>
      <c r="AC41" s="50">
        <f t="shared" si="5"/>
        <v>0.98039215686274506</v>
      </c>
    </row>
    <row r="42" spans="1:29" ht="15.75" thickBot="1">
      <c r="A42" s="409"/>
      <c r="B42" s="364" t="s">
        <v>1877</v>
      </c>
      <c r="C42" s="1757" t="s">
        <v>5788</v>
      </c>
      <c r="D42" s="374">
        <v>100</v>
      </c>
      <c r="E42" s="1757" t="s">
        <v>5788</v>
      </c>
      <c r="F42" s="374">
        <f>SUMIF(124:124,E42,125:125)-SUMIF(124:124,C42,125:125)+100</f>
        <v>100</v>
      </c>
      <c r="G42" s="1757" t="s">
        <v>5788</v>
      </c>
      <c r="H42" s="374">
        <f>SUMIF(124:124,G42,125:125)-SUMIF(124:124,C42,125:125)+100</f>
        <v>100</v>
      </c>
      <c r="I42" s="1757" t="s">
        <v>5788</v>
      </c>
      <c r="J42" s="374">
        <f>SUMIF(124:124,I42,125:125)-SUMIF(124:124,C42,125:125)+100</f>
        <v>100</v>
      </c>
      <c r="K42" s="536">
        <v>2</v>
      </c>
      <c r="L42" s="2488"/>
      <c r="M42" s="2483"/>
      <c r="N42" s="2483"/>
      <c r="O42" s="2538"/>
      <c r="P42" s="3485" t="s">
        <v>1696</v>
      </c>
      <c r="Q42" s="1260" t="str">
        <f t="shared" si="14"/>
        <v>工程地质条件</v>
      </c>
      <c r="R42" s="665" t="s">
        <v>14</v>
      </c>
      <c r="S42" s="666">
        <f t="shared" si="10"/>
        <v>100</v>
      </c>
      <c r="T42" s="665" t="s">
        <v>14</v>
      </c>
      <c r="U42" s="666">
        <f t="shared" si="11"/>
        <v>100</v>
      </c>
      <c r="V42" s="665" t="s">
        <v>14</v>
      </c>
      <c r="W42" s="666">
        <f t="shared" si="12"/>
        <v>100</v>
      </c>
      <c r="X42" s="1262"/>
      <c r="Y42" s="3485" t="s">
        <v>1696</v>
      </c>
      <c r="Z42" s="1261" t="str">
        <f t="shared" si="13"/>
        <v>工程地质条件</v>
      </c>
      <c r="AA42" s="1261">
        <f t="shared" si="3"/>
        <v>1</v>
      </c>
      <c r="AB42" s="1261">
        <f t="shared" si="4"/>
        <v>1</v>
      </c>
      <c r="AC42" s="1261">
        <f t="shared" si="5"/>
        <v>1</v>
      </c>
    </row>
    <row r="43" spans="1:29" ht="15" hidden="1">
      <c r="A43" s="409"/>
      <c r="B43" s="1064">
        <v>111</v>
      </c>
      <c r="C43" s="592"/>
      <c r="D43" s="374">
        <v>100</v>
      </c>
      <c r="E43" s="592"/>
      <c r="F43" s="374">
        <f>SUMIF(126:126,E43,127:127)-SUMIF(126:126,C43,127:127)+100</f>
        <v>100</v>
      </c>
      <c r="G43" s="592"/>
      <c r="H43" s="374">
        <f>SUMIF(126:126,G43,127:127)-SUMIF(126:126,C43,127:127)+100</f>
        <v>100</v>
      </c>
      <c r="I43" s="478"/>
      <c r="J43" s="374">
        <f>SUMIF(126:126,I43,127:127)-SUMIF(126:126,C43,127:127)+100</f>
        <v>100</v>
      </c>
      <c r="K43" s="537"/>
      <c r="L43" s="2488"/>
      <c r="M43" s="2483"/>
      <c r="N43" s="2483"/>
      <c r="O43" s="2538"/>
      <c r="P43" s="3485"/>
      <c r="Q43" s="1260">
        <f t="shared" si="14"/>
        <v>111</v>
      </c>
      <c r="R43" s="665" t="s">
        <v>14</v>
      </c>
      <c r="S43" s="666">
        <f t="shared" si="10"/>
        <v>100</v>
      </c>
      <c r="T43" s="665" t="s">
        <v>14</v>
      </c>
      <c r="U43" s="666">
        <f t="shared" si="11"/>
        <v>100</v>
      </c>
      <c r="V43" s="665" t="s">
        <v>14</v>
      </c>
      <c r="W43" s="666">
        <f t="shared" si="12"/>
        <v>100</v>
      </c>
      <c r="X43" s="1262"/>
      <c r="Y43" s="3485"/>
      <c r="Z43" s="1261">
        <f t="shared" si="13"/>
        <v>111</v>
      </c>
      <c r="AA43" s="1261">
        <f t="shared" si="3"/>
        <v>1</v>
      </c>
      <c r="AB43" s="1261">
        <f t="shared" si="4"/>
        <v>1</v>
      </c>
      <c r="AC43" s="1261">
        <f t="shared" si="5"/>
        <v>1</v>
      </c>
    </row>
    <row r="44" spans="1:29" ht="15" hidden="1">
      <c r="A44" s="409"/>
      <c r="B44" s="1064">
        <v>111</v>
      </c>
      <c r="C44" s="592"/>
      <c r="D44" s="374">
        <v>100</v>
      </c>
      <c r="E44" s="592"/>
      <c r="F44" s="374">
        <f>SUMIF(128:128,E44,129:129)-SUMIF(128:128,C44,129:129)+100</f>
        <v>100</v>
      </c>
      <c r="G44" s="592"/>
      <c r="H44" s="374">
        <f>SUMIF(128:128,G44,129:129)-SUMIF(128:128,C44,129:129)+100</f>
        <v>100</v>
      </c>
      <c r="I44" s="478"/>
      <c r="J44" s="374">
        <f>SUMIF(128:128,I44,129:129)-SUMIF(128:128,C44,129:129)+100</f>
        <v>100</v>
      </c>
      <c r="K44" s="537"/>
      <c r="L44" s="2488"/>
      <c r="M44" s="2483"/>
      <c r="N44" s="2483"/>
      <c r="O44" s="2538"/>
      <c r="P44" s="3485"/>
      <c r="Q44" s="1260">
        <f t="shared" si="14"/>
        <v>111</v>
      </c>
      <c r="R44" s="665" t="s">
        <v>14</v>
      </c>
      <c r="S44" s="666">
        <f t="shared" si="10"/>
        <v>100</v>
      </c>
      <c r="T44" s="665" t="s">
        <v>14</v>
      </c>
      <c r="U44" s="666">
        <f t="shared" si="11"/>
        <v>100</v>
      </c>
      <c r="V44" s="665" t="s">
        <v>14</v>
      </c>
      <c r="W44" s="666">
        <f t="shared" si="12"/>
        <v>100</v>
      </c>
      <c r="X44" s="1262"/>
      <c r="Y44" s="3485"/>
      <c r="Z44" s="1261">
        <f t="shared" si="13"/>
        <v>111</v>
      </c>
      <c r="AA44" s="1261">
        <f t="shared" si="3"/>
        <v>1</v>
      </c>
      <c r="AB44" s="1261">
        <f t="shared" si="4"/>
        <v>1</v>
      </c>
      <c r="AC44" s="1261">
        <f t="shared" si="5"/>
        <v>1</v>
      </c>
    </row>
    <row r="45" spans="1:29" s="408" customFormat="1" ht="15.75" hidden="1" thickBot="1">
      <c r="A45" s="406"/>
      <c r="B45" s="1064">
        <v>111</v>
      </c>
      <c r="C45" s="1824"/>
      <c r="D45" s="598">
        <v>100</v>
      </c>
      <c r="E45" s="592"/>
      <c r="F45" s="377">
        <f>SUMIF(130:130,E45,131:131)-SUMIF(130:130,C45,131:131)+100</f>
        <v>100</v>
      </c>
      <c r="G45" s="592"/>
      <c r="H45" s="377">
        <f>SUMIF(130:130,G45,131:131)-SUMIF(130:130,C45,131:131)+100</f>
        <v>100</v>
      </c>
      <c r="I45" s="592"/>
      <c r="J45" s="377">
        <f>SUMIF(130:130,I45,131:131)-SUMIF(130:130,C45,131:131)+100</f>
        <v>100</v>
      </c>
      <c r="K45" s="599"/>
      <c r="L45" s="2487"/>
      <c r="M45" s="2489"/>
      <c r="N45" s="2489"/>
      <c r="O45" s="2539"/>
      <c r="P45" s="3485"/>
      <c r="Q45" s="1260">
        <f t="shared" si="14"/>
        <v>111</v>
      </c>
      <c r="R45" s="667" t="s">
        <v>14</v>
      </c>
      <c r="S45" s="668">
        <f t="shared" si="10"/>
        <v>100</v>
      </c>
      <c r="T45" s="667" t="s">
        <v>14</v>
      </c>
      <c r="U45" s="668">
        <f t="shared" si="11"/>
        <v>100</v>
      </c>
      <c r="V45" s="667" t="s">
        <v>14</v>
      </c>
      <c r="W45" s="668">
        <f t="shared" si="12"/>
        <v>100</v>
      </c>
      <c r="X45" s="669"/>
      <c r="Y45" s="3485"/>
      <c r="Z45" s="670">
        <f t="shared" si="13"/>
        <v>111</v>
      </c>
      <c r="AA45" s="1261">
        <f t="shared" si="3"/>
        <v>1</v>
      </c>
      <c r="AB45" s="1261">
        <f t="shared" si="4"/>
        <v>1</v>
      </c>
      <c r="AC45" s="1261">
        <f t="shared" si="5"/>
        <v>1</v>
      </c>
    </row>
    <row r="46" spans="1:29" ht="15">
      <c r="A46" s="414" t="s">
        <v>1844</v>
      </c>
      <c r="B46" s="1825" t="s">
        <v>1878</v>
      </c>
      <c r="C46" s="600" t="s">
        <v>0</v>
      </c>
      <c r="D46" s="416"/>
      <c r="E46" s="417">
        <v>102347</v>
      </c>
      <c r="F46" s="418"/>
      <c r="G46" s="419">
        <v>89234</v>
      </c>
      <c r="H46" s="420"/>
      <c r="I46" s="417">
        <v>95047</v>
      </c>
      <c r="J46" s="420"/>
      <c r="K46" s="672"/>
      <c r="L46" s="2490"/>
      <c r="M46" s="2483"/>
      <c r="N46" s="2483"/>
      <c r="O46" s="2483"/>
      <c r="P46" s="3467" t="str">
        <f>A46</f>
        <v>成交单价</v>
      </c>
      <c r="Q46" s="3467"/>
      <c r="R46" s="3480">
        <f>E46</f>
        <v>102347</v>
      </c>
      <c r="S46" s="3480"/>
      <c r="T46" s="3480">
        <f>G46</f>
        <v>89234</v>
      </c>
      <c r="U46" s="3480"/>
      <c r="V46" s="3480">
        <f>I46</f>
        <v>95047</v>
      </c>
      <c r="W46" s="3480"/>
      <c r="X46" s="385"/>
      <c r="Y46" s="671"/>
      <c r="Z46" s="385"/>
      <c r="AA46" s="385"/>
      <c r="AB46" s="385"/>
      <c r="AC46" s="385"/>
    </row>
    <row r="47" spans="1:29" ht="15.75" thickBot="1">
      <c r="A47" s="421" t="s">
        <v>1793</v>
      </c>
      <c r="B47" s="601"/>
      <c r="C47" s="424">
        <f>R48</f>
        <v>85060</v>
      </c>
      <c r="D47" s="2136" t="s">
        <v>2137</v>
      </c>
      <c r="E47" s="424">
        <f>R47</f>
        <v>88720</v>
      </c>
      <c r="F47" s="2137"/>
      <c r="G47" s="423">
        <f>T47</f>
        <v>80604</v>
      </c>
      <c r="H47" s="2137"/>
      <c r="I47" s="424">
        <f>V47</f>
        <v>85855</v>
      </c>
      <c r="J47" s="2137"/>
      <c r="K47" s="2139">
        <f>F47+H47+J47</f>
        <v>0</v>
      </c>
      <c r="L47" s="2490"/>
      <c r="M47" s="2483"/>
      <c r="N47" s="2483"/>
      <c r="O47" s="2483"/>
      <c r="P47" s="3467" t="str">
        <f>A47</f>
        <v>比较价值（元/平方米）</v>
      </c>
      <c r="Q47" s="3467"/>
      <c r="R47" s="3486">
        <f>ROUND(PRODUCT(R46,AA7:AA45),0)</f>
        <v>88720</v>
      </c>
      <c r="S47" s="3486"/>
      <c r="T47" s="3486">
        <f>ROUND(PRODUCT(T46,AB7:AB45),0)</f>
        <v>80604</v>
      </c>
      <c r="U47" s="3486"/>
      <c r="V47" s="3486">
        <f>ROUND(PRODUCT(V46,AC7:AC45),0)</f>
        <v>85855</v>
      </c>
      <c r="W47" s="3486"/>
      <c r="X47" s="385"/>
      <c r="Y47" s="385"/>
      <c r="Z47" s="385"/>
      <c r="AA47" s="385"/>
      <c r="AB47" s="385"/>
      <c r="AC47" s="385"/>
    </row>
    <row r="48" spans="1:29" ht="15.75" thickBot="1">
      <c r="A48" s="425" t="s">
        <v>1879</v>
      </c>
      <c r="B48" s="426"/>
      <c r="C48" s="427">
        <f>R48</f>
        <v>85060</v>
      </c>
      <c r="D48" s="427"/>
      <c r="E48" s="427"/>
      <c r="F48" s="427"/>
      <c r="G48" s="427"/>
      <c r="H48" s="427"/>
      <c r="I48" s="427"/>
      <c r="J48" s="427"/>
      <c r="K48" s="673"/>
      <c r="L48" s="2490"/>
      <c r="M48" s="2483"/>
      <c r="N48" s="2483"/>
      <c r="O48" s="2483"/>
      <c r="P48" s="3487" t="str">
        <f>A48</f>
        <v>估价对象XX用房的比较价值（楼面单价，元/平方米）</v>
      </c>
      <c r="Q48" s="3488"/>
      <c r="R48" s="3489">
        <f>ROUND(IF(D47="简单平均",AVERAGE(R47:W47),R47*F47+T47*H47+V47*J47),0)</f>
        <v>85060</v>
      </c>
      <c r="S48" s="3489"/>
      <c r="T48" s="3489"/>
      <c r="U48" s="3489"/>
      <c r="V48" s="3489"/>
      <c r="W48" s="3489"/>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5">
      <c r="A51" s="2483"/>
      <c r="B51" s="2483"/>
      <c r="C51" s="430" t="s">
        <v>1795</v>
      </c>
      <c r="D51" s="431"/>
      <c r="E51" s="432">
        <f>IF(E46&lt;E47,E47/E46-1,E46/E47-1)</f>
        <v>0.1535955816050496</v>
      </c>
      <c r="F51" s="433" t="str">
        <f>IF(OR(E51&gt;=0.3,E51&lt;=-0.3),"超过30%","")</f>
        <v/>
      </c>
      <c r="G51" s="432">
        <f>IF(G46&lt;G47,G47/G46-1,G46/G47-1)</f>
        <v>0.1070666468165351</v>
      </c>
      <c r="H51" s="433" t="str">
        <f>IF(OR(G51&gt;=0.3,G51&lt;=-0.3),"超过30%","")</f>
        <v/>
      </c>
      <c r="I51" s="432">
        <f>IF(I46&lt;I47,I47/I46-1,I46/I47-1)</f>
        <v>0.10706423621221828</v>
      </c>
      <c r="J51" s="433" t="str">
        <f>IF(OR(I51&gt;=0.3,I51&lt;=-0.3),"超过30%","")</f>
        <v/>
      </c>
      <c r="K51" s="2495"/>
      <c r="L51" s="2491"/>
      <c r="M51" s="2483"/>
      <c r="N51" s="2483"/>
      <c r="O51" s="2483"/>
      <c r="P51" s="2483"/>
      <c r="Q51" s="2483"/>
      <c r="R51" s="2483"/>
      <c r="S51" s="2483"/>
      <c r="T51" s="2483"/>
      <c r="U51" s="2483"/>
      <c r="V51" s="2483"/>
      <c r="W51" s="2483"/>
      <c r="X51" s="2483"/>
      <c r="Y51" s="2483"/>
      <c r="Z51" s="2483"/>
      <c r="AA51" s="2483"/>
      <c r="AB51" s="2483"/>
      <c r="AC51" s="2483"/>
    </row>
    <row r="52" spans="1:29" ht="15">
      <c r="A52" s="2483"/>
      <c r="B52" s="2483"/>
      <c r="C52" s="430" t="s">
        <v>1796</v>
      </c>
      <c r="D52" s="434"/>
      <c r="E52" s="432">
        <f>IF(E47&lt;G47,G47/E47-1,E47/G47-1)</f>
        <v>0.10068979206987239</v>
      </c>
      <c r="F52" s="433" t="str">
        <f>IF(OR(E52&gt;=0.2,E52&lt;=-0.2),"超过20%","")</f>
        <v/>
      </c>
      <c r="G52" s="432">
        <f>IF(G47&lt;I47,I47/G47-1,G47/I47-1)</f>
        <v>6.514565033993347E-2</v>
      </c>
      <c r="H52" s="433" t="str">
        <f>IF(OR(G52&gt;=0.2,G52&lt;=-0.2),"超过20%","")</f>
        <v/>
      </c>
      <c r="I52" s="432">
        <f>IF(I47&lt;E47,E47/I47-1,I47/E47-1)</f>
        <v>3.3370217226719401E-2</v>
      </c>
      <c r="J52" s="433" t="str">
        <f>IF(OR(I52&gt;=0.2,I52&lt;=-0.2),"超过20%","")</f>
        <v/>
      </c>
      <c r="K52" s="2495"/>
      <c r="L52" s="2491"/>
      <c r="M52" s="2483"/>
      <c r="N52" s="2483"/>
      <c r="O52" s="2483"/>
      <c r="P52" s="2483"/>
      <c r="Q52" s="2483"/>
      <c r="R52" s="2483"/>
      <c r="S52" s="2483"/>
      <c r="T52" s="2483"/>
      <c r="U52" s="2483"/>
      <c r="V52" s="2483"/>
      <c r="W52" s="2483"/>
      <c r="X52" s="2483"/>
      <c r="Y52" s="2483"/>
      <c r="Z52" s="2483"/>
      <c r="AA52" s="2483"/>
      <c r="AB52" s="2483"/>
      <c r="AC52" s="2483"/>
    </row>
    <row r="53" spans="1:29" s="435" customFormat="1" ht="15">
      <c r="A53" s="2493"/>
      <c r="B53" s="2493"/>
      <c r="C53" s="430" t="s">
        <v>1797</v>
      </c>
      <c r="D53" s="434"/>
      <c r="E53" s="432">
        <f>IF(E46&lt;G46,G46/E46-1,E46/G46-1)</f>
        <v>0.14695071385346403</v>
      </c>
      <c r="F53" s="433" t="str">
        <f>IF(OR(E53&gt;=0.3,E53&lt;=-0.3),"超过30%","")</f>
        <v/>
      </c>
      <c r="G53" s="432">
        <f>IF(G46&lt;I46,I46/G46-1,G46/I46-1)</f>
        <v>6.5143331017325279E-2</v>
      </c>
      <c r="H53" s="433" t="str">
        <f>IF(OR(G53&gt;=0.3,G53&lt;=-0.3),"超过30%","")</f>
        <v/>
      </c>
      <c r="I53" s="432">
        <f>IF(I46&lt;E46,E46/I46-1,I46/E46-1)</f>
        <v>7.6804107441581504E-2</v>
      </c>
      <c r="J53" s="433" t="str">
        <f>IF(OR(I53&gt;=0.3,I53&lt;=-0.3),"超过30%","")</f>
        <v/>
      </c>
      <c r="K53" s="2498"/>
      <c r="L53" s="2492"/>
      <c r="M53" s="2493"/>
      <c r="N53" s="2493"/>
      <c r="O53" s="2493"/>
      <c r="P53" s="2493"/>
      <c r="Q53" s="2493"/>
      <c r="R53" s="2493"/>
      <c r="S53" s="2493"/>
      <c r="T53" s="2493"/>
      <c r="U53" s="2493"/>
      <c r="V53" s="2493"/>
      <c r="W53" s="2493"/>
      <c r="X53" s="2493"/>
      <c r="Y53" s="2493"/>
      <c r="Z53" s="2493"/>
      <c r="AA53" s="2493"/>
      <c r="AB53" s="2493"/>
      <c r="AC53" s="2493"/>
    </row>
    <row r="54" spans="1:29" s="435" customFormat="1" ht="15" thickBot="1">
      <c r="A54" s="2493"/>
      <c r="B54" s="2496"/>
      <c r="C54" s="655"/>
      <c r="D54" s="653"/>
      <c r="E54" s="653"/>
      <c r="F54" s="653"/>
      <c r="G54" s="653"/>
      <c r="H54" s="653"/>
      <c r="I54" s="653"/>
      <c r="J54" s="653"/>
      <c r="K54" s="2498"/>
      <c r="L54" s="2492"/>
      <c r="M54" s="2493"/>
      <c r="N54" s="2493"/>
      <c r="O54" s="2493"/>
      <c r="P54" s="2493"/>
      <c r="Q54" s="2493"/>
      <c r="R54" s="2493"/>
      <c r="S54" s="2493"/>
      <c r="T54" s="2493"/>
      <c r="U54" s="2493"/>
      <c r="V54" s="2493"/>
      <c r="W54" s="2493"/>
      <c r="X54" s="2493"/>
      <c r="Y54" s="2493"/>
      <c r="Z54" s="2493"/>
      <c r="AA54" s="2493"/>
      <c r="AB54" s="2493"/>
      <c r="AC54" s="2493"/>
    </row>
    <row r="55" spans="1:29" ht="27">
      <c r="A55" s="602" t="s">
        <v>1880</v>
      </c>
      <c r="B55" s="603" t="s">
        <v>1881</v>
      </c>
      <c r="C55" s="1826" t="s">
        <v>1882</v>
      </c>
      <c r="D55" s="1827" t="s">
        <v>1883</v>
      </c>
      <c r="E55" s="604" t="s">
        <v>1884</v>
      </c>
      <c r="F55" s="834" t="s">
        <v>1885</v>
      </c>
      <c r="G55" s="3468" t="s">
        <v>1886</v>
      </c>
      <c r="H55" s="3490"/>
      <c r="I55" s="127" t="s">
        <v>1887</v>
      </c>
      <c r="J55" s="1828">
        <f>项目基本情况!F35</f>
        <v>0</v>
      </c>
      <c r="K55" s="1829" t="s">
        <v>1888</v>
      </c>
      <c r="L55" s="2491"/>
      <c r="M55" s="2483"/>
      <c r="N55" s="2483"/>
      <c r="O55" s="2483"/>
      <c r="P55" s="2483"/>
      <c r="Q55" s="2483"/>
      <c r="R55" s="2483"/>
      <c r="S55" s="2483"/>
      <c r="T55" s="2483"/>
      <c r="U55" s="2483"/>
      <c r="V55" s="2483"/>
      <c r="W55" s="2483"/>
      <c r="X55" s="2483"/>
      <c r="Y55" s="2483"/>
      <c r="Z55" s="2483"/>
      <c r="AA55" s="2483"/>
      <c r="AB55" s="2483"/>
      <c r="AC55" s="2483"/>
    </row>
    <row r="56" spans="1:29" s="610" customFormat="1">
      <c r="A56" s="606" t="s">
        <v>1889</v>
      </c>
      <c r="B56" s="607">
        <f>C48</f>
        <v>85060</v>
      </c>
      <c r="C56" s="608">
        <v>1</v>
      </c>
      <c r="D56" s="887">
        <v>1</v>
      </c>
      <c r="E56" s="608">
        <f>'数据-汇总表'!E8+'数据-汇总表'!E9</f>
        <v>36124.270000000026</v>
      </c>
      <c r="F56" s="830">
        <f t="shared" ref="F56:F64" si="15">ROUND(B56*E56/10000,0)</f>
        <v>307273</v>
      </c>
      <c r="G56" s="3491"/>
      <c r="H56" s="3467"/>
      <c r="I56" s="835">
        <v>1</v>
      </c>
      <c r="J56" s="838">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0" customFormat="1">
      <c r="A57" s="611" t="s">
        <v>1890</v>
      </c>
      <c r="B57" s="210">
        <f>ROUND($C$48*C57*D57,0)</f>
        <v>12759</v>
      </c>
      <c r="C57" s="163">
        <f t="shared" ref="C57:C64" si="16">IF($C$55="北京市系数",I57,J57)</f>
        <v>0.6</v>
      </c>
      <c r="D57" s="888">
        <v>0.25</v>
      </c>
      <c r="E57" s="612"/>
      <c r="F57" s="830">
        <f t="shared" si="15"/>
        <v>0</v>
      </c>
      <c r="G57" s="2746" t="s">
        <v>1891</v>
      </c>
      <c r="H57" s="831" t="str">
        <f>项目基本情况!B37</f>
        <v>六级</v>
      </c>
      <c r="I57" s="835">
        <f>SUMIF(修正!A57:A68,H57,修正!B57:B68)</f>
        <v>0.6</v>
      </c>
      <c r="J57" s="839"/>
      <c r="K57" s="2483"/>
      <c r="L57" s="2542"/>
      <c r="M57" s="2542"/>
      <c r="N57" s="2542"/>
      <c r="O57" s="2542"/>
      <c r="P57" s="2542"/>
      <c r="Q57" s="2542"/>
      <c r="R57" s="2542"/>
      <c r="S57" s="2542"/>
      <c r="T57" s="2542"/>
      <c r="U57" s="2542"/>
      <c r="V57" s="2542"/>
      <c r="W57" s="2542"/>
      <c r="X57" s="2542"/>
      <c r="Y57" s="2542"/>
      <c r="Z57" s="2542"/>
      <c r="AA57" s="2542"/>
      <c r="AB57" s="2542"/>
      <c r="AC57" s="2542"/>
    </row>
    <row r="58" spans="1:29" s="610" customFormat="1">
      <c r="A58" s="611" t="s">
        <v>1892</v>
      </c>
      <c r="B58" s="210">
        <f t="shared" ref="B58:B64" si="17">ROUND($C$48*C58*D58,0)</f>
        <v>6380</v>
      </c>
      <c r="C58" s="163">
        <f t="shared" si="16"/>
        <v>0.3</v>
      </c>
      <c r="D58" s="888">
        <v>0.25</v>
      </c>
      <c r="E58" s="612"/>
      <c r="F58" s="830">
        <f t="shared" si="15"/>
        <v>0</v>
      </c>
      <c r="G58" s="2747"/>
      <c r="H58" s="831" t="str">
        <f>项目基本情况!B37</f>
        <v>六级</v>
      </c>
      <c r="I58" s="835">
        <f>SUMIF(修正!A57:A68,H58,修正!C57:C68)</f>
        <v>0.3</v>
      </c>
      <c r="J58" s="839"/>
      <c r="K58" s="2493"/>
      <c r="L58" s="2542"/>
      <c r="M58" s="2542"/>
      <c r="N58" s="2542"/>
      <c r="O58" s="2542"/>
      <c r="P58" s="2542"/>
      <c r="Q58" s="2542"/>
      <c r="R58" s="2542"/>
      <c r="S58" s="2542"/>
      <c r="T58" s="2542"/>
      <c r="U58" s="2542"/>
      <c r="V58" s="2542"/>
      <c r="W58" s="2542"/>
      <c r="X58" s="2542"/>
      <c r="Y58" s="2542"/>
      <c r="Z58" s="2542"/>
      <c r="AA58" s="2542"/>
      <c r="AB58" s="2542"/>
      <c r="AC58" s="2542"/>
    </row>
    <row r="59" spans="1:29" s="610" customFormat="1">
      <c r="A59" s="611" t="s">
        <v>1893</v>
      </c>
      <c r="B59" s="210">
        <f t="shared" si="17"/>
        <v>5316</v>
      </c>
      <c r="C59" s="163">
        <f t="shared" si="16"/>
        <v>0.25</v>
      </c>
      <c r="D59" s="888">
        <v>0.25</v>
      </c>
      <c r="E59" s="612"/>
      <c r="F59" s="830">
        <f t="shared" si="15"/>
        <v>0</v>
      </c>
      <c r="G59" s="2747"/>
      <c r="H59" s="831" t="str">
        <f>项目基本情况!B37</f>
        <v>六级</v>
      </c>
      <c r="I59" s="835">
        <f>SUMIF(修正!A57:A68,H59,修正!D57:D68)</f>
        <v>0.25</v>
      </c>
      <c r="J59" s="839"/>
      <c r="K59" s="2483"/>
      <c r="L59" s="2542"/>
      <c r="M59" s="2542"/>
      <c r="N59" s="2542"/>
      <c r="O59" s="2542"/>
      <c r="P59" s="2542"/>
      <c r="Q59" s="2542"/>
      <c r="R59" s="2542"/>
      <c r="S59" s="2542"/>
      <c r="T59" s="2542"/>
      <c r="U59" s="2542"/>
      <c r="V59" s="2542"/>
      <c r="W59" s="2542"/>
      <c r="X59" s="2542"/>
      <c r="Y59" s="2542"/>
      <c r="Z59" s="2542"/>
      <c r="AA59" s="2542"/>
      <c r="AB59" s="2542"/>
      <c r="AC59" s="2542"/>
    </row>
    <row r="60" spans="1:29" s="610" customFormat="1">
      <c r="A60" s="611" t="s">
        <v>1894</v>
      </c>
      <c r="B60" s="210">
        <f t="shared" si="17"/>
        <v>5316</v>
      </c>
      <c r="C60" s="163">
        <f t="shared" si="16"/>
        <v>0.25</v>
      </c>
      <c r="D60" s="888">
        <v>0.25</v>
      </c>
      <c r="E60" s="209">
        <f>'数据-汇总表'!E11</f>
        <v>0</v>
      </c>
      <c r="F60" s="830">
        <f t="shared" si="15"/>
        <v>0</v>
      </c>
      <c r="G60" s="1830" t="s">
        <v>1895</v>
      </c>
      <c r="H60" s="831" t="str">
        <f>项目基本情况!C37</f>
        <v>六级</v>
      </c>
      <c r="I60" s="835">
        <f>SUMIF(修正!A57:A68,H60,修正!E57:E68)</f>
        <v>0.25</v>
      </c>
      <c r="J60" s="839"/>
      <c r="K60" s="2483"/>
      <c r="L60" s="2542"/>
      <c r="M60" s="2542"/>
      <c r="N60" s="2542"/>
      <c r="O60" s="2542"/>
      <c r="P60" s="2542"/>
      <c r="Q60" s="2542"/>
      <c r="R60" s="2542"/>
      <c r="S60" s="2542"/>
      <c r="T60" s="2542"/>
      <c r="U60" s="2542"/>
      <c r="V60" s="2542"/>
      <c r="W60" s="2542"/>
      <c r="X60" s="2542"/>
      <c r="Y60" s="2542"/>
      <c r="Z60" s="2542"/>
      <c r="AA60" s="2542"/>
      <c r="AB60" s="2542"/>
      <c r="AC60" s="2542"/>
    </row>
    <row r="61" spans="1:29" s="610" customFormat="1">
      <c r="A61" s="611" t="s">
        <v>1896</v>
      </c>
      <c r="B61" s="210">
        <f t="shared" si="17"/>
        <v>5316</v>
      </c>
      <c r="C61" s="163">
        <f t="shared" si="16"/>
        <v>0.25</v>
      </c>
      <c r="D61" s="888">
        <v>0.25</v>
      </c>
      <c r="E61" s="209">
        <f>'数据-汇总表'!E12</f>
        <v>15395.17</v>
      </c>
      <c r="F61" s="830">
        <f t="shared" si="15"/>
        <v>8184</v>
      </c>
      <c r="G61" s="836" t="s">
        <v>1897</v>
      </c>
      <c r="H61" s="831" t="str">
        <f>IF(G61="商业",项目基本情况!B37,IF(G61="办公",项目基本情况!C37,IF(G61="住宅",项目基本情况!D37,项目基本情况!E37)))</f>
        <v>六级</v>
      </c>
      <c r="I61" s="835">
        <f>SUMIF(修正!A57:A68,H61,修正!F57:F68)</f>
        <v>0.25</v>
      </c>
      <c r="J61" s="839"/>
      <c r="K61" s="2493"/>
      <c r="L61" s="2542"/>
      <c r="M61" s="2542"/>
      <c r="N61" s="2542"/>
      <c r="O61" s="2542"/>
      <c r="P61" s="2542"/>
      <c r="Q61" s="2542"/>
      <c r="R61" s="2542"/>
      <c r="S61" s="2542"/>
      <c r="T61" s="2542"/>
      <c r="U61" s="2542"/>
      <c r="V61" s="2542"/>
      <c r="W61" s="2542"/>
      <c r="X61" s="2542"/>
      <c r="Y61" s="2542"/>
      <c r="Z61" s="2542"/>
      <c r="AA61" s="2542"/>
      <c r="AB61" s="2542"/>
      <c r="AC61" s="2542"/>
    </row>
    <row r="62" spans="1:29" s="610" customFormat="1">
      <c r="A62" s="611" t="s">
        <v>1898</v>
      </c>
      <c r="B62" s="210">
        <f t="shared" si="17"/>
        <v>3190</v>
      </c>
      <c r="C62" s="163">
        <f t="shared" si="16"/>
        <v>0.15</v>
      </c>
      <c r="D62" s="888">
        <v>0.25</v>
      </c>
      <c r="E62" s="209">
        <f>'数据-汇总表'!E13</f>
        <v>16034.629999999899</v>
      </c>
      <c r="F62" s="830">
        <f t="shared" si="15"/>
        <v>5115</v>
      </c>
      <c r="G62" s="836" t="s">
        <v>1899</v>
      </c>
      <c r="H62" s="831" t="str">
        <f>IF(G62="商业",项目基本情况!B37,IF(G62="办公",项目基本情况!C37,IF(G62="住宅",项目基本情况!D37,项目基本情况!E37)))</f>
        <v>六级</v>
      </c>
      <c r="I62" s="835">
        <f>SUMIF(修正!A57:A68,H62,修正!G57:G68)</f>
        <v>0.15</v>
      </c>
      <c r="J62" s="839"/>
      <c r="K62" s="2483"/>
      <c r="L62" s="2542"/>
      <c r="M62" s="2542"/>
      <c r="N62" s="2542"/>
      <c r="O62" s="2542"/>
      <c r="P62" s="2542"/>
      <c r="Q62" s="2542"/>
      <c r="R62" s="2542"/>
      <c r="S62" s="2542"/>
      <c r="T62" s="2542"/>
      <c r="U62" s="2542"/>
      <c r="V62" s="2542"/>
      <c r="W62" s="2542"/>
      <c r="X62" s="2542"/>
      <c r="Y62" s="2542"/>
      <c r="Z62" s="2542"/>
      <c r="AA62" s="2542"/>
      <c r="AB62" s="2542"/>
      <c r="AC62" s="2542"/>
    </row>
    <row r="63" spans="1:29" s="610" customFormat="1">
      <c r="A63" s="611" t="s">
        <v>1900</v>
      </c>
      <c r="B63" s="210">
        <f t="shared" si="17"/>
        <v>3190</v>
      </c>
      <c r="C63" s="163">
        <f t="shared" si="16"/>
        <v>0.15</v>
      </c>
      <c r="D63" s="888">
        <v>0.25</v>
      </c>
      <c r="E63" s="209">
        <f>'数据-汇总表'!E14</f>
        <v>0</v>
      </c>
      <c r="F63" s="830">
        <f t="shared" si="15"/>
        <v>0</v>
      </c>
      <c r="G63" s="1830" t="s">
        <v>1891</v>
      </c>
      <c r="H63" s="831" t="str">
        <f>项目基本情况!B37</f>
        <v>六级</v>
      </c>
      <c r="I63" s="835">
        <f>SUMIF(修正!A57:A68,H63,修正!G57:G68)</f>
        <v>0.15</v>
      </c>
      <c r="J63" s="839"/>
      <c r="K63" s="2493"/>
      <c r="L63" s="2542"/>
      <c r="M63" s="2542"/>
      <c r="N63" s="2542"/>
      <c r="O63" s="2542"/>
      <c r="P63" s="2542"/>
      <c r="Q63" s="2542"/>
      <c r="R63" s="2542"/>
      <c r="S63" s="2542"/>
      <c r="T63" s="2542"/>
      <c r="U63" s="2542"/>
      <c r="V63" s="2542"/>
      <c r="W63" s="2542"/>
      <c r="X63" s="2542"/>
      <c r="Y63" s="2542"/>
      <c r="Z63" s="2542"/>
      <c r="AA63" s="2542"/>
      <c r="AB63" s="2542"/>
      <c r="AC63" s="2542"/>
    </row>
    <row r="64" spans="1:29" s="610" customFormat="1" ht="15" thickBot="1">
      <c r="A64" s="611" t="s">
        <v>1901</v>
      </c>
      <c r="B64" s="210">
        <f t="shared" si="17"/>
        <v>3190</v>
      </c>
      <c r="C64" s="163">
        <f t="shared" si="16"/>
        <v>0.15</v>
      </c>
      <c r="D64" s="888">
        <v>0.25</v>
      </c>
      <c r="E64" s="209">
        <f>'数据-汇总表'!E15</f>
        <v>0</v>
      </c>
      <c r="F64" s="830">
        <f t="shared" si="15"/>
        <v>0</v>
      </c>
      <c r="G64" s="1831" t="s">
        <v>1895</v>
      </c>
      <c r="H64" s="841" t="str">
        <f>项目基本情况!C37</f>
        <v>六级</v>
      </c>
      <c r="I64" s="837">
        <f>SUMIF(修正!A57:A68,H64,修正!G57:G68)</f>
        <v>0.15</v>
      </c>
      <c r="J64" s="840"/>
      <c r="K64" s="2483"/>
      <c r="L64" s="2542"/>
      <c r="M64" s="2542"/>
      <c r="N64" s="2542"/>
      <c r="O64" s="2542"/>
      <c r="P64" s="2542"/>
      <c r="Q64" s="2542"/>
      <c r="R64" s="2542"/>
      <c r="S64" s="2542"/>
      <c r="T64" s="2542"/>
      <c r="U64" s="2542"/>
      <c r="V64" s="2542"/>
      <c r="W64" s="2542"/>
      <c r="X64" s="2542"/>
      <c r="Y64" s="2542"/>
      <c r="Z64" s="2542"/>
      <c r="AA64" s="2542"/>
      <c r="AB64" s="2542"/>
      <c r="AC64" s="2542"/>
    </row>
    <row r="65" spans="1:29" s="610" customFormat="1" ht="13.5" thickBot="1">
      <c r="A65" s="613" t="s">
        <v>1902</v>
      </c>
      <c r="B65" s="614" t="s">
        <v>22</v>
      </c>
      <c r="C65" s="614" t="s">
        <v>23</v>
      </c>
      <c r="D65" s="614" t="s">
        <v>392</v>
      </c>
      <c r="E65" s="614">
        <f>IF(B46="楼面地价",SUM(E56:E64),'数据-汇总表'!D3)</f>
        <v>67554.06999999992</v>
      </c>
      <c r="F65" s="615">
        <f>IF(B46="楼面地价",SUM(F56:F64),ROUND(C48*E65/10000,0))</f>
        <v>320572</v>
      </c>
      <c r="G65" s="675"/>
      <c r="H65" s="675"/>
      <c r="I65" s="675"/>
      <c r="J65" s="675"/>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4"/>
      <c r="C66" s="655"/>
      <c r="D66" s="385"/>
      <c r="E66" s="385"/>
      <c r="F66" s="385"/>
      <c r="G66" s="385"/>
      <c r="H66" s="385"/>
      <c r="I66" s="385"/>
      <c r="J66" s="858"/>
      <c r="K66" s="832"/>
      <c r="L66" s="833"/>
      <c r="M66" s="858"/>
      <c r="N66" s="858"/>
      <c r="O66" s="858"/>
      <c r="P66" s="2483"/>
      <c r="Q66" s="2483"/>
      <c r="R66" s="2483"/>
      <c r="S66" s="2483"/>
      <c r="T66" s="2483"/>
      <c r="U66" s="2483"/>
      <c r="V66" s="2483"/>
      <c r="W66" s="2483"/>
      <c r="X66" s="2483"/>
      <c r="Y66" s="2483"/>
      <c r="Z66" s="2483"/>
      <c r="AA66" s="2483"/>
      <c r="AB66" s="2483"/>
      <c r="AC66" s="2483"/>
    </row>
    <row r="67" spans="1:29">
      <c r="A67" s="385"/>
      <c r="B67" s="654"/>
      <c r="C67" s="654" t="str">
        <f>YEAR(C7)&amp;"-"&amp;MONTH(C7)&amp;"-1"</f>
        <v>2025-5-1</v>
      </c>
      <c r="D67" s="654">
        <f>EDATE(C67,-3)</f>
        <v>45689</v>
      </c>
      <c r="E67" s="654">
        <f>EDATE(D67,-3)</f>
        <v>45597</v>
      </c>
      <c r="F67" s="654">
        <f t="shared" ref="F67:O67" si="18">EDATE(E67,-3)</f>
        <v>45505</v>
      </c>
      <c r="G67" s="654">
        <f t="shared" si="18"/>
        <v>45413</v>
      </c>
      <c r="H67" s="654">
        <f t="shared" si="18"/>
        <v>45323</v>
      </c>
      <c r="I67" s="654">
        <f t="shared" si="18"/>
        <v>45231</v>
      </c>
      <c r="J67" s="654">
        <f t="shared" si="18"/>
        <v>45139</v>
      </c>
      <c r="K67" s="654">
        <f t="shared" si="18"/>
        <v>45047</v>
      </c>
      <c r="L67" s="654">
        <f t="shared" si="18"/>
        <v>44958</v>
      </c>
      <c r="M67" s="654">
        <f t="shared" si="18"/>
        <v>44866</v>
      </c>
      <c r="N67" s="654">
        <f t="shared" si="18"/>
        <v>44774</v>
      </c>
      <c r="O67" s="654">
        <f t="shared" si="18"/>
        <v>44682</v>
      </c>
      <c r="P67" s="2483"/>
      <c r="Q67" s="2483"/>
      <c r="R67" s="2483"/>
      <c r="S67" s="2483"/>
      <c r="T67" s="2483"/>
      <c r="U67" s="2483"/>
      <c r="V67" s="2483"/>
      <c r="W67" s="2483"/>
      <c r="X67" s="2483"/>
      <c r="Y67" s="2483"/>
      <c r="Z67" s="2483"/>
      <c r="AA67" s="2483"/>
      <c r="AB67" s="2483"/>
      <c r="AC67" s="2483"/>
    </row>
    <row r="68" spans="1:29" ht="21.75" thickBot="1">
      <c r="A68" s="656" t="s">
        <v>1798</v>
      </c>
      <c r="B68" s="385"/>
      <c r="C68" s="657"/>
      <c r="D68" s="657"/>
      <c r="E68" s="657"/>
      <c r="F68" s="658"/>
      <c r="G68" s="658"/>
      <c r="H68" s="657"/>
      <c r="I68" s="657"/>
      <c r="J68" s="883"/>
      <c r="K68" s="884"/>
      <c r="L68" s="885"/>
      <c r="M68" s="883"/>
      <c r="N68" s="2533"/>
      <c r="O68" s="2533"/>
      <c r="P68" s="2533"/>
      <c r="Q68" s="2504"/>
      <c r="R68" s="2483"/>
      <c r="S68" s="2483"/>
      <c r="T68" s="2483"/>
      <c r="U68" s="2483"/>
      <c r="V68" s="2483"/>
      <c r="W68" s="2483"/>
      <c r="X68" s="2483"/>
      <c r="Y68" s="2483"/>
      <c r="Z68" s="2483"/>
      <c r="AA68" s="2483"/>
      <c r="AB68" s="2483"/>
      <c r="AC68" s="2483"/>
    </row>
    <row r="69" spans="1:29" s="440" customFormat="1" ht="15">
      <c r="A69" s="1627" t="s">
        <v>1903</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2" t="s">
        <v>1904</v>
      </c>
      <c r="B70" s="280" t="str">
        <f>"北京市平均增长率"&amp;TEXT(SUMIF(基准地价修正!N25:N29,A70,基准地价修正!P25:P29),"0.00%")</f>
        <v>北京市平均增长率0.00%</v>
      </c>
      <c r="C70" s="528">
        <v>100</v>
      </c>
      <c r="D70" s="6">
        <v>99</v>
      </c>
      <c r="E70" s="6"/>
      <c r="F70" s="6"/>
      <c r="G70" s="6"/>
      <c r="H70" s="6"/>
      <c r="I70" s="6"/>
      <c r="J70" s="6"/>
      <c r="K70" s="6"/>
      <c r="L70" s="6"/>
      <c r="M70" s="1063"/>
      <c r="N70" s="6"/>
      <c r="O70" s="1095"/>
      <c r="P70" s="2504"/>
      <c r="Q70" s="2435"/>
      <c r="R70" s="2435"/>
      <c r="S70" s="2435"/>
      <c r="T70" s="2435"/>
      <c r="U70" s="2435"/>
      <c r="V70" s="2435"/>
      <c r="W70" s="2435"/>
      <c r="X70" s="2435"/>
      <c r="Y70" s="2435"/>
      <c r="Z70" s="2435"/>
      <c r="AA70" s="2435"/>
      <c r="AB70" s="2435"/>
      <c r="AC70" s="2435"/>
    </row>
    <row r="71" spans="1:29" s="102" customFormat="1" ht="15.75" thickBot="1">
      <c r="A71" s="447" t="s">
        <v>1716</v>
      </c>
      <c r="B71" s="448"/>
      <c r="C71" s="449">
        <f>'地价-分区'!G7</f>
        <v>0</v>
      </c>
      <c r="D71" s="450">
        <f>'地价-分区'!G8</f>
        <v>1.1200000000000001</v>
      </c>
      <c r="E71" s="450"/>
      <c r="F71" s="450"/>
      <c r="G71" s="450"/>
      <c r="H71" s="450"/>
      <c r="I71" s="450"/>
      <c r="J71" s="450"/>
      <c r="K71" s="450"/>
      <c r="L71" s="450"/>
      <c r="M71" s="451"/>
      <c r="N71" s="450"/>
      <c r="O71" s="886"/>
      <c r="P71" s="2504"/>
      <c r="Q71" s="2504"/>
      <c r="R71" s="2435"/>
      <c r="S71" s="2435"/>
      <c r="T71" s="2435"/>
      <c r="U71" s="2435"/>
      <c r="V71" s="2435"/>
      <c r="W71" s="2435"/>
      <c r="X71" s="2435"/>
      <c r="Y71" s="2435"/>
      <c r="Z71" s="2435"/>
      <c r="AA71" s="2435"/>
      <c r="AB71" s="2435"/>
      <c r="AC71" s="2435"/>
    </row>
    <row r="72" spans="1:29" s="102" customFormat="1" ht="15">
      <c r="A72" s="453" t="s">
        <v>1681</v>
      </c>
      <c r="B72" s="442"/>
      <c r="C72" s="454" t="s">
        <v>1776</v>
      </c>
      <c r="D72" s="31"/>
      <c r="E72" s="31"/>
      <c r="F72" s="31"/>
      <c r="G72" s="31"/>
      <c r="H72" s="31"/>
      <c r="I72" s="31"/>
      <c r="J72" s="31"/>
      <c r="K72" s="31"/>
      <c r="L72" s="455"/>
      <c r="M72" s="456"/>
      <c r="N72" s="2516"/>
      <c r="O72" s="2516"/>
      <c r="P72" s="2540"/>
      <c r="Q72" s="2504"/>
      <c r="R72" s="2435"/>
      <c r="S72" s="2435"/>
      <c r="T72" s="2435"/>
      <c r="U72" s="2435"/>
      <c r="V72" s="2435"/>
      <c r="W72" s="2435"/>
      <c r="X72" s="2435"/>
      <c r="Y72" s="2435"/>
      <c r="Z72" s="2435"/>
      <c r="AA72" s="2435"/>
      <c r="AB72" s="2435"/>
      <c r="AC72" s="2435"/>
    </row>
    <row r="73" spans="1:29" s="102" customFormat="1" ht="15.75" thickBot="1">
      <c r="A73" s="453"/>
      <c r="B73" s="442"/>
      <c r="C73" s="561">
        <v>100</v>
      </c>
      <c r="D73" s="444"/>
      <c r="E73" s="444"/>
      <c r="F73" s="444"/>
      <c r="G73" s="444"/>
      <c r="H73" s="444"/>
      <c r="I73" s="444"/>
      <c r="J73" s="444"/>
      <c r="K73" s="444"/>
      <c r="L73" s="444"/>
      <c r="M73" s="446"/>
      <c r="N73" s="2516"/>
      <c r="O73" s="2516"/>
      <c r="P73" s="2504"/>
      <c r="Q73" s="2504"/>
      <c r="R73" s="2435"/>
      <c r="S73" s="2435"/>
      <c r="T73" s="2435"/>
      <c r="U73" s="2435"/>
      <c r="V73" s="2435"/>
      <c r="W73" s="2435"/>
      <c r="X73" s="2435"/>
      <c r="Y73" s="2435"/>
      <c r="Z73" s="2435"/>
      <c r="AA73" s="2435"/>
      <c r="AB73" s="2435"/>
      <c r="AC73" s="2435"/>
    </row>
    <row r="74" spans="1:29">
      <c r="A74" s="379" t="s">
        <v>1719</v>
      </c>
      <c r="B74" s="458" t="s">
        <v>1685</v>
      </c>
      <c r="C74" s="3182" t="s">
        <v>5796</v>
      </c>
      <c r="D74" s="460"/>
      <c r="E74" s="460"/>
      <c r="F74" s="460"/>
      <c r="G74" s="460"/>
      <c r="H74" s="460"/>
      <c r="I74" s="460"/>
      <c r="J74" s="460"/>
      <c r="K74" s="461"/>
      <c r="L74" s="462"/>
      <c r="M74" s="463"/>
      <c r="N74" s="2517"/>
      <c r="O74" s="2517"/>
      <c r="P74" s="2516"/>
      <c r="Q74" s="2504"/>
      <c r="R74" s="2483"/>
      <c r="S74" s="2483"/>
      <c r="T74" s="2483"/>
      <c r="U74" s="2483"/>
      <c r="V74" s="2483"/>
      <c r="W74" s="2483"/>
      <c r="X74" s="2483"/>
      <c r="Y74" s="2483"/>
      <c r="Z74" s="2483"/>
      <c r="AA74" s="2483"/>
      <c r="AB74" s="2483"/>
      <c r="AC74" s="2483"/>
    </row>
    <row r="75" spans="1:29" ht="15.75" thickBot="1">
      <c r="A75" s="367"/>
      <c r="B75" s="464"/>
      <c r="C75" s="465">
        <v>100</v>
      </c>
      <c r="D75" s="465"/>
      <c r="E75" s="465"/>
      <c r="F75" s="465"/>
      <c r="G75" s="465"/>
      <c r="H75" s="465"/>
      <c r="I75" s="465"/>
      <c r="J75" s="465"/>
      <c r="K75" s="465"/>
      <c r="L75" s="465"/>
      <c r="M75" s="466"/>
      <c r="N75" s="2518"/>
      <c r="O75" s="2518"/>
      <c r="P75" s="2516"/>
      <c r="Q75" s="2504"/>
      <c r="R75" s="2483"/>
      <c r="S75" s="2483"/>
      <c r="T75" s="2483"/>
      <c r="U75" s="2483"/>
      <c r="V75" s="2483"/>
      <c r="W75" s="2483"/>
      <c r="X75" s="2483"/>
      <c r="Y75" s="2483"/>
      <c r="Z75" s="2483"/>
      <c r="AA75" s="2483"/>
      <c r="AB75" s="2483"/>
      <c r="AC75" s="2483"/>
    </row>
    <row r="76" spans="1:29" ht="27.75" thickTop="1">
      <c r="A76" s="367"/>
      <c r="B76" s="467" t="s">
        <v>1688</v>
      </c>
      <c r="C76" s="468"/>
      <c r="D76" s="468"/>
      <c r="E76" s="468"/>
      <c r="F76" s="468"/>
      <c r="G76" s="468"/>
      <c r="H76" s="468"/>
      <c r="I76" s="468"/>
      <c r="J76" s="468"/>
      <c r="K76" s="469"/>
      <c r="L76" s="470"/>
      <c r="M76" s="471"/>
      <c r="N76" s="2517"/>
      <c r="O76" s="2517"/>
      <c r="P76" s="2516"/>
      <c r="Q76" s="2504"/>
      <c r="R76" s="2483"/>
      <c r="S76" s="2483"/>
      <c r="T76" s="2483"/>
      <c r="U76" s="2483"/>
      <c r="V76" s="2483"/>
      <c r="W76" s="2483"/>
      <c r="X76" s="2483"/>
      <c r="Y76" s="2483"/>
      <c r="Z76" s="2483"/>
      <c r="AA76" s="2483"/>
      <c r="AB76" s="2483"/>
      <c r="AC76" s="2483"/>
    </row>
    <row r="77" spans="1:29" ht="15.75" thickBot="1">
      <c r="A77" s="367"/>
      <c r="B77" s="472"/>
      <c r="C77" s="473"/>
      <c r="D77" s="473"/>
      <c r="E77" s="473"/>
      <c r="F77" s="473"/>
      <c r="G77" s="473"/>
      <c r="H77" s="473"/>
      <c r="I77" s="473"/>
      <c r="J77" s="473"/>
      <c r="K77" s="473"/>
      <c r="L77" s="473"/>
      <c r="M77" s="474"/>
      <c r="N77" s="2518"/>
      <c r="O77" s="2518"/>
      <c r="P77" s="2516"/>
      <c r="Q77" s="2504"/>
      <c r="R77" s="2483"/>
      <c r="S77" s="2483"/>
      <c r="T77" s="2483"/>
      <c r="U77" s="2483"/>
      <c r="V77" s="2483"/>
      <c r="W77" s="2483"/>
      <c r="X77" s="2483"/>
      <c r="Y77" s="2483"/>
      <c r="Z77" s="2483"/>
      <c r="AA77" s="2483"/>
      <c r="AB77" s="2483"/>
      <c r="AC77" s="2483"/>
    </row>
    <row r="78" spans="1:29" ht="15.75" thickTop="1">
      <c r="A78" s="367"/>
      <c r="B78" s="475" t="s">
        <v>1689</v>
      </c>
      <c r="C78" s="476" t="str">
        <f>C79&amp;"（含）"&amp;"-"&amp;D79</f>
        <v>0（含）-1</v>
      </c>
      <c r="D78" s="476" t="str">
        <f t="shared" ref="D78:L78" si="20">D79&amp;"（含）"&amp;"-"&amp;E79</f>
        <v>1（含）-1.5</v>
      </c>
      <c r="E78" s="476" t="str">
        <f t="shared" si="20"/>
        <v>1.5（含）-2</v>
      </c>
      <c r="F78" s="476" t="str">
        <f t="shared" si="20"/>
        <v>2（含）-2.5</v>
      </c>
      <c r="G78" s="476" t="str">
        <f t="shared" si="20"/>
        <v>2.5（含）-</v>
      </c>
      <c r="H78" s="476" t="str">
        <f t="shared" si="20"/>
        <v>（含）-</v>
      </c>
      <c r="I78" s="476" t="str">
        <f t="shared" si="20"/>
        <v>（含）-</v>
      </c>
      <c r="J78" s="476" t="str">
        <f t="shared" si="20"/>
        <v>（含）-</v>
      </c>
      <c r="K78" s="476" t="str">
        <f t="shared" si="20"/>
        <v>（含）-</v>
      </c>
      <c r="L78" s="476"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7"/>
      <c r="C79" s="478">
        <v>0</v>
      </c>
      <c r="D79" s="478">
        <v>1</v>
      </c>
      <c r="E79" s="478">
        <v>1.5</v>
      </c>
      <c r="F79" s="478">
        <v>2</v>
      </c>
      <c r="G79" s="478">
        <v>2.5</v>
      </c>
      <c r="H79" s="478"/>
      <c r="I79" s="478"/>
      <c r="J79" s="478"/>
      <c r="K79" s="479"/>
      <c r="L79" s="480"/>
      <c r="M79" s="481"/>
      <c r="N79" s="2517"/>
      <c r="O79" s="2517"/>
      <c r="P79" s="2516"/>
      <c r="Q79" s="2504"/>
      <c r="R79" s="2483"/>
      <c r="S79" s="2483"/>
      <c r="T79" s="2483"/>
      <c r="U79" s="2483"/>
      <c r="V79" s="2483"/>
      <c r="W79" s="2483"/>
      <c r="X79" s="2483"/>
      <c r="Y79" s="2483"/>
      <c r="Z79" s="2483"/>
      <c r="AA79" s="2483"/>
      <c r="AB79" s="2483"/>
      <c r="AC79" s="2483"/>
    </row>
    <row r="80" spans="1:29" ht="15.75" thickBot="1">
      <c r="A80" s="367"/>
      <c r="B80" s="464"/>
      <c r="C80" s="473">
        <v>100</v>
      </c>
      <c r="D80" s="473">
        <f t="shared" ref="D80:M80" si="21">IF($B$46="单位面积地价",C80+$K11,C80-$K11)</f>
        <v>97</v>
      </c>
      <c r="E80" s="473">
        <f t="shared" si="21"/>
        <v>94</v>
      </c>
      <c r="F80" s="473">
        <f t="shared" si="21"/>
        <v>91</v>
      </c>
      <c r="G80" s="473">
        <f t="shared" si="21"/>
        <v>88</v>
      </c>
      <c r="H80" s="473">
        <f t="shared" si="21"/>
        <v>85</v>
      </c>
      <c r="I80" s="473">
        <f t="shared" si="21"/>
        <v>82</v>
      </c>
      <c r="J80" s="473">
        <f t="shared" si="21"/>
        <v>79</v>
      </c>
      <c r="K80" s="473">
        <f t="shared" si="21"/>
        <v>76</v>
      </c>
      <c r="L80" s="473">
        <f t="shared" si="21"/>
        <v>73</v>
      </c>
      <c r="M80" s="473">
        <f t="shared" si="21"/>
        <v>70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2"/>
      <c r="B81" s="467" t="str">
        <f>B12</f>
        <v>限价</v>
      </c>
      <c r="C81" s="483">
        <v>120000</v>
      </c>
      <c r="D81" s="483" t="s">
        <v>5787</v>
      </c>
      <c r="E81" s="483"/>
      <c r="F81" s="483"/>
      <c r="G81" s="483"/>
      <c r="H81" s="484"/>
      <c r="I81" s="484"/>
      <c r="J81" s="484"/>
      <c r="K81" s="484"/>
      <c r="L81" s="485"/>
      <c r="M81" s="486"/>
      <c r="N81" s="2519"/>
      <c r="O81" s="2519"/>
      <c r="P81" s="2519"/>
      <c r="Q81" s="2511"/>
      <c r="R81" s="2489"/>
      <c r="S81" s="2489"/>
      <c r="T81" s="2489"/>
      <c r="U81" s="2489"/>
      <c r="V81" s="2489"/>
      <c r="W81" s="2489"/>
      <c r="X81" s="2489"/>
      <c r="Y81" s="2489"/>
      <c r="Z81" s="2489"/>
      <c r="AA81" s="2489"/>
      <c r="AB81" s="2489"/>
      <c r="AC81" s="2489"/>
    </row>
    <row r="82" spans="1:29" s="408" customFormat="1" ht="15.75" thickBot="1">
      <c r="A82" s="482"/>
      <c r="B82" s="472"/>
      <c r="C82" s="489">
        <v>100</v>
      </c>
      <c r="D82" s="465">
        <v>110</v>
      </c>
      <c r="E82" s="465"/>
      <c r="F82" s="465"/>
      <c r="G82" s="465"/>
      <c r="H82" s="465"/>
      <c r="I82" s="465"/>
      <c r="J82" s="465"/>
      <c r="K82" s="465"/>
      <c r="L82" s="465"/>
      <c r="M82" s="466"/>
      <c r="N82" s="2518"/>
      <c r="O82" s="2518"/>
      <c r="P82" s="2519"/>
      <c r="Q82" s="2511"/>
      <c r="R82" s="2489"/>
      <c r="S82" s="2489"/>
      <c r="T82" s="2489"/>
      <c r="U82" s="2489"/>
      <c r="V82" s="2489"/>
      <c r="W82" s="2489"/>
      <c r="X82" s="2489"/>
      <c r="Y82" s="2489"/>
      <c r="Z82" s="2489"/>
      <c r="AA82" s="2489"/>
      <c r="AB82" s="2489"/>
      <c r="AC82" s="2489"/>
    </row>
    <row r="83" spans="1:29" s="408" customFormat="1" ht="15.75" thickTop="1">
      <c r="A83" s="482"/>
      <c r="B83" s="467">
        <f>B13</f>
        <v>111</v>
      </c>
      <c r="C83" s="483"/>
      <c r="D83" s="483"/>
      <c r="E83" s="483"/>
      <c r="F83" s="483"/>
      <c r="G83" s="483"/>
      <c r="H83" s="484"/>
      <c r="I83" s="484"/>
      <c r="J83" s="484"/>
      <c r="K83" s="484"/>
      <c r="L83" s="485"/>
      <c r="M83" s="486"/>
      <c r="N83" s="2519"/>
      <c r="O83" s="2519"/>
      <c r="P83" s="2489"/>
      <c r="Q83" s="2513"/>
      <c r="R83" s="2489"/>
      <c r="S83" s="2489"/>
      <c r="T83" s="2489"/>
      <c r="U83" s="2489"/>
      <c r="V83" s="2489"/>
      <c r="W83" s="2489"/>
      <c r="X83" s="2489"/>
      <c r="Y83" s="2489"/>
      <c r="Z83" s="2489"/>
      <c r="AA83" s="2489"/>
      <c r="AB83" s="2489"/>
      <c r="AC83" s="2489"/>
    </row>
    <row r="84" spans="1:29" s="408" customFormat="1" ht="15.75" thickBot="1">
      <c r="A84" s="482"/>
      <c r="B84" s="472"/>
      <c r="C84" s="489"/>
      <c r="D84" s="489"/>
      <c r="E84" s="489"/>
      <c r="F84" s="489"/>
      <c r="G84" s="489"/>
      <c r="H84" s="491"/>
      <c r="I84" s="491"/>
      <c r="J84" s="491"/>
      <c r="K84" s="491"/>
      <c r="L84" s="491"/>
      <c r="M84" s="492"/>
      <c r="N84" s="2519"/>
      <c r="O84" s="2519"/>
      <c r="P84" s="2519"/>
      <c r="Q84" s="2511"/>
      <c r="R84" s="2489"/>
      <c r="S84" s="2489"/>
      <c r="T84" s="2489"/>
      <c r="U84" s="2489"/>
      <c r="V84" s="2489"/>
      <c r="W84" s="2489"/>
      <c r="X84" s="2489"/>
      <c r="Y84" s="2489"/>
      <c r="Z84" s="2489"/>
      <c r="AA84" s="2489"/>
      <c r="AB84" s="2489"/>
      <c r="AC84" s="2489"/>
    </row>
    <row r="85" spans="1:29" s="408" customFormat="1" ht="15.75" thickTop="1">
      <c r="A85" s="482"/>
      <c r="B85" s="475">
        <f>B14</f>
        <v>111</v>
      </c>
      <c r="C85" s="31"/>
      <c r="D85" s="31"/>
      <c r="E85" s="31"/>
      <c r="F85" s="31"/>
      <c r="G85" s="31"/>
      <c r="H85" s="493"/>
      <c r="I85" s="493"/>
      <c r="J85" s="493"/>
      <c r="K85" s="493"/>
      <c r="L85" s="494"/>
      <c r="M85" s="495"/>
      <c r="N85" s="2519"/>
      <c r="O85" s="2519"/>
      <c r="P85" s="2544"/>
      <c r="Q85" s="2511"/>
      <c r="R85" s="2489"/>
      <c r="S85" s="2489"/>
      <c r="T85" s="2489"/>
      <c r="U85" s="2489"/>
      <c r="V85" s="2489"/>
      <c r="W85" s="2489"/>
      <c r="X85" s="2489"/>
      <c r="Y85" s="2489"/>
      <c r="Z85" s="2489"/>
      <c r="AA85" s="2489"/>
      <c r="AB85" s="2489"/>
      <c r="AC85" s="2489"/>
    </row>
    <row r="86" spans="1:29" s="408" customFormat="1" ht="15.75" thickBot="1">
      <c r="A86" s="497"/>
      <c r="B86" s="498"/>
      <c r="C86" s="499"/>
      <c r="D86" s="499"/>
      <c r="E86" s="499"/>
      <c r="F86" s="499"/>
      <c r="G86" s="499"/>
      <c r="H86" s="500"/>
      <c r="I86" s="500"/>
      <c r="J86" s="500"/>
      <c r="K86" s="500"/>
      <c r="L86" s="500"/>
      <c r="M86" s="501"/>
      <c r="N86" s="2519"/>
      <c r="O86" s="2519"/>
      <c r="P86" s="2519"/>
      <c r="Q86" s="2511"/>
      <c r="R86" s="2489"/>
      <c r="S86" s="2489"/>
      <c r="T86" s="2489"/>
      <c r="U86" s="2489"/>
      <c r="V86" s="2489"/>
      <c r="W86" s="2489"/>
      <c r="X86" s="2489"/>
      <c r="Y86" s="2489"/>
      <c r="Z86" s="2489"/>
      <c r="AA86" s="2489"/>
      <c r="AB86" s="2489"/>
      <c r="AC86" s="2489"/>
    </row>
    <row r="87" spans="1:29">
      <c r="A87" s="379" t="s">
        <v>1690</v>
      </c>
      <c r="B87" s="458" t="s">
        <v>1720</v>
      </c>
      <c r="C87" s="502" t="s">
        <v>1721</v>
      </c>
      <c r="D87" s="502" t="s">
        <v>1722</v>
      </c>
      <c r="E87" s="502" t="s">
        <v>1723</v>
      </c>
      <c r="F87" s="502" t="s">
        <v>1724</v>
      </c>
      <c r="G87" s="502" t="s">
        <v>1725</v>
      </c>
      <c r="H87" s="459"/>
      <c r="I87" s="459"/>
      <c r="J87" s="459"/>
      <c r="K87" s="503"/>
      <c r="L87" s="504"/>
      <c r="M87" s="505"/>
      <c r="N87" s="2517"/>
      <c r="O87" s="2517"/>
      <c r="P87" s="2541"/>
      <c r="Q87" s="2504"/>
      <c r="R87" s="2483"/>
      <c r="S87" s="2483"/>
      <c r="T87" s="2483"/>
      <c r="U87" s="2483"/>
      <c r="V87" s="2483"/>
      <c r="W87" s="2483"/>
      <c r="X87" s="2483"/>
      <c r="Y87" s="2483"/>
      <c r="Z87" s="2483"/>
      <c r="AA87" s="2483"/>
      <c r="AB87" s="2483"/>
      <c r="AC87" s="2483"/>
    </row>
    <row r="88" spans="1:29" ht="15.75" thickBot="1">
      <c r="A88" s="367"/>
      <c r="B88" s="472"/>
      <c r="C88" s="473">
        <v>100</v>
      </c>
      <c r="D88" s="473">
        <f>C88-$K15</f>
        <v>97</v>
      </c>
      <c r="E88" s="473">
        <f>D88-$K15</f>
        <v>94</v>
      </c>
      <c r="F88" s="473">
        <f>E88-$K15</f>
        <v>91</v>
      </c>
      <c r="G88" s="473">
        <f>F88-$K15</f>
        <v>88</v>
      </c>
      <c r="H88" s="473"/>
      <c r="I88" s="473"/>
      <c r="J88" s="473"/>
      <c r="K88" s="473"/>
      <c r="L88" s="473"/>
      <c r="M88" s="474"/>
      <c r="N88" s="2518"/>
      <c r="O88" s="2518"/>
      <c r="P88" s="2516"/>
      <c r="Q88" s="2504"/>
      <c r="R88" s="2483"/>
      <c r="S88" s="2483"/>
      <c r="T88" s="2483"/>
      <c r="U88" s="2483"/>
      <c r="V88" s="2483"/>
      <c r="W88" s="2483"/>
      <c r="X88" s="2483"/>
      <c r="Y88" s="2483"/>
      <c r="Z88" s="2483"/>
      <c r="AA88" s="2483"/>
      <c r="AB88" s="2483"/>
      <c r="AC88" s="2483"/>
    </row>
    <row r="89" spans="1:29" ht="15.75" thickTop="1">
      <c r="A89" s="367"/>
      <c r="B89" s="467" t="s">
        <v>1905</v>
      </c>
      <c r="C89" s="507" t="s">
        <v>1721</v>
      </c>
      <c r="D89" s="507" t="s">
        <v>1722</v>
      </c>
      <c r="E89" s="507" t="s">
        <v>1723</v>
      </c>
      <c r="F89" s="507" t="s">
        <v>1724</v>
      </c>
      <c r="G89" s="507" t="s">
        <v>1725</v>
      </c>
      <c r="H89" s="468"/>
      <c r="I89" s="468"/>
      <c r="J89" s="468"/>
      <c r="K89" s="469"/>
      <c r="L89" s="470"/>
      <c r="M89" s="471"/>
      <c r="N89" s="2517"/>
      <c r="O89" s="2517"/>
      <c r="P89" s="2516"/>
      <c r="Q89" s="2504"/>
      <c r="R89" s="2483"/>
      <c r="S89" s="2483"/>
      <c r="T89" s="2483"/>
      <c r="U89" s="2483"/>
      <c r="V89" s="2483"/>
      <c r="W89" s="2483"/>
      <c r="X89" s="2483"/>
      <c r="Y89" s="2483"/>
      <c r="Z89" s="2483"/>
      <c r="AA89" s="2483"/>
      <c r="AB89" s="2483"/>
      <c r="AC89" s="2483"/>
    </row>
    <row r="90" spans="1:29" ht="15.75" thickBot="1">
      <c r="A90" s="367"/>
      <c r="B90" s="472"/>
      <c r="C90" s="473">
        <v>100</v>
      </c>
      <c r="D90" s="473">
        <f>C90-$K17</f>
        <v>100</v>
      </c>
      <c r="E90" s="473">
        <f>D90-$K17</f>
        <v>100</v>
      </c>
      <c r="F90" s="473">
        <f>E90-$K17</f>
        <v>100</v>
      </c>
      <c r="G90" s="473">
        <f>F90-$K17</f>
        <v>100</v>
      </c>
      <c r="H90" s="473"/>
      <c r="I90" s="473"/>
      <c r="J90" s="473"/>
      <c r="K90" s="473"/>
      <c r="L90" s="473"/>
      <c r="M90" s="474"/>
      <c r="N90" s="2518"/>
      <c r="O90" s="2518"/>
      <c r="P90" s="2516"/>
      <c r="Q90" s="2504"/>
      <c r="R90" s="2483"/>
      <c r="S90" s="2483"/>
      <c r="T90" s="2483"/>
      <c r="U90" s="2483"/>
      <c r="V90" s="2483"/>
      <c r="W90" s="2483"/>
      <c r="X90" s="2483"/>
      <c r="Y90" s="2483"/>
      <c r="Z90" s="2483"/>
      <c r="AA90" s="2483"/>
      <c r="AB90" s="2483"/>
      <c r="AC90" s="2483"/>
    </row>
    <row r="91" spans="1:29" ht="15.75" thickTop="1">
      <c r="A91" s="367"/>
      <c r="B91" s="467" t="s">
        <v>1821</v>
      </c>
      <c r="C91" s="507" t="s">
        <v>1721</v>
      </c>
      <c r="D91" s="507" t="s">
        <v>1722</v>
      </c>
      <c r="E91" s="507" t="s">
        <v>1723</v>
      </c>
      <c r="F91" s="507" t="s">
        <v>1724</v>
      </c>
      <c r="G91" s="507" t="s">
        <v>1725</v>
      </c>
      <c r="H91" s="468"/>
      <c r="I91" s="468"/>
      <c r="J91" s="468"/>
      <c r="K91" s="469"/>
      <c r="L91" s="470"/>
      <c r="M91" s="471"/>
      <c r="N91" s="2517"/>
      <c r="O91" s="2517"/>
      <c r="P91" s="2516"/>
      <c r="Q91" s="2504"/>
      <c r="R91" s="2483"/>
      <c r="S91" s="2483"/>
      <c r="T91" s="2483"/>
      <c r="U91" s="2483"/>
      <c r="V91" s="2483"/>
      <c r="W91" s="2483"/>
      <c r="X91" s="2483"/>
      <c r="Y91" s="2483"/>
      <c r="Z91" s="2483"/>
      <c r="AA91" s="2483"/>
      <c r="AB91" s="2483"/>
      <c r="AC91" s="2483"/>
    </row>
    <row r="92" spans="1:29" ht="15.75" thickBot="1">
      <c r="A92" s="367"/>
      <c r="B92" s="472"/>
      <c r="C92" s="473">
        <v>100</v>
      </c>
      <c r="D92" s="473">
        <f>C92-$K19</f>
        <v>100</v>
      </c>
      <c r="E92" s="473">
        <f>D92-$K19</f>
        <v>100</v>
      </c>
      <c r="F92" s="473">
        <f>E92-$K19</f>
        <v>100</v>
      </c>
      <c r="G92" s="473">
        <f>F92-$K19</f>
        <v>100</v>
      </c>
      <c r="H92" s="473"/>
      <c r="I92" s="473"/>
      <c r="J92" s="473"/>
      <c r="K92" s="473"/>
      <c r="L92" s="473"/>
      <c r="M92" s="474"/>
      <c r="N92" s="2518"/>
      <c r="O92" s="2518"/>
      <c r="P92" s="2516"/>
      <c r="Q92" s="2504"/>
      <c r="R92" s="2483"/>
      <c r="S92" s="2483"/>
      <c r="T92" s="2483"/>
      <c r="U92" s="2483"/>
      <c r="V92" s="2483"/>
      <c r="W92" s="2483"/>
      <c r="X92" s="2483"/>
      <c r="Y92" s="2483"/>
      <c r="Z92" s="2483"/>
      <c r="AA92" s="2483"/>
      <c r="AB92" s="2483"/>
      <c r="AC92" s="2483"/>
    </row>
    <row r="93" spans="1:29" ht="15.75" thickTop="1">
      <c r="A93" s="367"/>
      <c r="B93" s="467" t="s">
        <v>1726</v>
      </c>
      <c r="C93" s="507" t="s">
        <v>1721</v>
      </c>
      <c r="D93" s="507" t="s">
        <v>1722</v>
      </c>
      <c r="E93" s="507" t="s">
        <v>1723</v>
      </c>
      <c r="F93" s="507" t="s">
        <v>1724</v>
      </c>
      <c r="G93" s="507" t="s">
        <v>1725</v>
      </c>
      <c r="H93" s="468"/>
      <c r="I93" s="468"/>
      <c r="J93" s="468"/>
      <c r="K93" s="469"/>
      <c r="L93" s="470"/>
      <c r="M93" s="471"/>
      <c r="N93" s="2517"/>
      <c r="O93" s="2517"/>
      <c r="P93" s="2516"/>
      <c r="Q93" s="2504"/>
      <c r="R93" s="2483"/>
      <c r="S93" s="2483"/>
      <c r="T93" s="2483"/>
      <c r="U93" s="2483"/>
      <c r="V93" s="2483"/>
      <c r="W93" s="2483"/>
      <c r="X93" s="2483"/>
      <c r="Y93" s="2483"/>
      <c r="Z93" s="2483"/>
      <c r="AA93" s="2483"/>
      <c r="AB93" s="2483"/>
      <c r="AC93" s="2483"/>
    </row>
    <row r="94" spans="1:29" ht="15.75" thickBot="1">
      <c r="A94" s="367"/>
      <c r="B94" s="472"/>
      <c r="C94" s="473">
        <v>100</v>
      </c>
      <c r="D94" s="473">
        <f>C94-$K21</f>
        <v>97</v>
      </c>
      <c r="E94" s="473">
        <f>D94-$K21</f>
        <v>94</v>
      </c>
      <c r="F94" s="473">
        <f>E94-$K21</f>
        <v>91</v>
      </c>
      <c r="G94" s="473">
        <f>F94-$K21</f>
        <v>88</v>
      </c>
      <c r="H94" s="473"/>
      <c r="I94" s="473"/>
      <c r="J94" s="473"/>
      <c r="K94" s="473"/>
      <c r="L94" s="473"/>
      <c r="M94" s="474"/>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7" t="s">
        <v>1906</v>
      </c>
      <c r="C95" s="507" t="s">
        <v>1721</v>
      </c>
      <c r="D95" s="507" t="s">
        <v>1722</v>
      </c>
      <c r="E95" s="507" t="s">
        <v>1723</v>
      </c>
      <c r="F95" s="507" t="s">
        <v>1724</v>
      </c>
      <c r="G95" s="507" t="s">
        <v>1725</v>
      </c>
      <c r="H95" s="507"/>
      <c r="I95" s="507"/>
      <c r="J95" s="507"/>
      <c r="K95" s="507"/>
      <c r="L95" s="616"/>
      <c r="M95" s="545"/>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2"/>
      <c r="C96" s="510">
        <v>100</v>
      </c>
      <c r="D96" s="473">
        <f>C96-$K23</f>
        <v>98</v>
      </c>
      <c r="E96" s="473">
        <f>D96-$K23</f>
        <v>96</v>
      </c>
      <c r="F96" s="473">
        <f>E96-$K23</f>
        <v>94</v>
      </c>
      <c r="G96" s="473">
        <f>F96-$K23</f>
        <v>92</v>
      </c>
      <c r="H96" s="473"/>
      <c r="I96" s="473"/>
      <c r="J96" s="473"/>
      <c r="K96" s="473"/>
      <c r="L96" s="473"/>
      <c r="M96" s="474"/>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7" t="s">
        <v>1907</v>
      </c>
      <c r="C97" s="502" t="s">
        <v>1721</v>
      </c>
      <c r="D97" s="502" t="s">
        <v>1722</v>
      </c>
      <c r="E97" s="502" t="s">
        <v>1723</v>
      </c>
      <c r="F97" s="502" t="s">
        <v>1724</v>
      </c>
      <c r="G97" s="502" t="s">
        <v>1725</v>
      </c>
      <c r="H97" s="507"/>
      <c r="I97" s="507"/>
      <c r="J97" s="507"/>
      <c r="K97" s="507"/>
      <c r="L97" s="507"/>
      <c r="M97" s="545"/>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2"/>
      <c r="C98" s="473">
        <v>100</v>
      </c>
      <c r="D98" s="473">
        <f>C98-$K25</f>
        <v>97</v>
      </c>
      <c r="E98" s="473">
        <f>D98-$K25</f>
        <v>94</v>
      </c>
      <c r="F98" s="473">
        <f>E98-$K25</f>
        <v>91</v>
      </c>
      <c r="G98" s="473">
        <f>F98-$K25</f>
        <v>88</v>
      </c>
      <c r="H98" s="473"/>
      <c r="I98" s="473"/>
      <c r="J98" s="473"/>
      <c r="K98" s="473"/>
      <c r="L98" s="473"/>
      <c r="M98" s="474"/>
      <c r="N98" s="2518"/>
      <c r="O98" s="2518"/>
      <c r="P98" s="2516"/>
      <c r="Q98" s="2504"/>
      <c r="R98" s="2435"/>
      <c r="S98" s="2435"/>
      <c r="T98" s="2435"/>
      <c r="U98" s="2435"/>
      <c r="V98" s="2435"/>
      <c r="W98" s="2435"/>
      <c r="X98" s="2435"/>
      <c r="Y98" s="2435"/>
      <c r="Z98" s="2435"/>
      <c r="AA98" s="2435"/>
      <c r="AB98" s="2435"/>
      <c r="AC98" s="2435"/>
    </row>
    <row r="99" spans="1:29" s="408" customFormat="1" ht="15.75" thickTop="1">
      <c r="A99" s="482"/>
      <c r="B99" s="467" t="s">
        <v>1778</v>
      </c>
      <c r="C99" s="502" t="s">
        <v>1721</v>
      </c>
      <c r="D99" s="502" t="s">
        <v>1722</v>
      </c>
      <c r="E99" s="502" t="s">
        <v>1723</v>
      </c>
      <c r="F99" s="502" t="s">
        <v>1724</v>
      </c>
      <c r="G99" s="502" t="s">
        <v>1725</v>
      </c>
      <c r="H99" s="525"/>
      <c r="I99" s="525"/>
      <c r="J99" s="525"/>
      <c r="K99" s="525"/>
      <c r="L99" s="526"/>
      <c r="M99" s="527"/>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2"/>
      <c r="B100" s="472"/>
      <c r="C100" s="473">
        <v>100</v>
      </c>
      <c r="D100" s="473">
        <f>C100-$K27</f>
        <v>97</v>
      </c>
      <c r="E100" s="473">
        <f>D100-$K27</f>
        <v>94</v>
      </c>
      <c r="F100" s="473">
        <f>E100-$K27</f>
        <v>91</v>
      </c>
      <c r="G100" s="473">
        <f>F100-$K27</f>
        <v>88</v>
      </c>
      <c r="H100" s="532"/>
      <c r="I100" s="532"/>
      <c r="J100" s="532"/>
      <c r="K100" s="532"/>
      <c r="L100" s="532"/>
      <c r="M100" s="533"/>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2"/>
      <c r="B101" s="475" t="s">
        <v>1779</v>
      </c>
      <c r="C101" s="579" t="s">
        <v>1799</v>
      </c>
      <c r="D101" s="579" t="s">
        <v>1800</v>
      </c>
      <c r="E101" s="579" t="s">
        <v>1801</v>
      </c>
      <c r="F101" s="579" t="s">
        <v>1802</v>
      </c>
      <c r="G101" s="579" t="s">
        <v>1803</v>
      </c>
      <c r="H101" s="525"/>
      <c r="I101" s="525"/>
      <c r="J101" s="525"/>
      <c r="K101" s="525"/>
      <c r="L101" s="525"/>
      <c r="M101" s="1062"/>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2"/>
      <c r="B102" s="475"/>
      <c r="C102" s="473">
        <v>100</v>
      </c>
      <c r="D102" s="473">
        <f>C102-$K29</f>
        <v>98</v>
      </c>
      <c r="E102" s="473">
        <f>D102-$K29</f>
        <v>96</v>
      </c>
      <c r="F102" s="473">
        <f>E102-$K29</f>
        <v>94</v>
      </c>
      <c r="G102" s="473">
        <f>F102-$K29</f>
        <v>92</v>
      </c>
      <c r="H102" s="477"/>
      <c r="I102" s="477"/>
      <c r="J102" s="477"/>
      <c r="K102" s="477"/>
      <c r="L102" s="477"/>
      <c r="M102" s="1062"/>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7" t="str">
        <f>B31</f>
        <v>临街状况</v>
      </c>
      <c r="C103" s="468" t="s">
        <v>1908</v>
      </c>
      <c r="D103" s="468" t="s">
        <v>1909</v>
      </c>
      <c r="E103" s="468" t="s">
        <v>1910</v>
      </c>
      <c r="F103" s="468" t="s">
        <v>1911</v>
      </c>
      <c r="G103" s="468"/>
      <c r="H103" s="468"/>
      <c r="I103" s="468"/>
      <c r="J103" s="468"/>
      <c r="K103" s="469"/>
      <c r="L103" s="470"/>
      <c r="M103" s="471"/>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7" t="s">
        <v>1815</v>
      </c>
      <c r="C105" s="483"/>
      <c r="D105" s="483"/>
      <c r="E105" s="483"/>
      <c r="F105" s="483"/>
      <c r="G105" s="483"/>
      <c r="H105" s="511"/>
      <c r="I105" s="511"/>
      <c r="J105" s="511"/>
      <c r="K105" s="512"/>
      <c r="L105" s="513"/>
      <c r="M105" s="514"/>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7" t="s">
        <v>1872</v>
      </c>
      <c r="C107" s="511"/>
      <c r="D107" s="511"/>
      <c r="E107" s="511"/>
      <c r="F107" s="511"/>
      <c r="G107" s="511"/>
      <c r="H107" s="511"/>
      <c r="I107" s="511"/>
      <c r="J107" s="511"/>
      <c r="K107" s="512"/>
      <c r="L107" s="513"/>
      <c r="M107" s="514"/>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5">
        <f>B35</f>
        <v>111</v>
      </c>
      <c r="C109" s="483"/>
      <c r="D109" s="483"/>
      <c r="E109" s="483"/>
      <c r="F109" s="483"/>
      <c r="G109" s="515"/>
      <c r="H109" s="515"/>
      <c r="I109" s="515"/>
      <c r="J109" s="515"/>
      <c r="K109" s="516"/>
      <c r="L109" s="517"/>
      <c r="M109" s="518"/>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498"/>
      <c r="C110" s="489"/>
      <c r="D110" s="489"/>
      <c r="E110" s="489"/>
      <c r="F110" s="489"/>
      <c r="G110" s="519"/>
      <c r="H110" s="519"/>
      <c r="I110" s="519"/>
      <c r="J110" s="519"/>
      <c r="K110" s="519"/>
      <c r="L110" s="519"/>
      <c r="M110" s="520"/>
      <c r="N110" s="2518"/>
      <c r="O110" s="2518"/>
      <c r="P110" s="2516"/>
      <c r="Q110" s="2504"/>
      <c r="R110" s="2483"/>
      <c r="S110" s="2483"/>
      <c r="T110" s="2483"/>
      <c r="U110" s="2483"/>
      <c r="V110" s="2483"/>
      <c r="W110" s="2483"/>
      <c r="X110" s="2483"/>
      <c r="Y110" s="2483"/>
      <c r="Z110" s="2483"/>
      <c r="AA110" s="2483"/>
      <c r="AB110" s="2483"/>
      <c r="AC110" s="2483"/>
    </row>
    <row r="111" spans="1:29" ht="15" thickTop="1">
      <c r="A111" s="593"/>
      <c r="B111" s="467">
        <f>B36</f>
        <v>111</v>
      </c>
      <c r="C111" s="31"/>
      <c r="D111" s="31"/>
      <c r="E111" s="31"/>
      <c r="F111" s="31"/>
      <c r="G111" s="511"/>
      <c r="H111" s="511"/>
      <c r="I111" s="511"/>
      <c r="J111" s="511"/>
      <c r="K111" s="512"/>
      <c r="L111" s="513"/>
      <c r="M111" s="514"/>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2"/>
      <c r="C112" s="499"/>
      <c r="D112" s="499"/>
      <c r="E112" s="499"/>
      <c r="F112" s="499"/>
      <c r="G112" s="465"/>
      <c r="H112" s="465"/>
      <c r="I112" s="465"/>
      <c r="J112" s="465"/>
      <c r="K112" s="465"/>
      <c r="L112" s="465"/>
      <c r="M112" s="466"/>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1">
        <f>B37</f>
        <v>111</v>
      </c>
      <c r="C113" s="6"/>
      <c r="D113" s="6"/>
      <c r="E113" s="6"/>
      <c r="F113" s="6"/>
      <c r="G113" s="6"/>
      <c r="H113" s="6"/>
      <c r="I113" s="6"/>
      <c r="J113" s="522"/>
      <c r="K113" s="522"/>
      <c r="L113" s="523"/>
      <c r="M113" s="524"/>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2"/>
      <c r="B114" s="475"/>
      <c r="C114" s="444"/>
      <c r="D114" s="595"/>
      <c r="E114" s="595"/>
      <c r="F114" s="595"/>
      <c r="G114" s="595"/>
      <c r="H114" s="595"/>
      <c r="I114" s="595"/>
      <c r="J114" s="595"/>
      <c r="K114" s="595"/>
      <c r="L114" s="595"/>
      <c r="M114" s="617"/>
      <c r="N114" s="2518"/>
      <c r="O114" s="2518"/>
      <c r="P114" s="2519"/>
      <c r="Q114" s="2511"/>
      <c r="R114" s="2489"/>
      <c r="S114" s="2489"/>
      <c r="T114" s="2489"/>
      <c r="U114" s="2489"/>
      <c r="V114" s="2489"/>
      <c r="W114" s="2489"/>
      <c r="X114" s="2489"/>
      <c r="Y114" s="2489"/>
      <c r="Z114" s="2489"/>
      <c r="AA114" s="2489"/>
      <c r="AB114" s="2489"/>
      <c r="AC114" s="2489"/>
    </row>
    <row r="115" spans="1:29" ht="28.5">
      <c r="A115" s="379" t="s">
        <v>1694</v>
      </c>
      <c r="B115" s="458" t="s">
        <v>1912</v>
      </c>
      <c r="C115" s="459" t="str">
        <f>C116&amp;"(含)"&amp;"-"&amp;D116</f>
        <v>0(含)-20000</v>
      </c>
      <c r="D115" s="459" t="str">
        <f t="shared" ref="D115:M115" si="25">D116&amp;"(含)"&amp;"-"&amp;E116</f>
        <v>20000(含)-50000</v>
      </c>
      <c r="E115" s="459" t="str">
        <f t="shared" si="25"/>
        <v>50000(含)-100000</v>
      </c>
      <c r="F115" s="459" t="str">
        <f t="shared" si="25"/>
        <v>100000(含)-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5"/>
      <c r="C116" s="6">
        <v>0</v>
      </c>
      <c r="D116" s="6">
        <v>20000</v>
      </c>
      <c r="E116" s="6">
        <v>50000</v>
      </c>
      <c r="F116" s="6">
        <v>100000</v>
      </c>
      <c r="G116" s="6"/>
      <c r="H116" s="6"/>
      <c r="I116" s="6"/>
      <c r="J116" s="522"/>
      <c r="K116" s="522"/>
      <c r="L116" s="523"/>
      <c r="M116" s="524"/>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2"/>
      <c r="C117" s="499">
        <v>100</v>
      </c>
      <c r="D117" s="519">
        <v>102</v>
      </c>
      <c r="E117" s="519">
        <v>104</v>
      </c>
      <c r="F117" s="519">
        <v>106</v>
      </c>
      <c r="G117" s="519"/>
      <c r="H117" s="519"/>
      <c r="I117" s="519"/>
      <c r="J117" s="519"/>
      <c r="K117" s="519"/>
      <c r="L117" s="519"/>
      <c r="M117" s="520"/>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7" t="s">
        <v>1913</v>
      </c>
      <c r="C118" s="511" t="s">
        <v>5790</v>
      </c>
      <c r="D118" s="511" t="s">
        <v>5797</v>
      </c>
      <c r="E118" s="511" t="s">
        <v>5795</v>
      </c>
      <c r="F118" s="511" t="s">
        <v>5798</v>
      </c>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2"/>
      <c r="C119" s="473">
        <v>100</v>
      </c>
      <c r="D119" s="473">
        <f t="shared" ref="D119:M119" si="26">C119-$K39</f>
        <v>98</v>
      </c>
      <c r="E119" s="473">
        <f t="shared" si="26"/>
        <v>96</v>
      </c>
      <c r="F119" s="473">
        <f t="shared" si="26"/>
        <v>94</v>
      </c>
      <c r="G119" s="473">
        <f t="shared" si="26"/>
        <v>92</v>
      </c>
      <c r="H119" s="473">
        <f t="shared" si="26"/>
        <v>90</v>
      </c>
      <c r="I119" s="473">
        <f t="shared" si="26"/>
        <v>88</v>
      </c>
      <c r="J119" s="473">
        <f t="shared" si="26"/>
        <v>86</v>
      </c>
      <c r="K119" s="473">
        <f t="shared" si="26"/>
        <v>84</v>
      </c>
      <c r="L119" s="473">
        <f t="shared" si="26"/>
        <v>82</v>
      </c>
      <c r="M119" s="474">
        <f t="shared" si="26"/>
        <v>80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7" t="s">
        <v>1914</v>
      </c>
      <c r="C120" s="483"/>
      <c r="D120" s="483"/>
      <c r="E120" s="483"/>
      <c r="F120" s="511"/>
      <c r="G120" s="511"/>
      <c r="H120" s="511"/>
      <c r="I120" s="511"/>
      <c r="J120" s="511"/>
      <c r="K120" s="512"/>
      <c r="L120" s="513"/>
      <c r="M120" s="514"/>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2"/>
      <c r="C121" s="473">
        <v>100</v>
      </c>
      <c r="D121" s="473">
        <f t="shared" ref="D121:M121" si="27">C121-$K40</f>
        <v>98</v>
      </c>
      <c r="E121" s="473">
        <f t="shared" si="27"/>
        <v>96</v>
      </c>
      <c r="F121" s="473">
        <f t="shared" si="27"/>
        <v>94</v>
      </c>
      <c r="G121" s="473">
        <f t="shared" si="27"/>
        <v>92</v>
      </c>
      <c r="H121" s="473">
        <f t="shared" si="27"/>
        <v>90</v>
      </c>
      <c r="I121" s="473">
        <f t="shared" si="27"/>
        <v>88</v>
      </c>
      <c r="J121" s="473">
        <f t="shared" si="27"/>
        <v>86</v>
      </c>
      <c r="K121" s="473">
        <f t="shared" si="27"/>
        <v>84</v>
      </c>
      <c r="L121" s="473">
        <f t="shared" si="27"/>
        <v>82</v>
      </c>
      <c r="M121" s="474">
        <f t="shared" si="27"/>
        <v>80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7" t="s">
        <v>1915</v>
      </c>
      <c r="C122" s="483" t="s">
        <v>5789</v>
      </c>
      <c r="D122" s="483" t="s">
        <v>5791</v>
      </c>
      <c r="E122" s="483" t="s">
        <v>5799</v>
      </c>
      <c r="F122" s="483"/>
      <c r="G122" s="483"/>
      <c r="H122" s="511"/>
      <c r="I122" s="511"/>
      <c r="J122" s="511"/>
      <c r="K122" s="512"/>
      <c r="L122" s="513"/>
      <c r="M122" s="514"/>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2"/>
      <c r="B123" s="472"/>
      <c r="C123" s="473">
        <v>100</v>
      </c>
      <c r="D123" s="473">
        <f t="shared" ref="D123:M123" si="28">C123-$K41</f>
        <v>98</v>
      </c>
      <c r="E123" s="473">
        <f t="shared" si="28"/>
        <v>96</v>
      </c>
      <c r="F123" s="473">
        <f t="shared" si="28"/>
        <v>94</v>
      </c>
      <c r="G123" s="473">
        <f t="shared" si="28"/>
        <v>92</v>
      </c>
      <c r="H123" s="473">
        <f t="shared" si="28"/>
        <v>90</v>
      </c>
      <c r="I123" s="473">
        <f t="shared" si="28"/>
        <v>88</v>
      </c>
      <c r="J123" s="473">
        <f t="shared" si="28"/>
        <v>86</v>
      </c>
      <c r="K123" s="473">
        <f t="shared" si="28"/>
        <v>84</v>
      </c>
      <c r="L123" s="473">
        <f t="shared" si="28"/>
        <v>82</v>
      </c>
      <c r="M123" s="474">
        <f t="shared" si="28"/>
        <v>80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7" t="s">
        <v>1916</v>
      </c>
      <c r="C124" s="483"/>
      <c r="D124" s="483"/>
      <c r="E124" s="511"/>
      <c r="F124" s="511"/>
      <c r="G124" s="511"/>
      <c r="H124" s="511"/>
      <c r="I124" s="511"/>
      <c r="J124" s="511"/>
      <c r="K124" s="512"/>
      <c r="L124" s="513"/>
      <c r="M124" s="514"/>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2"/>
      <c r="C125" s="473">
        <v>100</v>
      </c>
      <c r="D125" s="473">
        <f t="shared" ref="D125:M125" si="29">C125-$K42</f>
        <v>98</v>
      </c>
      <c r="E125" s="473">
        <f t="shared" si="29"/>
        <v>96</v>
      </c>
      <c r="F125" s="473">
        <f t="shared" si="29"/>
        <v>94</v>
      </c>
      <c r="G125" s="473">
        <f t="shared" si="29"/>
        <v>92</v>
      </c>
      <c r="H125" s="473">
        <f t="shared" si="29"/>
        <v>90</v>
      </c>
      <c r="I125" s="473">
        <f t="shared" si="29"/>
        <v>88</v>
      </c>
      <c r="J125" s="473">
        <f t="shared" si="29"/>
        <v>86</v>
      </c>
      <c r="K125" s="473">
        <f t="shared" si="29"/>
        <v>84</v>
      </c>
      <c r="L125" s="473">
        <f t="shared" si="29"/>
        <v>82</v>
      </c>
      <c r="M125" s="474">
        <f t="shared" si="29"/>
        <v>80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7">
        <f>B43</f>
        <v>111</v>
      </c>
      <c r="C126" s="483"/>
      <c r="D126" s="483"/>
      <c r="E126" s="483"/>
      <c r="F126" s="483"/>
      <c r="G126" s="483"/>
      <c r="H126" s="511"/>
      <c r="I126" s="511"/>
      <c r="J126" s="511"/>
      <c r="K126" s="512"/>
      <c r="L126" s="513"/>
      <c r="M126" s="514"/>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2"/>
      <c r="C127" s="489"/>
      <c r="D127" s="489"/>
      <c r="E127" s="489"/>
      <c r="F127" s="489"/>
      <c r="G127" s="465"/>
      <c r="H127" s="465"/>
      <c r="I127" s="465"/>
      <c r="J127" s="465"/>
      <c r="K127" s="465"/>
      <c r="L127" s="465"/>
      <c r="M127" s="466"/>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7">
        <f>B44</f>
        <v>111</v>
      </c>
      <c r="C128" s="31"/>
      <c r="D128" s="31"/>
      <c r="E128" s="31"/>
      <c r="F128" s="31"/>
      <c r="G128" s="511"/>
      <c r="H128" s="511"/>
      <c r="I128" s="511"/>
      <c r="J128" s="511"/>
      <c r="K128" s="512"/>
      <c r="L128" s="513"/>
      <c r="M128" s="514"/>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2"/>
      <c r="C129" s="499"/>
      <c r="D129" s="499"/>
      <c r="E129" s="499"/>
      <c r="F129" s="499"/>
      <c r="G129" s="465"/>
      <c r="H129" s="465"/>
      <c r="I129" s="465"/>
      <c r="J129" s="465"/>
      <c r="K129" s="465"/>
      <c r="L129" s="465"/>
      <c r="M129" s="466"/>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7">
        <f>B45</f>
        <v>111</v>
      </c>
      <c r="C130" s="31"/>
      <c r="D130" s="31"/>
      <c r="E130" s="31"/>
      <c r="F130" s="31"/>
      <c r="G130" s="484"/>
      <c r="H130" s="484"/>
      <c r="I130" s="484"/>
      <c r="J130" s="484"/>
      <c r="K130" s="484"/>
      <c r="L130" s="485"/>
      <c r="M130" s="486"/>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7"/>
      <c r="B131" s="618"/>
      <c r="C131" s="499"/>
      <c r="D131" s="499"/>
      <c r="E131" s="499"/>
      <c r="F131" s="499"/>
      <c r="G131" s="519"/>
      <c r="H131" s="519"/>
      <c r="I131" s="519"/>
      <c r="J131" s="519"/>
      <c r="K131" s="519"/>
      <c r="L131" s="519"/>
      <c r="M131" s="520"/>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P14"/>
  <sheetViews>
    <sheetView zoomScaleNormal="100" workbookViewId="0">
      <selection activeCell="A10" sqref="A10:XFD10"/>
    </sheetView>
  </sheetViews>
  <sheetFormatPr defaultRowHeight="13.5"/>
  <cols>
    <col min="1" max="1" width="25.25" style="3157" customWidth="1"/>
    <col min="2" max="2" width="9" style="3157"/>
    <col min="3" max="3" width="21" style="3157" customWidth="1"/>
    <col min="4" max="16384" width="9" style="3157"/>
  </cols>
  <sheetData>
    <row r="1" spans="1:16">
      <c r="A1" s="3178" t="s">
        <v>5699</v>
      </c>
      <c r="B1" s="3178" t="s">
        <v>5700</v>
      </c>
      <c r="C1" s="3178" t="s">
        <v>5701</v>
      </c>
      <c r="D1" s="3178" t="s">
        <v>5702</v>
      </c>
      <c r="E1" s="3178" t="s">
        <v>5703</v>
      </c>
      <c r="F1" s="3178" t="s">
        <v>5704</v>
      </c>
      <c r="G1" s="3178" t="s">
        <v>5705</v>
      </c>
      <c r="H1" s="3178" t="s">
        <v>5706</v>
      </c>
      <c r="I1" s="3178" t="s">
        <v>5707</v>
      </c>
      <c r="J1" s="3178" t="s">
        <v>5708</v>
      </c>
      <c r="K1" s="3178" t="s">
        <v>5709</v>
      </c>
      <c r="L1" s="3178" t="s">
        <v>5710</v>
      </c>
      <c r="M1" s="3178" t="s">
        <v>5711</v>
      </c>
      <c r="N1" s="3178" t="s">
        <v>5712</v>
      </c>
      <c r="O1" s="3178" t="s">
        <v>5713</v>
      </c>
      <c r="P1" s="3178" t="s">
        <v>5714</v>
      </c>
    </row>
    <row r="2" spans="1:16">
      <c r="A2" s="3179" t="s">
        <v>5715</v>
      </c>
      <c r="B2" s="3179" t="s">
        <v>5688</v>
      </c>
      <c r="C2" s="3179" t="s">
        <v>5716</v>
      </c>
      <c r="D2" s="3179" t="s">
        <v>5717</v>
      </c>
      <c r="E2" s="3179">
        <v>39737.800000000003</v>
      </c>
      <c r="F2" s="3179">
        <v>73299.740000000005</v>
      </c>
      <c r="G2" s="3179" t="s">
        <v>5718</v>
      </c>
      <c r="H2" s="3179" t="s">
        <v>5719</v>
      </c>
      <c r="I2" s="3179" t="s">
        <v>5720</v>
      </c>
      <c r="J2" s="3179" t="s">
        <v>5721</v>
      </c>
      <c r="K2" s="3179" t="s">
        <v>5722</v>
      </c>
      <c r="L2" s="3179" t="s">
        <v>5723</v>
      </c>
      <c r="M2" s="3179" t="s">
        <v>5724</v>
      </c>
      <c r="N2" s="3179">
        <v>750200</v>
      </c>
      <c r="O2" s="3179">
        <v>102347</v>
      </c>
      <c r="P2" s="3179">
        <v>27.93</v>
      </c>
    </row>
    <row r="3" spans="1:16">
      <c r="A3" s="3179" t="s">
        <v>5725</v>
      </c>
      <c r="B3" s="3179" t="s">
        <v>5688</v>
      </c>
      <c r="C3" s="3179" t="s">
        <v>5726</v>
      </c>
      <c r="D3" s="3179" t="s">
        <v>5717</v>
      </c>
      <c r="E3" s="3179">
        <v>42734.16</v>
      </c>
      <c r="F3" s="3179">
        <v>102561.97</v>
      </c>
      <c r="G3" s="3179" t="s">
        <v>5727</v>
      </c>
      <c r="H3" s="3179" t="s">
        <v>5719</v>
      </c>
      <c r="I3" s="3179" t="s">
        <v>5720</v>
      </c>
      <c r="J3" s="3179" t="s">
        <v>5721</v>
      </c>
      <c r="K3" s="3179" t="s">
        <v>5728</v>
      </c>
      <c r="L3" s="3179" t="s">
        <v>5723</v>
      </c>
      <c r="M3" s="3179" t="s">
        <v>5729</v>
      </c>
      <c r="N3" s="3179">
        <v>915200</v>
      </c>
      <c r="O3" s="3179">
        <v>89234</v>
      </c>
      <c r="P3" s="3179">
        <v>17.329999999999998</v>
      </c>
    </row>
    <row r="4" spans="1:16">
      <c r="A4" s="3179" t="s">
        <v>5730</v>
      </c>
      <c r="B4" s="3179" t="s">
        <v>5688</v>
      </c>
      <c r="C4" s="3179" t="s">
        <v>5731</v>
      </c>
      <c r="D4" s="3179" t="s">
        <v>5717</v>
      </c>
      <c r="E4" s="3179">
        <v>39303.71</v>
      </c>
      <c r="F4" s="3179">
        <v>95114.98</v>
      </c>
      <c r="G4" s="3179" t="s">
        <v>5732</v>
      </c>
      <c r="H4" s="3179" t="s">
        <v>5719</v>
      </c>
      <c r="I4" s="3179" t="s">
        <v>5720</v>
      </c>
      <c r="J4" s="3179" t="s">
        <v>5721</v>
      </c>
      <c r="K4" s="3179" t="s">
        <v>5728</v>
      </c>
      <c r="L4" s="3179" t="s">
        <v>5723</v>
      </c>
      <c r="M4" s="3179" t="s">
        <v>5733</v>
      </c>
      <c r="N4" s="3179">
        <v>904040</v>
      </c>
      <c r="O4" s="3179">
        <v>95047</v>
      </c>
      <c r="P4" s="3179">
        <v>25.04</v>
      </c>
    </row>
    <row r="5" spans="1:16">
      <c r="A5" s="3178" t="s">
        <v>5734</v>
      </c>
      <c r="B5" s="3178" t="s">
        <v>5688</v>
      </c>
      <c r="C5" s="3178" t="s">
        <v>5735</v>
      </c>
      <c r="D5" s="3178" t="s">
        <v>5717</v>
      </c>
      <c r="E5" s="3178">
        <v>34678.620000000003</v>
      </c>
      <c r="F5" s="3178">
        <v>72825.100000000006</v>
      </c>
      <c r="G5" s="3178" t="s">
        <v>5736</v>
      </c>
      <c r="H5" s="3178" t="s">
        <v>5719</v>
      </c>
      <c r="I5" s="3178" t="s">
        <v>5720</v>
      </c>
      <c r="J5" s="3178" t="s">
        <v>5721</v>
      </c>
      <c r="K5" s="3178" t="s">
        <v>5737</v>
      </c>
      <c r="L5" s="3178" t="s">
        <v>5723</v>
      </c>
      <c r="M5" s="3178" t="s">
        <v>5738</v>
      </c>
      <c r="N5" s="3178">
        <v>517500</v>
      </c>
      <c r="O5" s="3178">
        <v>71061</v>
      </c>
      <c r="P5" s="3178">
        <v>15</v>
      </c>
    </row>
    <row r="6" spans="1:16">
      <c r="A6" s="3178" t="s">
        <v>5739</v>
      </c>
      <c r="B6" s="3178" t="s">
        <v>5688</v>
      </c>
      <c r="C6" s="3178" t="s">
        <v>5740</v>
      </c>
      <c r="D6" s="3178" t="s">
        <v>5717</v>
      </c>
      <c r="E6" s="3178">
        <v>42463.44</v>
      </c>
      <c r="F6" s="3178">
        <v>89173.23</v>
      </c>
      <c r="G6" s="3178" t="s">
        <v>5736</v>
      </c>
      <c r="H6" s="3178" t="s">
        <v>5719</v>
      </c>
      <c r="I6" s="3178" t="s">
        <v>5720</v>
      </c>
      <c r="J6" s="3178" t="s">
        <v>5721</v>
      </c>
      <c r="K6" s="3178" t="s">
        <v>5737</v>
      </c>
      <c r="L6" s="3178" t="s">
        <v>5723</v>
      </c>
      <c r="M6" s="3178" t="s">
        <v>5741</v>
      </c>
      <c r="N6" s="3178">
        <v>638250</v>
      </c>
      <c r="O6" s="3178">
        <v>71574</v>
      </c>
      <c r="P6" s="3178">
        <v>15</v>
      </c>
    </row>
    <row r="7" spans="1:16">
      <c r="A7" s="3178" t="s">
        <v>5742</v>
      </c>
      <c r="B7" s="3178" t="s">
        <v>5688</v>
      </c>
      <c r="C7" s="3178" t="s">
        <v>5743</v>
      </c>
      <c r="D7" s="3178" t="s">
        <v>5744</v>
      </c>
      <c r="E7" s="3178">
        <v>85584.57</v>
      </c>
      <c r="F7" s="3178">
        <v>162894.59</v>
      </c>
      <c r="G7" s="3178" t="s">
        <v>5745</v>
      </c>
      <c r="H7" s="3178" t="s">
        <v>5719</v>
      </c>
      <c r="I7" s="3178" t="s">
        <v>5746</v>
      </c>
      <c r="J7" s="3178" t="s">
        <v>5721</v>
      </c>
      <c r="K7" s="3178" t="s">
        <v>5747</v>
      </c>
      <c r="L7" s="3178" t="s">
        <v>5723</v>
      </c>
      <c r="M7" s="3178" t="s">
        <v>5748</v>
      </c>
      <c r="N7" s="3178">
        <v>890100</v>
      </c>
      <c r="O7" s="3178">
        <v>54643</v>
      </c>
      <c r="P7" s="3178">
        <v>3.5</v>
      </c>
    </row>
    <row r="8" spans="1:16">
      <c r="A8" s="3178" t="s">
        <v>5749</v>
      </c>
      <c r="B8" s="3178" t="s">
        <v>5688</v>
      </c>
      <c r="C8" s="3178" t="s">
        <v>5750</v>
      </c>
      <c r="D8" s="3178" t="s">
        <v>5744</v>
      </c>
      <c r="E8" s="3178">
        <v>89529.8</v>
      </c>
      <c r="F8" s="3178">
        <v>222463.3</v>
      </c>
      <c r="G8" s="3178" t="s">
        <v>5751</v>
      </c>
      <c r="H8" s="3178" t="s">
        <v>5719</v>
      </c>
      <c r="I8" s="3178" t="s">
        <v>5752</v>
      </c>
      <c r="J8" s="3178" t="s">
        <v>5721</v>
      </c>
      <c r="K8" s="3178" t="s">
        <v>5753</v>
      </c>
      <c r="L8" s="3178" t="s">
        <v>5723</v>
      </c>
      <c r="M8" s="3178" t="s">
        <v>5754</v>
      </c>
      <c r="N8" s="3178">
        <v>791700</v>
      </c>
      <c r="O8" s="3178">
        <v>35588</v>
      </c>
      <c r="P8" s="3178">
        <v>1.5</v>
      </c>
    </row>
    <row r="9" spans="1:16">
      <c r="A9" s="3178" t="s">
        <v>5755</v>
      </c>
      <c r="B9" s="3178" t="s">
        <v>5688</v>
      </c>
      <c r="C9" s="3178" t="s">
        <v>5756</v>
      </c>
      <c r="D9" s="3178" t="s">
        <v>5717</v>
      </c>
      <c r="E9" s="3178">
        <v>25268.17</v>
      </c>
      <c r="F9" s="3178">
        <v>45482.71</v>
      </c>
      <c r="G9" s="3178" t="s">
        <v>5757</v>
      </c>
      <c r="H9" s="3178" t="s">
        <v>5719</v>
      </c>
      <c r="I9" s="3178" t="s">
        <v>5758</v>
      </c>
      <c r="J9" s="3178" t="s">
        <v>5721</v>
      </c>
      <c r="K9" s="3178" t="s">
        <v>5759</v>
      </c>
      <c r="L9" s="3178" t="s">
        <v>5723</v>
      </c>
      <c r="M9" s="3178" t="s">
        <v>5760</v>
      </c>
      <c r="N9" s="3178">
        <v>288650</v>
      </c>
      <c r="O9" s="3178">
        <v>63464</v>
      </c>
      <c r="P9" s="3178">
        <v>15</v>
      </c>
    </row>
    <row r="10" spans="1:16">
      <c r="A10" s="3178" t="s">
        <v>5761</v>
      </c>
      <c r="B10" s="3178" t="s">
        <v>5688</v>
      </c>
      <c r="C10" s="3178" t="s">
        <v>5762</v>
      </c>
      <c r="D10" s="3178" t="s">
        <v>5717</v>
      </c>
      <c r="E10" s="3178">
        <v>73887.38</v>
      </c>
      <c r="F10" s="3178">
        <v>89552.29</v>
      </c>
      <c r="G10" s="3178" t="s">
        <v>5763</v>
      </c>
      <c r="H10" s="3178" t="s">
        <v>5719</v>
      </c>
      <c r="I10" s="3178" t="s">
        <v>5758</v>
      </c>
      <c r="J10" s="3178" t="s">
        <v>5721</v>
      </c>
      <c r="K10" s="3178" t="s">
        <v>5764</v>
      </c>
      <c r="L10" s="3178" t="s">
        <v>5723</v>
      </c>
      <c r="M10" s="3178" t="s">
        <v>5765</v>
      </c>
      <c r="N10" s="3178">
        <v>793500</v>
      </c>
      <c r="O10" s="3178">
        <v>88607</v>
      </c>
      <c r="P10" s="3178">
        <v>15</v>
      </c>
    </row>
    <row r="11" spans="1:16">
      <c r="A11" s="3178" t="s">
        <v>5766</v>
      </c>
      <c r="B11" s="3178" t="s">
        <v>5688</v>
      </c>
      <c r="C11" s="3178" t="s">
        <v>5767</v>
      </c>
      <c r="D11" s="3178" t="s">
        <v>5717</v>
      </c>
      <c r="E11" s="3178">
        <v>18388.669999999998</v>
      </c>
      <c r="F11" s="3178">
        <v>21809.34</v>
      </c>
      <c r="G11" s="3178" t="s">
        <v>5763</v>
      </c>
      <c r="H11" s="3178" t="s">
        <v>5719</v>
      </c>
      <c r="I11" s="3178" t="s">
        <v>5758</v>
      </c>
      <c r="J11" s="3178" t="s">
        <v>5721</v>
      </c>
      <c r="K11" s="3178" t="s">
        <v>5764</v>
      </c>
      <c r="L11" s="3178" t="s">
        <v>5723</v>
      </c>
      <c r="M11" s="3178" t="s">
        <v>5768</v>
      </c>
      <c r="N11" s="3178">
        <v>195500</v>
      </c>
      <c r="O11" s="3178">
        <v>89640</v>
      </c>
      <c r="P11" s="3178">
        <v>15</v>
      </c>
    </row>
    <row r="12" spans="1:16">
      <c r="A12" s="3178" t="s">
        <v>5769</v>
      </c>
      <c r="B12" s="3178" t="s">
        <v>5688</v>
      </c>
      <c r="C12" s="3178" t="s">
        <v>5770</v>
      </c>
      <c r="D12" s="3178" t="s">
        <v>5744</v>
      </c>
      <c r="E12" s="3178">
        <v>46313.85</v>
      </c>
      <c r="F12" s="3178">
        <v>104753.24</v>
      </c>
      <c r="G12" s="3178" t="s">
        <v>5771</v>
      </c>
      <c r="H12" s="3178" t="s">
        <v>5719</v>
      </c>
      <c r="I12" s="3178" t="s">
        <v>5772</v>
      </c>
      <c r="J12" s="3178" t="s">
        <v>5773</v>
      </c>
      <c r="K12" s="3178" t="s">
        <v>5774</v>
      </c>
      <c r="L12" s="3178" t="s">
        <v>5723</v>
      </c>
      <c r="M12" s="3178" t="s">
        <v>5724</v>
      </c>
      <c r="N12" s="3178">
        <v>557750</v>
      </c>
      <c r="O12" s="3178">
        <v>53244</v>
      </c>
      <c r="P12" s="3178">
        <v>15</v>
      </c>
    </row>
    <row r="13" spans="1:16">
      <c r="A13" s="3178" t="s">
        <v>5775</v>
      </c>
      <c r="B13" s="3178" t="s">
        <v>5688</v>
      </c>
      <c r="C13" s="3178" t="s">
        <v>5776</v>
      </c>
      <c r="D13" s="3178" t="s">
        <v>5717</v>
      </c>
      <c r="E13" s="3178">
        <v>47827.06</v>
      </c>
      <c r="F13" s="3178">
        <v>71740.59</v>
      </c>
      <c r="G13" s="3178" t="s">
        <v>5777</v>
      </c>
      <c r="H13" s="3178" t="s">
        <v>5719</v>
      </c>
      <c r="I13" s="3178" t="s">
        <v>5720</v>
      </c>
      <c r="J13" s="3178" t="s">
        <v>5773</v>
      </c>
      <c r="K13" s="3178" t="s">
        <v>5774</v>
      </c>
      <c r="L13" s="3178" t="s">
        <v>5723</v>
      </c>
      <c r="M13" s="3178" t="s">
        <v>5724</v>
      </c>
      <c r="N13" s="3178">
        <v>419750</v>
      </c>
      <c r="O13" s="3178">
        <v>58509</v>
      </c>
      <c r="P13" s="3178">
        <v>15</v>
      </c>
    </row>
    <row r="14" spans="1:16">
      <c r="A14" s="3178" t="s">
        <v>5778</v>
      </c>
      <c r="B14" s="3178" t="s">
        <v>5688</v>
      </c>
      <c r="C14" s="3178" t="s">
        <v>5779</v>
      </c>
      <c r="D14" s="3178" t="s">
        <v>5744</v>
      </c>
      <c r="E14" s="3178">
        <v>52463.4</v>
      </c>
      <c r="F14" s="3178">
        <v>123492.16</v>
      </c>
      <c r="G14" s="3178" t="s">
        <v>5780</v>
      </c>
      <c r="H14" s="3178" t="s">
        <v>5719</v>
      </c>
      <c r="I14" s="3178" t="s">
        <v>5781</v>
      </c>
      <c r="J14" s="3178" t="s">
        <v>5773</v>
      </c>
      <c r="K14" s="3178" t="s">
        <v>5774</v>
      </c>
      <c r="L14" s="3178" t="s">
        <v>5723</v>
      </c>
      <c r="M14" s="3178" t="s">
        <v>5782</v>
      </c>
      <c r="N14" s="3178">
        <v>531800</v>
      </c>
      <c r="O14" s="3178">
        <v>43063</v>
      </c>
      <c r="P14" s="3178">
        <v>4.4800000000000004</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
    <tabColor rgb="FF92D050"/>
    <pageSetUpPr fitToPage="1"/>
  </sheetPr>
  <dimension ref="A1:AG34"/>
  <sheetViews>
    <sheetView view="pageBreakPreview" zoomScaleNormal="70" zoomScaleSheetLayoutView="100" workbookViewId="0">
      <selection activeCell="C32" sqref="C32"/>
    </sheetView>
  </sheetViews>
  <sheetFormatPr defaultColWidth="6.625" defaultRowHeight="12.75"/>
  <cols>
    <col min="1" max="1" width="9.75" style="685" customWidth="1"/>
    <col min="2" max="2" width="25.75" style="732" customWidth="1"/>
    <col min="3" max="3" width="10.375" style="771" customWidth="1"/>
    <col min="4" max="4" width="9.875" style="732" customWidth="1"/>
    <col min="5" max="5" width="9.5" style="685"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1594</v>
      </c>
      <c r="B1" s="121"/>
      <c r="C1" s="1107"/>
      <c r="D1" s="1106"/>
      <c r="E1" s="2563"/>
      <c r="F1" s="2563"/>
      <c r="G1" s="2444"/>
      <c r="H1" s="2563"/>
      <c r="I1" s="2563"/>
      <c r="J1" s="2563"/>
      <c r="K1" s="2564">
        <f>MATCH(C1,'数据-取费表'!A6:A16,0)+5</f>
        <v>9</v>
      </c>
    </row>
    <row r="2" spans="1:33" ht="18" customHeight="1">
      <c r="A2" s="193" t="s">
        <v>1462</v>
      </c>
      <c r="B2" s="196">
        <f ca="1">C32</f>
        <v>443214</v>
      </c>
      <c r="C2" s="268" t="s">
        <v>1595</v>
      </c>
      <c r="D2" s="268"/>
      <c r="E2" s="2563"/>
      <c r="F2" s="2563"/>
      <c r="G2" s="2563"/>
      <c r="H2" s="2563"/>
      <c r="I2" s="2563"/>
      <c r="J2" s="2563"/>
      <c r="K2" s="2563"/>
    </row>
    <row r="3" spans="1:33" ht="18" customHeight="1" thickBot="1">
      <c r="A3" s="195" t="s">
        <v>1464</v>
      </c>
      <c r="B3" s="196">
        <f ca="1">ROUND(B2*10000/IF(C1="",'数据-汇总表'!E3,INDIRECT("'数据-取费表'!K"&amp;$K$1)),0)</f>
        <v>65609</v>
      </c>
      <c r="C3" s="268" t="s">
        <v>1596</v>
      </c>
      <c r="D3" s="268"/>
      <c r="E3" s="2563"/>
      <c r="F3" s="2563"/>
      <c r="G3" s="2563"/>
      <c r="H3" s="2563"/>
      <c r="I3" s="2563"/>
      <c r="J3" s="2563"/>
      <c r="K3" s="2563"/>
    </row>
    <row r="4" spans="1:33" s="736" customFormat="1" ht="16.5" customHeight="1">
      <c r="A4" s="733" t="s">
        <v>1597</v>
      </c>
      <c r="B4" s="734"/>
      <c r="C4" s="772">
        <f>SUM(C8:K8)</f>
        <v>498857</v>
      </c>
      <c r="D4" s="734"/>
      <c r="E4" s="734"/>
      <c r="F4" s="734"/>
      <c r="G4" s="734"/>
      <c r="H4" s="734"/>
      <c r="I4" s="734"/>
      <c r="J4" s="734"/>
      <c r="K4" s="735"/>
    </row>
    <row r="5" spans="1:33" s="740" customFormat="1" ht="15">
      <c r="A5" s="737" t="s">
        <v>1598</v>
      </c>
      <c r="B5" s="738" t="s">
        <v>1599</v>
      </c>
      <c r="C5" s="1715" t="s">
        <v>3395</v>
      </c>
      <c r="D5" s="1715" t="s">
        <v>5692</v>
      </c>
      <c r="E5" s="1715" t="s">
        <v>5691</v>
      </c>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f>'比较法-住宅'!B3</f>
        <v>119971</v>
      </c>
      <c r="D6" s="742">
        <f>'比较法-车位'!B3</f>
        <v>10744</v>
      </c>
      <c r="E6" s="742">
        <f>'比较法-仓储'!B3</f>
        <v>31337</v>
      </c>
      <c r="F6" s="742"/>
      <c r="G6" s="742"/>
      <c r="H6" s="742"/>
      <c r="I6" s="742"/>
      <c r="J6" s="742"/>
      <c r="K6" s="743"/>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1" t="s">
        <v>1601</v>
      </c>
      <c r="B7" s="123" t="s">
        <v>1602</v>
      </c>
      <c r="C7" s="269">
        <f>SUMIF('数据-汇总表'!$C19:$C33,假设开发法!C5,'数据-汇总表'!$E19:$E33)</f>
        <v>36124.270000000026</v>
      </c>
      <c r="D7" s="269">
        <f>SUMIF('数据-汇总表'!$C19:$C33,假设开发法!D5,'数据-汇总表'!$E19:$E33)</f>
        <v>16034.629999999899</v>
      </c>
      <c r="E7" s="269">
        <f>SUMIF('数据-汇总表'!$C19:$C33,假设开发法!E5,'数据-汇总表'!$E19:$E33)</f>
        <v>15395.17</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6" t="s">
        <v>1603</v>
      </c>
      <c r="B8" s="156" t="s">
        <v>1604</v>
      </c>
      <c r="C8" s="773">
        <f>'比较法-住宅'!B2</f>
        <v>433386</v>
      </c>
      <c r="D8" s="773">
        <f>'比较法-车位'!B2</f>
        <v>17227</v>
      </c>
      <c r="E8" s="773">
        <f>'比较法-仓储'!B2</f>
        <v>48244</v>
      </c>
      <c r="F8" s="774"/>
      <c r="G8" s="774"/>
      <c r="H8" s="774"/>
      <c r="I8" s="774"/>
      <c r="J8" s="774"/>
      <c r="K8" s="775"/>
      <c r="L8" s="682"/>
      <c r="M8" s="682"/>
      <c r="N8" s="682"/>
      <c r="O8" s="682"/>
      <c r="P8" s="682"/>
      <c r="Q8" s="682"/>
      <c r="R8" s="682"/>
      <c r="S8" s="682"/>
      <c r="T8" s="682"/>
      <c r="U8" s="682"/>
      <c r="V8" s="682"/>
      <c r="W8" s="682"/>
      <c r="X8" s="682"/>
      <c r="Y8" s="682"/>
      <c r="Z8" s="682"/>
      <c r="AA8" s="682"/>
      <c r="AB8" s="682"/>
      <c r="AC8" s="682"/>
      <c r="AD8" s="682"/>
      <c r="AE8" s="682"/>
      <c r="AF8" s="682"/>
      <c r="AG8" s="682"/>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4071</v>
      </c>
      <c r="D11" s="751"/>
      <c r="E11" s="138"/>
      <c r="F11" s="761">
        <f ca="1">1-IF('数据-取费表'!B24=0,1,IF(C1="",'数据-取费表'!N16,INDIRECT("'数据-取费表'!n"&amp;$K$1)))</f>
        <v>9.9999999999999978E-2</v>
      </c>
      <c r="G11" s="5"/>
      <c r="H11" s="746"/>
      <c r="I11" s="746"/>
      <c r="J11" s="746"/>
      <c r="K11" s="747"/>
    </row>
    <row r="12" spans="1:33" s="752" customFormat="1" ht="13.5" customHeight="1">
      <c r="A12" s="749" t="s">
        <v>636</v>
      </c>
      <c r="B12" s="750" t="s">
        <v>1613</v>
      </c>
      <c r="C12" s="21">
        <f ca="1">ROUND(C11*F12,0)</f>
        <v>326</v>
      </c>
      <c r="D12" s="751"/>
      <c r="E12" s="138"/>
      <c r="F12" s="761">
        <f>'数据-取费表'!B33</f>
        <v>0.08</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117</v>
      </c>
      <c r="D13" s="793"/>
      <c r="E13" s="138"/>
      <c r="F13" s="761">
        <f>'数据-取费表'!B34</f>
        <v>0.05</v>
      </c>
      <c r="G13" s="5" t="s">
        <v>1616</v>
      </c>
      <c r="H13" s="746"/>
      <c r="I13" s="746"/>
      <c r="J13" s="746"/>
      <c r="K13" s="747"/>
    </row>
    <row r="14" spans="1:33" s="754" customFormat="1" ht="13.5" customHeight="1">
      <c r="A14" s="749" t="s">
        <v>638</v>
      </c>
      <c r="B14" s="750" t="s">
        <v>1617</v>
      </c>
      <c r="C14" s="21">
        <f ca="1">ROUND(D14*E14*F11/10000,0)</f>
        <v>135</v>
      </c>
      <c r="D14" s="793">
        <f ca="1">IF(C1="",'数据-汇总表'!E3,INDIRECT("'数据-取费表'!K"&amp;$K$1)+INDIRECT("'数据-取费表'!S"&amp;$K$1))</f>
        <v>67554.06999999992</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81</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4730</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67554.06999999992</v>
      </c>
      <c r="E17" s="21">
        <f>'数据-取费表'!B32</f>
        <v>0</v>
      </c>
      <c r="F17" s="755"/>
      <c r="G17" s="123"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578</v>
      </c>
      <c r="D19" s="793">
        <f ca="1">IF(C1="",'数据-汇总表'!E5,IF(INDIRECT("'数据-取费表'!c"&amp;$K$1)="住宅",INDIRECT("'数据-取费表'!k"&amp;$K$1),0))</f>
        <v>36124.270000000026</v>
      </c>
      <c r="E19" s="21">
        <f>'数据-取费表'!B27</f>
        <v>160</v>
      </c>
      <c r="F19" s="753"/>
      <c r="G19" s="12"/>
      <c r="H19" s="1105"/>
      <c r="I19" s="758"/>
      <c r="J19" s="758"/>
      <c r="K19" s="759"/>
    </row>
    <row r="20" spans="1:33" s="752" customFormat="1" ht="13.5" customHeight="1">
      <c r="A20" s="749" t="s">
        <v>361</v>
      </c>
      <c r="B20" s="750" t="s">
        <v>1627</v>
      </c>
      <c r="C20" s="21">
        <f ca="1">ROUND(D20*E20/10000,0)</f>
        <v>629</v>
      </c>
      <c r="D20" s="793">
        <f ca="1">IF(C1="",'数据-汇总表'!E6,IF(INDIRECT("'数据-取费表'!c"&amp;$K$1)="住宅",INDIRECT("'数据-取费表'!s"&amp;$K$1),INDIRECT("'数据-取费表'!k"&amp;$K$1)+INDIRECT("'数据-取费表'!s"&amp;$K$1)))</f>
        <v>31429.799999999894</v>
      </c>
      <c r="E20" s="21">
        <f>'数据-取费表'!B28</f>
        <v>200</v>
      </c>
      <c r="F20" s="753"/>
      <c r="G20" s="12"/>
      <c r="H20" s="758"/>
      <c r="I20" s="758"/>
      <c r="J20" s="758"/>
      <c r="K20" s="759"/>
    </row>
    <row r="21" spans="1:33" s="752" customFormat="1" ht="13.5" customHeight="1">
      <c r="A21" s="741" t="s">
        <v>357</v>
      </c>
      <c r="B21" s="762" t="s">
        <v>1628</v>
      </c>
      <c r="C21" s="763">
        <f ca="1">C16+C17+C18</f>
        <v>4730</v>
      </c>
      <c r="D21" s="764"/>
      <c r="E21" s="273"/>
      <c r="F21" s="273"/>
      <c r="G21" s="123" t="s">
        <v>1629</v>
      </c>
      <c r="H21" s="756"/>
      <c r="I21" s="756"/>
      <c r="J21" s="756"/>
      <c r="K21" s="757"/>
    </row>
    <row r="22" spans="1:33" s="752" customFormat="1" ht="13.5" customHeight="1">
      <c r="A22" s="741" t="s">
        <v>1601</v>
      </c>
      <c r="B22" s="762" t="s">
        <v>1630</v>
      </c>
      <c r="C22" s="763">
        <f ca="1">ROUND(C21*F22,0)</f>
        <v>142</v>
      </c>
      <c r="D22" s="273"/>
      <c r="E22" s="273"/>
      <c r="F22" s="765">
        <f>'数据-取费表'!B37</f>
        <v>0.03</v>
      </c>
      <c r="G22" s="5" t="s">
        <v>1631</v>
      </c>
      <c r="H22" s="746"/>
      <c r="I22" s="746"/>
      <c r="J22" s="746"/>
      <c r="K22" s="747"/>
    </row>
    <row r="23" spans="1:33" s="752" customFormat="1" ht="13.5" customHeight="1">
      <c r="A23" s="741" t="s">
        <v>1603</v>
      </c>
      <c r="B23" s="762" t="s">
        <v>1632</v>
      </c>
      <c r="C23" s="763">
        <f ca="1">ROUND(C4*F23*F11,0)</f>
        <v>1497</v>
      </c>
      <c r="D23" s="273"/>
      <c r="E23" s="273"/>
      <c r="F23" s="765">
        <f>'数据-取费表'!B38</f>
        <v>0.03</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28</v>
      </c>
      <c r="D25" s="272">
        <f ca="1">C26</f>
        <v>9.1999999999999998E-3</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9.1999999999999998E-3</v>
      </c>
      <c r="D26" s="276"/>
      <c r="E26" s="277"/>
      <c r="F26" s="278"/>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28</v>
      </c>
      <c r="D27" s="276"/>
      <c r="E27" s="277"/>
      <c r="F27" s="278"/>
      <c r="G27" s="1719" t="str">
        <f>IF('数据-取费表'!B22&lt;=1,"（1）-（3）项×年利率×建设期÷2","（1）-（3）项×((1+年利率)^(建设期÷2)-1)")</f>
        <v>（1）-（3）项×((1+年利率)^(建设期÷2)-1)</v>
      </c>
      <c r="H27" s="756"/>
      <c r="I27" s="756"/>
      <c r="J27" s="756"/>
      <c r="K27" s="757"/>
    </row>
    <row r="28" spans="1:33" s="281" customFormat="1" ht="13.5" customHeight="1">
      <c r="A28" s="741" t="s">
        <v>1641</v>
      </c>
      <c r="B28" s="1720" t="s">
        <v>1642</v>
      </c>
      <c r="C28" s="279">
        <f ca="1">C30</f>
        <v>701</v>
      </c>
      <c r="D28" s="272">
        <f ca="1">C29</f>
        <v>1.1299999999999999E-2</v>
      </c>
      <c r="E28" s="274" t="s">
        <v>12</v>
      </c>
      <c r="F28" s="280">
        <f ca="1">IF(C1="",'数据-取费表'!Q16,INDIRECT("'数据-取费表'!q"&amp;$K$1))</f>
        <v>0.11</v>
      </c>
      <c r="G28" s="766"/>
      <c r="H28" s="767"/>
      <c r="I28" s="767"/>
      <c r="J28" s="767"/>
      <c r="K28" s="55"/>
    </row>
    <row r="29" spans="1:33" s="283" customFormat="1" ht="13.5" customHeight="1">
      <c r="A29" s="749" t="s">
        <v>358</v>
      </c>
      <c r="B29" s="770" t="s">
        <v>1643</v>
      </c>
      <c r="C29" s="276">
        <f ca="1">ROUND((1+C24)*F28*'数据-取费表'!B24/'数据-取费表'!B20,4)</f>
        <v>1.1299999999999999E-2</v>
      </c>
      <c r="D29" s="276"/>
      <c r="E29" s="277"/>
      <c r="F29" s="282"/>
      <c r="G29" s="123" t="s">
        <v>1644</v>
      </c>
      <c r="H29" s="756"/>
      <c r="I29" s="756"/>
      <c r="J29" s="756"/>
      <c r="K29" s="757"/>
    </row>
    <row r="30" spans="1:33" s="283" customFormat="1" ht="13.5" customHeight="1">
      <c r="A30" s="749" t="s">
        <v>359</v>
      </c>
      <c r="B30" s="770" t="s">
        <v>1645</v>
      </c>
      <c r="C30" s="284">
        <f ca="1">ROUND((C21+C22+C23)*F28,0)</f>
        <v>701</v>
      </c>
      <c r="D30" s="276"/>
      <c r="E30" s="277"/>
      <c r="F30" s="282"/>
      <c r="G30" s="123"/>
      <c r="H30" s="756"/>
      <c r="I30" s="756"/>
      <c r="J30" s="756"/>
      <c r="K30" s="757"/>
    </row>
    <row r="31" spans="1:33" s="752" customFormat="1" ht="13.5" customHeight="1" thickBot="1">
      <c r="A31" s="1721" t="s">
        <v>1646</v>
      </c>
      <c r="B31" s="780" t="s">
        <v>1647</v>
      </c>
      <c r="C31" s="781">
        <f>ROUND(C4*F31/(1+'数据-取费表'!C42),0)</f>
        <v>26606</v>
      </c>
      <c r="D31" s="782"/>
      <c r="E31" s="783"/>
      <c r="F31" s="784">
        <f>'数据-取费表'!B41</f>
        <v>5.6000000000000001E-2</v>
      </c>
      <c r="G31" s="785" t="s">
        <v>1648</v>
      </c>
      <c r="H31" s="786"/>
      <c r="I31" s="786"/>
      <c r="J31" s="786"/>
      <c r="K31" s="787"/>
    </row>
    <row r="32" spans="1:33" s="748" customFormat="1" ht="13.5" customHeight="1" thickBot="1">
      <c r="A32" s="447" t="s">
        <v>1649</v>
      </c>
      <c r="B32" s="776"/>
      <c r="C32" s="777">
        <f ca="1">ROUND((C4-C21-C22-C23-C25-C28-C31)/(1+C24+D25+D28),0)</f>
        <v>443214</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2000-000000000000}">
      <formula1>项目类型</formula1>
    </dataValidation>
    <dataValidation type="list" allowBlank="1" showInputMessage="1" showErrorMessage="1" sqref="G18" xr:uid="{00000000-0002-0000-20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3" customWidth="1"/>
    <col min="3" max="3" width="11.875" style="623"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1"/>
      <c r="C1" s="1284"/>
      <c r="D1" s="1268" t="s">
        <v>43</v>
      </c>
      <c r="E1" s="1269" t="s">
        <v>678</v>
      </c>
      <c r="F1" s="996">
        <f ca="1">J53</f>
        <v>0</v>
      </c>
      <c r="G1" s="1283">
        <f>MATCH(C1,'数据-取费表'!A6:A16,0)+5</f>
        <v>9</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4"/>
      <c r="H2" s="2464"/>
      <c r="I2" s="2464"/>
      <c r="J2" s="2464"/>
      <c r="K2" s="2465"/>
      <c r="L2" s="2464"/>
      <c r="M2" s="2464"/>
    </row>
    <row r="3" spans="1:37" ht="18" customHeight="1" thickBot="1">
      <c r="A3" s="1294" t="s">
        <v>806</v>
      </c>
      <c r="B3" s="1295">
        <f ca="1">IF(ISERROR(B2*10000/F43),0,ROUND(B2*10000/F43,0))</f>
        <v>0</v>
      </c>
      <c r="C3" s="1286" t="s">
        <v>807</v>
      </c>
      <c r="D3" s="1286"/>
      <c r="E3" s="1292"/>
      <c r="F3" s="1293"/>
      <c r="G3" s="2474"/>
      <c r="H3" s="647"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0</v>
      </c>
      <c r="D5" s="1270" t="s">
        <v>693</v>
      </c>
      <c r="E5" s="1005"/>
      <c r="F5" s="1006"/>
      <c r="G5" s="1289"/>
      <c r="H5" s="291">
        <v>1</v>
      </c>
      <c r="I5" s="292" t="s">
        <v>692</v>
      </c>
      <c r="J5" s="1004">
        <f ca="1">J6+J10+J12</f>
        <v>0</v>
      </c>
      <c r="K5" s="1270" t="s">
        <v>693</v>
      </c>
      <c r="L5" s="1005"/>
      <c r="M5" s="1006"/>
    </row>
    <row r="6" spans="1:37" ht="18" customHeight="1">
      <c r="A6" s="1003" t="s">
        <v>398</v>
      </c>
      <c r="B6" s="3494" t="s">
        <v>694</v>
      </c>
      <c r="C6" s="1008">
        <f ca="1">ROUND(F6*F8*F7*(1-F9)/10000,0)</f>
        <v>0</v>
      </c>
      <c r="D6" s="147" t="s">
        <v>2108</v>
      </c>
      <c r="E6" s="294" t="s">
        <v>696</v>
      </c>
      <c r="F6" s="295">
        <f ca="1">INDIRECT("'数据-取费表'!u"&amp;$G$1)</f>
        <v>0</v>
      </c>
      <c r="G6" s="1289"/>
      <c r="H6" s="1003" t="s">
        <v>398</v>
      </c>
      <c r="I6" s="3494" t="s">
        <v>694</v>
      </c>
      <c r="J6" s="293">
        <f ca="1">ROUND(M6*M8*M7*(1-M9)/10000,0)</f>
        <v>0</v>
      </c>
      <c r="K6" s="147" t="s">
        <v>2107</v>
      </c>
      <c r="L6" s="294" t="s">
        <v>696</v>
      </c>
      <c r="M6" s="295">
        <f ca="1">INDIRECT("'数据-取费表'!z"&amp;$G$1)</f>
        <v>0</v>
      </c>
    </row>
    <row r="7" spans="1:37" ht="18" customHeight="1">
      <c r="A7" s="1007"/>
      <c r="B7" s="3495"/>
      <c r="C7" s="1009"/>
      <c r="D7" s="299"/>
      <c r="E7" s="1010" t="s">
        <v>697</v>
      </c>
      <c r="F7" s="295">
        <f ca="1">IF(INDIRECT("'数据-取费表'!ah"&amp;$G$1)="",INDIRECT("'数据-取费表'!k"&amp;$G$1),INDIRECT("'数据-取费表'!ah"&amp;$G$1))</f>
        <v>0</v>
      </c>
      <c r="G7" s="1289"/>
      <c r="H7" s="296"/>
      <c r="I7" s="3495"/>
      <c r="J7" s="298"/>
      <c r="K7" s="299"/>
      <c r="L7" s="294" t="s">
        <v>697</v>
      </c>
      <c r="M7" s="295">
        <f ca="1">F7</f>
        <v>0</v>
      </c>
    </row>
    <row r="8" spans="1:37" ht="18" customHeight="1">
      <c r="A8" s="296"/>
      <c r="B8" s="3495"/>
      <c r="C8" s="298"/>
      <c r="D8" s="299"/>
      <c r="E8" s="294" t="s">
        <v>698</v>
      </c>
      <c r="F8" s="295">
        <f ca="1">INDIRECT("'数据-取费表'!ai"&amp;$G$1)</f>
        <v>0</v>
      </c>
      <c r="G8" s="1289"/>
      <c r="H8" s="296"/>
      <c r="I8" s="3495"/>
      <c r="J8" s="298"/>
      <c r="K8" s="299"/>
      <c r="L8" s="294" t="s">
        <v>698</v>
      </c>
      <c r="M8" s="295">
        <f ca="1">INDIRECT("'数据-取费表'!ai"&amp;$G$1)</f>
        <v>0</v>
      </c>
    </row>
    <row r="9" spans="1:37" ht="18" customHeight="1">
      <c r="A9" s="296"/>
      <c r="B9" s="3496"/>
      <c r="C9" s="298"/>
      <c r="D9" s="299"/>
      <c r="E9" s="294" t="s">
        <v>699</v>
      </c>
      <c r="F9" s="304">
        <f ca="1">INDIRECT("'数据-取费表'!w"&amp;$G$1)</f>
        <v>0</v>
      </c>
      <c r="G9" s="1289"/>
      <c r="H9" s="296"/>
      <c r="I9" s="3496"/>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2116</v>
      </c>
      <c r="E10" s="305" t="s">
        <v>701</v>
      </c>
      <c r="F10" s="1050"/>
      <c r="G10" s="1289"/>
      <c r="H10" s="1003" t="s">
        <v>402</v>
      </c>
      <c r="I10" s="1271" t="s">
        <v>700</v>
      </c>
      <c r="J10" s="293">
        <f ca="1">ROUND(IF(M10="押一",J6/12*M11,IF(M10="押二",J6/12*2*M11,IF(M10="押三",J6/12*3*M11,J11*M11))),0)</f>
        <v>0</v>
      </c>
      <c r="K10" s="150" t="s">
        <v>2115</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4"/>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0.08</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ROUND(F17*(F43+INDIRECT("'数据-取费表'!S"&amp;$G$1))/10000,0)</f>
        <v>0</v>
      </c>
      <c r="D17" s="294" t="s">
        <v>717</v>
      </c>
      <c r="E17" s="294" t="s">
        <v>718</v>
      </c>
      <c r="F17" s="23">
        <f>'数据-取费表'!B35</f>
        <v>200</v>
      </c>
      <c r="G17" s="1300"/>
      <c r="H17" s="925" t="s">
        <v>398</v>
      </c>
      <c r="I17" s="294" t="s">
        <v>719</v>
      </c>
      <c r="J17" s="2135">
        <f ca="1">ROUND(IF(AND(项目基本情况!B11="自然人",项目基本情况!B10="北京市"),J6*M17/(1+'数据-取费表'!C42),J18+J19+J20),2)</f>
        <v>0</v>
      </c>
      <c r="K17" s="1254" t="s">
        <v>720</v>
      </c>
      <c r="L17" s="1253" t="s">
        <v>721</v>
      </c>
      <c r="M17" s="2134"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IF(K19="按租金收入计税",ROUND(J6*M19/(1+'数据-取费表'!C42),2),ROUND(C29*M19*0.7,2))</f>
        <v>0</v>
      </c>
      <c r="K19" s="1275" t="s">
        <v>3326</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0.03</v>
      </c>
      <c r="G20" s="1300"/>
      <c r="H20" s="925" t="s">
        <v>680</v>
      </c>
      <c r="I20" s="147" t="s">
        <v>730</v>
      </c>
      <c r="J20" s="22">
        <f ca="1">ROUND(M20*M21/10000,2)</f>
        <v>0</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0.03</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ROUND(J13*M23,2)</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0"/>
      <c r="H24" s="1023" t="s">
        <v>684</v>
      </c>
      <c r="I24" s="1024" t="s">
        <v>728</v>
      </c>
      <c r="J24" s="1025">
        <f ca="1">ROUND(J5*M24,2)</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6"/>
      <c r="I30" s="1302"/>
      <c r="J30" s="1303"/>
      <c r="K30" s="121"/>
      <c r="L30" s="2467"/>
      <c r="M30" s="2468"/>
    </row>
    <row r="31" spans="1:37" ht="18" customHeight="1">
      <c r="A31" s="925" t="s">
        <v>398</v>
      </c>
      <c r="B31" s="294" t="s">
        <v>719</v>
      </c>
      <c r="C31" s="2135">
        <f ca="1">ROUND(IF(AND(项目基本情况!B11="自然人",项目基本情况!B10="北京市"),C6*F31/(1+'数据-取费表'!C42),C32+C33+C34),2)</f>
        <v>0</v>
      </c>
      <c r="D31" s="1254" t="s">
        <v>720</v>
      </c>
      <c r="E31" s="1253" t="s">
        <v>770</v>
      </c>
      <c r="F31" s="2134" t="str">
        <f>IF(项目基本情况!B11="企业","——",IF(M47="住宅",IF(F6*F7*F8/12/(1+'数据-取费表'!F30)&gt;100000,4%,2.5%),IF(F6*F7*F8/12/(1+'数据-取费表'!F30)&gt;100000,12%,7%)))</f>
        <v>——</v>
      </c>
      <c r="G31" s="1289"/>
      <c r="H31" s="2565" t="s">
        <v>2296</v>
      </c>
      <c r="I31" s="1302"/>
      <c r="J31" s="1303"/>
      <c r="K31" s="121"/>
      <c r="L31" s="2467"/>
      <c r="M31" s="2468"/>
    </row>
    <row r="32" spans="1:37" ht="18" customHeight="1">
      <c r="A32" s="925" t="s">
        <v>397</v>
      </c>
      <c r="B32" s="294" t="s">
        <v>723</v>
      </c>
      <c r="C32" s="21">
        <f ca="1">IF(项目基本情况!B11="自然人","——",ROUND(C6*F32/(1+'数据-取费表'!C42),2))</f>
        <v>0</v>
      </c>
      <c r="D32" s="1253" t="s">
        <v>724</v>
      </c>
      <c r="E32" s="294" t="s">
        <v>712</v>
      </c>
      <c r="F32" s="322">
        <f>'数据-取费表'!B41</f>
        <v>5.6000000000000001E-2</v>
      </c>
      <c r="G32" s="1289"/>
      <c r="H32" s="2466"/>
      <c r="I32" s="1302"/>
      <c r="J32" s="1303"/>
      <c r="K32" s="121"/>
      <c r="L32" s="2467"/>
      <c r="M32" s="2468"/>
    </row>
    <row r="33" spans="1:18" ht="18" customHeight="1">
      <c r="A33" s="925" t="s">
        <v>399</v>
      </c>
      <c r="B33" s="294" t="s">
        <v>727</v>
      </c>
      <c r="C33" s="21">
        <f ca="1">IF(项目基本情况!B11="自然人","——",IF(D33="按租金收入计税",ROUND(C6*F33/(1+'数据-取费表'!C42),2),IF(D33="按房产原值计税",ROUND(C29*F33*0.7,2),INDIRECT("'数据-取费表'!Aj"&amp;$G$1))))</f>
        <v>0</v>
      </c>
      <c r="D33" s="1275" t="s">
        <v>3326</v>
      </c>
      <c r="E33" s="294" t="s">
        <v>712</v>
      </c>
      <c r="F33" s="314">
        <f>IF(D33="按票据","——",IF(D33="按租金收入计税",'数据-取费表'!B51,'数据-取费表'!B50))</f>
        <v>0.12</v>
      </c>
      <c r="G33" s="1289"/>
      <c r="H33" s="2469"/>
      <c r="I33" s="1302"/>
      <c r="J33" s="1303"/>
      <c r="K33" s="2470"/>
      <c r="L33" s="2469"/>
      <c r="M33" s="2469"/>
    </row>
    <row r="34" spans="1:18" ht="18" customHeight="1">
      <c r="A34" s="1003" t="s">
        <v>680</v>
      </c>
      <c r="B34" s="147" t="s">
        <v>730</v>
      </c>
      <c r="C34" s="22">
        <f ca="1">IF(项目基本情况!B11="自然人","——",ROUND(F34*F35/10000,2))</f>
        <v>0</v>
      </c>
      <c r="D34" s="316" t="s">
        <v>731</v>
      </c>
      <c r="E34" s="294" t="s">
        <v>732</v>
      </c>
      <c r="F34" s="317">
        <f>'数据-取费表'!B52</f>
        <v>3</v>
      </c>
      <c r="G34" s="1289"/>
      <c r="H34" s="2466"/>
      <c r="I34" s="1302"/>
      <c r="J34" s="1303"/>
      <c r="K34" s="2471"/>
      <c r="L34" s="2472"/>
      <c r="M34" s="2472"/>
    </row>
    <row r="35" spans="1:18" ht="18" customHeight="1">
      <c r="A35" s="1037"/>
      <c r="B35" s="1035"/>
      <c r="C35" s="26"/>
      <c r="D35" s="319"/>
      <c r="E35" s="294" t="s">
        <v>736</v>
      </c>
      <c r="F35" s="295">
        <f ca="1">INDIRECT("'数据-取费表'!r"&amp;$G$1)</f>
        <v>0</v>
      </c>
      <c r="G35" s="1289"/>
      <c r="H35" s="2466"/>
      <c r="I35" s="1302"/>
      <c r="J35" s="1303"/>
      <c r="K35" s="2470"/>
      <c r="L35" s="2469"/>
      <c r="M35" s="2469"/>
    </row>
    <row r="36" spans="1:18" ht="18" customHeight="1">
      <c r="A36" s="1036" t="s">
        <v>402</v>
      </c>
      <c r="B36" s="294" t="s">
        <v>738</v>
      </c>
      <c r="C36" s="21">
        <f ca="1">ROUND(C29*F36,2)</f>
        <v>0</v>
      </c>
      <c r="D36" s="1253" t="s">
        <v>771</v>
      </c>
      <c r="E36" s="294" t="s">
        <v>712</v>
      </c>
      <c r="F36" s="320">
        <f ca="1">INDIRECT("'数据-取费表'!Ak"&amp;$G$1)</f>
        <v>0</v>
      </c>
      <c r="G36" s="1289"/>
      <c r="H36" s="2469"/>
      <c r="I36" s="1302"/>
      <c r="J36" s="1303"/>
      <c r="K36" s="2326"/>
      <c r="L36" s="2469"/>
      <c r="M36" s="2469"/>
    </row>
    <row r="37" spans="1:18" ht="18" customHeight="1">
      <c r="A37" s="925" t="s">
        <v>437</v>
      </c>
      <c r="B37" s="294" t="s">
        <v>742</v>
      </c>
      <c r="C37" s="21">
        <f ca="1">ROUND(C13*F37,2)</f>
        <v>0</v>
      </c>
      <c r="D37" s="1253" t="s">
        <v>743</v>
      </c>
      <c r="E37" s="294" t="s">
        <v>744</v>
      </c>
      <c r="F37" s="321">
        <f ca="1">INDIRECT("'数据-取费表'!Al"&amp;$G$1)</f>
        <v>0</v>
      </c>
      <c r="G37" s="1289"/>
      <c r="H37" s="2469"/>
      <c r="I37" s="1302"/>
      <c r="J37" s="1303"/>
      <c r="K37" s="2326"/>
      <c r="L37" s="2469"/>
      <c r="M37" s="2469"/>
    </row>
    <row r="38" spans="1:18" ht="18" customHeight="1" thickBot="1">
      <c r="A38" s="1023" t="s">
        <v>684</v>
      </c>
      <c r="B38" s="1024" t="s">
        <v>728</v>
      </c>
      <c r="C38" s="1025">
        <f ca="1">ROUND(C5*F38,2)</f>
        <v>0</v>
      </c>
      <c r="D38" s="1026" t="s">
        <v>748</v>
      </c>
      <c r="E38" s="1024" t="s">
        <v>744</v>
      </c>
      <c r="F38" s="1020">
        <f ca="1">INDIRECT("'数据-取费表'!Am"&amp;$G$1)</f>
        <v>0</v>
      </c>
      <c r="G38" s="1289"/>
      <c r="H38" s="2469"/>
      <c r="I38" s="1302"/>
      <c r="J38" s="1303"/>
      <c r="K38" s="2467"/>
      <c r="L38" s="2469"/>
      <c r="M38" s="2469"/>
    </row>
    <row r="39" spans="1:18" ht="24.6" customHeight="1" thickTop="1">
      <c r="A39" s="1013" t="s">
        <v>394</v>
      </c>
      <c r="B39" s="1028" t="s">
        <v>772</v>
      </c>
      <c r="C39" s="302">
        <f ca="1">C5-C30</f>
        <v>0</v>
      </c>
      <c r="D39" s="1029" t="s">
        <v>773</v>
      </c>
      <c r="E39" s="1030"/>
      <c r="F39" s="1031"/>
      <c r="G39" s="1289"/>
      <c r="H39" s="2469"/>
      <c r="I39" s="1302"/>
      <c r="J39" s="1303"/>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7"/>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6"/>
      <c r="L41" s="121"/>
      <c r="M41" s="121"/>
    </row>
    <row r="42" spans="1:18" ht="18" customHeight="1">
      <c r="A42" s="300"/>
      <c r="B42" s="301"/>
      <c r="C42" s="302"/>
      <c r="D42" s="319"/>
      <c r="E42" s="294" t="s">
        <v>766</v>
      </c>
      <c r="F42" s="304">
        <f ca="1">INDIRECT("'数据-取费表'!v"&amp;$G$1)</f>
        <v>0</v>
      </c>
      <c r="G42" s="1289"/>
      <c r="H42" s="121"/>
      <c r="I42" s="1302"/>
      <c r="J42" s="1303"/>
      <c r="K42" s="2326"/>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3"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2"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ROUND(F49*F51*F50*(1-F52)/10000,0)</f>
        <v>0</v>
      </c>
      <c r="D49" s="989" t="s">
        <v>2109</v>
      </c>
      <c r="E49" s="1277" t="s">
        <v>780</v>
      </c>
      <c r="F49" s="994"/>
      <c r="H49" s="680"/>
      <c r="I49" s="1325" t="s">
        <v>823</v>
      </c>
      <c r="J49" s="1329"/>
      <c r="K49" s="1327" t="s">
        <v>824</v>
      </c>
      <c r="L49" s="1330"/>
      <c r="O49" s="1331" t="s">
        <v>405</v>
      </c>
      <c r="P49" s="1323" t="s">
        <v>825</v>
      </c>
      <c r="Q49" s="1324">
        <f ca="1">C29</f>
        <v>0</v>
      </c>
      <c r="R49" s="1324" t="s">
        <v>818</v>
      </c>
    </row>
    <row r="50" spans="1:18" s="1289" customFormat="1" ht="13.5" thickBot="1">
      <c r="A50" s="919"/>
      <c r="B50" s="922"/>
      <c r="C50" s="1052"/>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24.75" thickBot="1">
      <c r="A53" s="1076" t="s">
        <v>440</v>
      </c>
      <c r="B53" s="1278" t="s">
        <v>700</v>
      </c>
      <c r="C53" s="308">
        <f ca="1">ROUND(IF(F53="押一",C49/12*F11,IF(F53="押二",C49/12*2*F11,IF(F53="押三",C49/12*3*F11,C54*F11))),0)</f>
        <v>0</v>
      </c>
      <c r="D53" s="150" t="s">
        <v>2115</v>
      </c>
      <c r="E53" s="305" t="s">
        <v>701</v>
      </c>
      <c r="F53" s="1050"/>
      <c r="I53" s="1341" t="s">
        <v>836</v>
      </c>
      <c r="J53" s="2001">
        <f ca="1">IF(M47="住宅",IF(D1="——",MAX(J51,L48),MAX(J51,L48-'数据-取费表'!B24)),IF(D1="——",MIN(J51,L48),MIN(J51,L48-'数据-取费表'!B24)))</f>
        <v>0</v>
      </c>
      <c r="K53" s="3492" t="s">
        <v>837</v>
      </c>
      <c r="L53" s="3493"/>
      <c r="O53" s="1322" t="s">
        <v>409</v>
      </c>
      <c r="P53" s="1323" t="s">
        <v>838</v>
      </c>
      <c r="Q53" s="1324" t="e">
        <f ca="1">Q47+Q48</f>
        <v>#DIV/0!</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0">
        <v>2</v>
      </c>
      <c r="B56" s="901" t="s">
        <v>704</v>
      </c>
      <c r="C56" s="224">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3" t="s">
        <v>767</v>
      </c>
      <c r="C57" s="230">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7" t="s">
        <v>393</v>
      </c>
      <c r="B58" s="901" t="s">
        <v>714</v>
      </c>
      <c r="C58" s="308">
        <f ca="1">ROUND(C59+C64+C65+C66,0)</f>
        <v>0</v>
      </c>
      <c r="D58" s="903" t="s">
        <v>715</v>
      </c>
      <c r="E58" s="904"/>
      <c r="F58" s="905"/>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5">
        <f ca="1">ROUND(IF(AND(项目基本情况!B11="自然人",项目基本情况!B10="北京市"),C49*F59/(1+'数据-取费表'!C42),C60+C61+C62),0)</f>
        <v>0</v>
      </c>
      <c r="D59" s="906" t="s">
        <v>720</v>
      </c>
      <c r="E59" s="907" t="s">
        <v>721</v>
      </c>
      <c r="F59" s="2134"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3326</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0</v>
      </c>
      <c r="D62" s="908" t="s">
        <v>786</v>
      </c>
      <c r="E62" s="893" t="s">
        <v>787</v>
      </c>
      <c r="F62" s="317">
        <f t="shared" si="0"/>
        <v>3</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8"/>
      <c r="B63" s="899"/>
      <c r="C63" s="26"/>
      <c r="D63" s="909"/>
      <c r="E63" s="893" t="s">
        <v>788</v>
      </c>
      <c r="F63" s="295">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ROUND(C57*F64,2)</f>
        <v>0</v>
      </c>
      <c r="D64" s="907" t="s">
        <v>791</v>
      </c>
      <c r="E64" s="893" t="s">
        <v>783</v>
      </c>
      <c r="F64" s="320">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ROUND(C56*F65,2)</f>
        <v>0</v>
      </c>
      <c r="D65" s="907" t="s">
        <v>743</v>
      </c>
      <c r="E65" s="893" t="s">
        <v>744</v>
      </c>
      <c r="F65" s="321">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ROUND(C48*F66,2)</f>
        <v>0</v>
      </c>
      <c r="D66" s="907" t="s">
        <v>794</v>
      </c>
      <c r="E66" s="893" t="s">
        <v>712</v>
      </c>
      <c r="F66" s="304">
        <f t="shared" ca="1" si="0"/>
        <v>0</v>
      </c>
      <c r="O66" s="1322" t="s">
        <v>404</v>
      </c>
      <c r="P66" s="1323" t="s">
        <v>846</v>
      </c>
      <c r="Q66" s="1324" t="e">
        <f ca="1">L60</f>
        <v>#DIV/0!</v>
      </c>
      <c r="R66" s="1324" t="s">
        <v>869</v>
      </c>
    </row>
    <row r="67" spans="1:18" s="1289" customFormat="1" ht="16.5"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5" thickBot="1">
      <c r="A69" s="894"/>
      <c r="B69" s="895"/>
      <c r="C69" s="298"/>
      <c r="D69" s="913" t="s">
        <v>762</v>
      </c>
      <c r="E69" s="893" t="s">
        <v>763</v>
      </c>
      <c r="F69" s="324">
        <f ca="1">F41</f>
        <v>0</v>
      </c>
      <c r="O69" s="1331" t="s">
        <v>411</v>
      </c>
      <c r="P69" s="1368" t="s">
        <v>872</v>
      </c>
      <c r="Q69" s="1324">
        <f ca="1">C39</f>
        <v>0</v>
      </c>
      <c r="R69" s="1324" t="s">
        <v>818</v>
      </c>
    </row>
    <row r="70" spans="1:18" s="1289" customFormat="1" ht="13.5" thickBot="1">
      <c r="A70" s="897"/>
      <c r="B70" s="898"/>
      <c r="C70" s="302"/>
      <c r="D70" s="909"/>
      <c r="E70" s="893" t="s">
        <v>766</v>
      </c>
      <c r="F70" s="988"/>
      <c r="O70" s="1331" t="s">
        <v>412</v>
      </c>
      <c r="P70" s="1368" t="s">
        <v>873</v>
      </c>
      <c r="Q70" s="1324">
        <f ca="1">C13</f>
        <v>0</v>
      </c>
      <c r="R70" s="1324" t="s">
        <v>818</v>
      </c>
    </row>
    <row r="71" spans="1:18" s="1289" customFormat="1" ht="13.5" thickBot="1">
      <c r="A71" s="914" t="s">
        <v>396</v>
      </c>
      <c r="B71" s="915" t="s">
        <v>776</v>
      </c>
      <c r="C71" s="327" t="e">
        <f ca="1">ROUND(C68*10000/F71,0)</f>
        <v>#DIV/0!</v>
      </c>
      <c r="D71" s="916" t="s">
        <v>777</v>
      </c>
      <c r="E71" s="917" t="s">
        <v>778</v>
      </c>
      <c r="F71" s="330">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2100-000000000000}">
      <formula1>"按租金收入计税,按房产原值计税"</formula1>
    </dataValidation>
    <dataValidation type="list" allowBlank="1" showInputMessage="1" showErrorMessage="1" sqref="D33 D61" xr:uid="{00000000-0002-0000-2100-000001000000}">
      <formula1>"按租金收入计税,按房产原值计税,按票据"</formula1>
    </dataValidation>
    <dataValidation type="list" allowBlank="1" showInputMessage="1" showErrorMessage="1" sqref="C1" xr:uid="{00000000-0002-0000-2100-000002000000}">
      <formula1>项目类型</formula1>
    </dataValidation>
    <dataValidation type="list" allowBlank="1" showInputMessage="1" showErrorMessage="1" sqref="J47" xr:uid="{00000000-0002-0000-2100-000003000000}">
      <formula1>"钢,钢混,砖混"</formula1>
    </dataValidation>
    <dataValidation type="list" allowBlank="1" showInputMessage="1" showErrorMessage="1" sqref="J48" xr:uid="{00000000-0002-0000-2100-000004000000}">
      <formula1>"非生产用房,生产用房,受腐蚀的生产用房"</formula1>
    </dataValidation>
    <dataValidation type="list" allowBlank="1" showInputMessage="1" showErrorMessage="1" sqref="J56" xr:uid="{00000000-0002-0000-2100-000005000000}">
      <formula1>估价范围判定</formula1>
    </dataValidation>
    <dataValidation type="list" allowBlank="1" showInputMessage="1" showErrorMessage="1" sqref="L55" xr:uid="{00000000-0002-0000-2100-000006000000}">
      <formula1>"比较法,基准地价,收益还原"</formula1>
    </dataValidation>
    <dataValidation type="list" allowBlank="1" showInputMessage="1" showErrorMessage="1" sqref="M10 F10 F53" xr:uid="{00000000-0002-0000-2100-000007000000}">
      <formula1>"押一,押二,押三,自定义"</formula1>
    </dataValidation>
    <dataValidation type="list" allowBlank="1" showInputMessage="1" showErrorMessage="1" sqref="D1" xr:uid="{00000000-0002-0000-21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3" customWidth="1"/>
    <col min="3" max="3" width="11.875" style="623"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1"/>
      <c r="C1" s="1284"/>
      <c r="D1" s="1268" t="s">
        <v>43</v>
      </c>
      <c r="E1" s="1269" t="s">
        <v>678</v>
      </c>
      <c r="F1" s="996">
        <f ca="1">J53</f>
        <v>0</v>
      </c>
      <c r="G1" s="1283">
        <f>MATCH(C1,'数据-取费表'!A6:A16,0)+5</f>
        <v>9</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9" t="e">
        <f ca="1">ROUND(D2/10000,4)</f>
        <v>#DIV/0!</v>
      </c>
      <c r="C2" s="1286" t="s">
        <v>879</v>
      </c>
      <c r="D2" s="1372" t="e">
        <f ca="1">C40+J29+L46</f>
        <v>#DIV/0!</v>
      </c>
      <c r="E2" s="1292" t="s">
        <v>880</v>
      </c>
      <c r="F2" s="1293"/>
      <c r="G2" s="2474"/>
      <c r="H2" s="2464"/>
      <c r="I2" s="2464"/>
      <c r="J2" s="2464"/>
      <c r="K2" s="2465"/>
      <c r="L2" s="2464"/>
      <c r="M2" s="2464"/>
    </row>
    <row r="3" spans="1:37" ht="18" customHeight="1" thickBot="1">
      <c r="A3" s="1294" t="s">
        <v>881</v>
      </c>
      <c r="B3" s="1295">
        <f ca="1">IF(ISERROR(D2/F43),0,ROUND(D2/F43,0))</f>
        <v>0</v>
      </c>
      <c r="C3" s="1286" t="s">
        <v>882</v>
      </c>
      <c r="D3" s="1286"/>
      <c r="E3" s="1292"/>
      <c r="F3" s="1293"/>
      <c r="G3" s="2474"/>
      <c r="H3" s="647"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4">
        <f ca="1">C6+C10+C12</f>
        <v>0</v>
      </c>
      <c r="D5" s="1270" t="s">
        <v>889</v>
      </c>
      <c r="E5" s="1005"/>
      <c r="F5" s="1006"/>
      <c r="G5" s="1289"/>
      <c r="H5" s="291">
        <v>1</v>
      </c>
      <c r="I5" s="292" t="s">
        <v>888</v>
      </c>
      <c r="J5" s="1004">
        <f ca="1">J6+J10+J12</f>
        <v>0</v>
      </c>
      <c r="K5" s="1270" t="s">
        <v>889</v>
      </c>
      <c r="L5" s="1005"/>
      <c r="M5" s="1006"/>
    </row>
    <row r="6" spans="1:37" ht="18" customHeight="1">
      <c r="A6" s="1003" t="s">
        <v>398</v>
      </c>
      <c r="B6" s="3494" t="s">
        <v>694</v>
      </c>
      <c r="C6" s="1008">
        <f ca="1">ROUND(F6*F8*F7*(1-F9),0)</f>
        <v>0</v>
      </c>
      <c r="D6" s="147" t="s">
        <v>2105</v>
      </c>
      <c r="E6" s="294" t="s">
        <v>696</v>
      </c>
      <c r="F6" s="295">
        <f ca="1">INDIRECT("'数据-取费表'!u"&amp;$G$1)</f>
        <v>0</v>
      </c>
      <c r="G6" s="1289"/>
      <c r="H6" s="1003" t="s">
        <v>398</v>
      </c>
      <c r="I6" s="3494" t="s">
        <v>694</v>
      </c>
      <c r="J6" s="293">
        <f ca="1">ROUND(M6*M8*M7*(1-M9),0)</f>
        <v>0</v>
      </c>
      <c r="K6" s="1281" t="s">
        <v>2106</v>
      </c>
      <c r="L6" s="294" t="s">
        <v>696</v>
      </c>
      <c r="M6" s="295">
        <f ca="1">INDIRECT("'数据-取费表'!z"&amp;$G$1)</f>
        <v>0</v>
      </c>
    </row>
    <row r="7" spans="1:37" ht="18" customHeight="1">
      <c r="A7" s="1007"/>
      <c r="B7" s="3495"/>
      <c r="C7" s="1009"/>
      <c r="D7" s="299"/>
      <c r="E7" s="1010" t="s">
        <v>697</v>
      </c>
      <c r="F7" s="295">
        <f ca="1">IF(INDIRECT("'数据-取费表'!ah"&amp;$G$1)="",INDIRECT("'数据-取费表'!k"&amp;$G$1),INDIRECT("'数据-取费表'!ah"&amp;$G$1))</f>
        <v>0</v>
      </c>
      <c r="G7" s="1289"/>
      <c r="H7" s="296"/>
      <c r="I7" s="3495"/>
      <c r="J7" s="298"/>
      <c r="K7" s="299"/>
      <c r="L7" s="294" t="s">
        <v>697</v>
      </c>
      <c r="M7" s="295">
        <f ca="1">F7</f>
        <v>0</v>
      </c>
    </row>
    <row r="8" spans="1:37" ht="18" customHeight="1">
      <c r="A8" s="296"/>
      <c r="B8" s="3495"/>
      <c r="C8" s="298"/>
      <c r="D8" s="299"/>
      <c r="E8" s="294" t="s">
        <v>698</v>
      </c>
      <c r="F8" s="295">
        <f ca="1">INDIRECT("'数据-取费表'!ai"&amp;$G$1)</f>
        <v>0</v>
      </c>
      <c r="G8" s="1289"/>
      <c r="H8" s="296"/>
      <c r="I8" s="3495"/>
      <c r="J8" s="298"/>
      <c r="K8" s="299"/>
      <c r="L8" s="294" t="s">
        <v>698</v>
      </c>
      <c r="M8" s="295">
        <f ca="1">INDIRECT("'数据-取费表'!ai"&amp;$G$1)</f>
        <v>0</v>
      </c>
    </row>
    <row r="9" spans="1:37" ht="18" customHeight="1">
      <c r="A9" s="296"/>
      <c r="B9" s="3496"/>
      <c r="C9" s="298"/>
      <c r="D9" s="299"/>
      <c r="E9" s="294" t="s">
        <v>699</v>
      </c>
      <c r="F9" s="304">
        <f ca="1">INDIRECT("'数据-取费表'!w"&amp;$G$1)</f>
        <v>0</v>
      </c>
      <c r="G9" s="1289"/>
      <c r="H9" s="296"/>
      <c r="I9" s="3496"/>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2115</v>
      </c>
      <c r="E10" s="305" t="s">
        <v>701</v>
      </c>
      <c r="F10" s="1050"/>
      <c r="G10" s="1289"/>
      <c r="H10" s="1003" t="s">
        <v>402</v>
      </c>
      <c r="I10" s="1271" t="s">
        <v>700</v>
      </c>
      <c r="J10" s="293">
        <f ca="1">ROUND(IF(M10="押一",J6/12*M11,IF(M10="押二",J6/12*2*M11,IF(M10="押三",J6/12*3*M11,J11*M11))),0)</f>
        <v>0</v>
      </c>
      <c r="K10" s="1282" t="s">
        <v>2117</v>
      </c>
      <c r="L10" s="305" t="s">
        <v>701</v>
      </c>
      <c r="M10" s="1050"/>
    </row>
    <row r="11" spans="1:37" ht="18" customHeight="1">
      <c r="A11" s="300"/>
      <c r="B11" s="1272" t="s">
        <v>890</v>
      </c>
      <c r="C11" s="902"/>
      <c r="D11" s="299"/>
      <c r="E11" s="305" t="s">
        <v>702</v>
      </c>
      <c r="F11" s="306">
        <f ca="1">'数据-取费表'!B39</f>
        <v>1.4999999999999999E-2</v>
      </c>
      <c r="G11" s="1289"/>
      <c r="H11" s="1011"/>
      <c r="I11" s="1272" t="s">
        <v>891</v>
      </c>
      <c r="J11" s="902"/>
      <c r="K11" s="644"/>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ROUND(INDIRECT("'数据-取费表'!l"&amp;$G$1)*F43+'数据-取费表'!L14*INDIRECT("'数据-取费表'!S"&amp;$G$1),0)</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0.08</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ROUND(F17*(F43+INDIRECT("'数据-取费表'!S"&amp;$G$1)),0)</f>
        <v>0</v>
      </c>
      <c r="D17" s="294" t="s">
        <v>717</v>
      </c>
      <c r="E17" s="294" t="s">
        <v>718</v>
      </c>
      <c r="F17" s="23">
        <f>'数据-取费表'!B35</f>
        <v>200</v>
      </c>
      <c r="G17" s="1300"/>
      <c r="H17" s="925" t="s">
        <v>398</v>
      </c>
      <c r="I17" s="294" t="s">
        <v>719</v>
      </c>
      <c r="J17" s="2135">
        <f ca="1">ROUND(IF(AND(项目基本情况!B11="自然人",项目基本情况!B10="北京市"),J6*M17/(1+'数据-取费表'!C42),J18+J19+J20),0)</f>
        <v>0</v>
      </c>
      <c r="K17" s="1254" t="s">
        <v>720</v>
      </c>
      <c r="L17" s="1253" t="s">
        <v>721</v>
      </c>
      <c r="M17" s="2134"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0.02</v>
      </c>
      <c r="G18" s="1300"/>
      <c r="H18" s="925"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IF(K19="按租金收入计税",ROUND(J6*M19/(1+'数据-取费表'!C42),0),ROUND(C29*M19*0.7,0))</f>
        <v>0</v>
      </c>
      <c r="K19" s="1275" t="s">
        <v>3326</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0.03</v>
      </c>
      <c r="G20" s="1300"/>
      <c r="H20" s="925" t="s">
        <v>680</v>
      </c>
      <c r="I20" s="147" t="s">
        <v>730</v>
      </c>
      <c r="J20" s="22">
        <f ca="1">ROUND(M20*M21,0)</f>
        <v>0</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0.03</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ROUND(J14*M22,0)</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ROUND(J13*M23,0)</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6"/>
      <c r="I30" s="1302"/>
      <c r="J30" s="1303"/>
      <c r="K30" s="121"/>
      <c r="L30" s="2467"/>
      <c r="M30" s="2468"/>
    </row>
    <row r="31" spans="1:37" ht="18" customHeight="1">
      <c r="A31" s="925" t="s">
        <v>398</v>
      </c>
      <c r="B31" s="294" t="s">
        <v>719</v>
      </c>
      <c r="C31" s="2135">
        <f ca="1">ROUND(IF(AND(项目基本情况!B11="自然人",项目基本情况!B10="北京市"),C6*F31/(1+'数据-取费表'!C42),C32+C33+C34),0)</f>
        <v>0</v>
      </c>
      <c r="D31" s="1254" t="s">
        <v>720</v>
      </c>
      <c r="E31" s="1253" t="s">
        <v>770</v>
      </c>
      <c r="F31" s="2134" t="str">
        <f>IF(项目基本情况!B11="企业","——",IF(M47="住宅",IF(F6*F7*F8/12/(1+'数据-取费表'!F30)&gt;100000,4%,2.5%),IF(F6*F7*F8/12/(1+'数据-取费表'!F30)&gt;100000,12%,7%)))</f>
        <v>——</v>
      </c>
      <c r="G31" s="1289"/>
      <c r="H31" s="2565" t="s">
        <v>2296</v>
      </c>
      <c r="I31" s="1302"/>
      <c r="J31" s="1303"/>
      <c r="K31" s="121"/>
      <c r="L31" s="2467"/>
      <c r="M31" s="2468"/>
    </row>
    <row r="32" spans="1:37" ht="18" customHeight="1">
      <c r="A32" s="925" t="s">
        <v>397</v>
      </c>
      <c r="B32" s="294" t="s">
        <v>723</v>
      </c>
      <c r="C32" s="21">
        <f ca="1">IF(项目基本情况!B11="自然人","——",ROUND(C6*F32/(1+'数据-取费表'!C42),0))</f>
        <v>0</v>
      </c>
      <c r="D32" s="1253" t="s">
        <v>724</v>
      </c>
      <c r="E32" s="294" t="s">
        <v>712</v>
      </c>
      <c r="F32" s="322">
        <f>'数据-取费表'!B41</f>
        <v>5.6000000000000001E-2</v>
      </c>
      <c r="G32" s="1289"/>
      <c r="H32" s="2466"/>
      <c r="I32" s="1302"/>
      <c r="J32" s="1303"/>
      <c r="K32" s="121"/>
      <c r="L32" s="2467"/>
      <c r="M32" s="2468"/>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5" t="s">
        <v>3326</v>
      </c>
      <c r="E33" s="294" t="s">
        <v>712</v>
      </c>
      <c r="F33" s="314">
        <f>IF(D33="按票据","——",IF(D33="按租金收入计税",'数据-取费表'!B51,'数据-取费表'!B50))</f>
        <v>0.12</v>
      </c>
      <c r="G33" s="1289"/>
      <c r="H33" s="2469"/>
      <c r="I33" s="1302"/>
      <c r="J33" s="1303"/>
      <c r="K33" s="2470"/>
      <c r="L33" s="2469"/>
      <c r="M33" s="2469"/>
    </row>
    <row r="34" spans="1:18" ht="18" customHeight="1">
      <c r="A34" s="1003" t="s">
        <v>680</v>
      </c>
      <c r="B34" s="147" t="s">
        <v>730</v>
      </c>
      <c r="C34" s="22">
        <f ca="1">IF(项目基本情况!B11="自然人","——",ROUND(F34*F35,0))</f>
        <v>0</v>
      </c>
      <c r="D34" s="316" t="s">
        <v>731</v>
      </c>
      <c r="E34" s="294" t="s">
        <v>732</v>
      </c>
      <c r="F34" s="317">
        <f>'数据-取费表'!B52</f>
        <v>3</v>
      </c>
      <c r="G34" s="1289"/>
      <c r="H34" s="2466"/>
      <c r="I34" s="1302"/>
      <c r="J34" s="1303"/>
      <c r="K34" s="2471"/>
      <c r="L34" s="2472"/>
      <c r="M34" s="2472"/>
    </row>
    <row r="35" spans="1:18" ht="18" customHeight="1">
      <c r="A35" s="1037"/>
      <c r="B35" s="1035"/>
      <c r="C35" s="26"/>
      <c r="D35" s="319"/>
      <c r="E35" s="294" t="s">
        <v>736</v>
      </c>
      <c r="F35" s="295">
        <f ca="1">INDIRECT("'数据-取费表'!r"&amp;$G$1)</f>
        <v>0</v>
      </c>
      <c r="G35" s="1289"/>
      <c r="H35" s="2466"/>
      <c r="I35" s="1302"/>
      <c r="J35" s="1303"/>
      <c r="K35" s="2470"/>
      <c r="L35" s="2469"/>
      <c r="M35" s="2469"/>
    </row>
    <row r="36" spans="1:18" ht="18" customHeight="1">
      <c r="A36" s="1036" t="s">
        <v>402</v>
      </c>
      <c r="B36" s="294" t="s">
        <v>738</v>
      </c>
      <c r="C36" s="21">
        <f ca="1">ROUND(C29*F36,0)</f>
        <v>0</v>
      </c>
      <c r="D36" s="1253" t="s">
        <v>771</v>
      </c>
      <c r="E36" s="294" t="s">
        <v>712</v>
      </c>
      <c r="F36" s="320">
        <f ca="1">INDIRECT("'数据-取费表'!Ak"&amp;$G$1)</f>
        <v>0</v>
      </c>
      <c r="G36" s="1289"/>
      <c r="H36" s="2469"/>
      <c r="I36" s="1302"/>
      <c r="J36" s="1303"/>
      <c r="K36" s="2326"/>
      <c r="L36" s="2469"/>
      <c r="M36" s="2469"/>
    </row>
    <row r="37" spans="1:18" ht="18" customHeight="1">
      <c r="A37" s="925" t="s">
        <v>437</v>
      </c>
      <c r="B37" s="294" t="s">
        <v>742</v>
      </c>
      <c r="C37" s="21">
        <f ca="1">ROUND(C13*F37,0)</f>
        <v>0</v>
      </c>
      <c r="D37" s="1253" t="s">
        <v>743</v>
      </c>
      <c r="E37" s="294" t="s">
        <v>744</v>
      </c>
      <c r="F37" s="321">
        <f ca="1">INDIRECT("'数据-取费表'!Al"&amp;$G$1)</f>
        <v>0</v>
      </c>
      <c r="G37" s="1289"/>
      <c r="H37" s="2469"/>
      <c r="I37" s="1302"/>
      <c r="J37" s="1303"/>
      <c r="K37" s="2326"/>
      <c r="L37" s="2469"/>
      <c r="M37" s="2469"/>
    </row>
    <row r="38" spans="1:18" ht="18" customHeight="1" thickBot="1">
      <c r="A38" s="1023" t="s">
        <v>684</v>
      </c>
      <c r="B38" s="1024" t="s">
        <v>728</v>
      </c>
      <c r="C38" s="1025">
        <f ca="1">ROUND(C5*F38,0)</f>
        <v>0</v>
      </c>
      <c r="D38" s="1026" t="s">
        <v>748</v>
      </c>
      <c r="E38" s="1024" t="s">
        <v>744</v>
      </c>
      <c r="F38" s="1020">
        <f ca="1">INDIRECT("'数据-取费表'!Am"&amp;$G$1)</f>
        <v>0</v>
      </c>
      <c r="G38" s="1289"/>
      <c r="H38" s="2469"/>
      <c r="I38" s="1302"/>
      <c r="J38" s="1303"/>
      <c r="K38" s="2467"/>
      <c r="L38" s="2469"/>
      <c r="M38" s="2469"/>
    </row>
    <row r="39" spans="1:18" ht="24.6" customHeight="1" thickTop="1">
      <c r="A39" s="1013" t="s">
        <v>394</v>
      </c>
      <c r="B39" s="1028" t="s">
        <v>772</v>
      </c>
      <c r="C39" s="302">
        <f ca="1">C5-C30</f>
        <v>0</v>
      </c>
      <c r="D39" s="1029" t="s">
        <v>773</v>
      </c>
      <c r="E39" s="1030"/>
      <c r="F39" s="1031"/>
      <c r="G39" s="1289"/>
      <c r="H39" s="2469"/>
      <c r="I39" s="1302"/>
      <c r="J39" s="1303"/>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7"/>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6"/>
      <c r="L41" s="121"/>
      <c r="M41" s="121"/>
    </row>
    <row r="42" spans="1:18" ht="18" customHeight="1">
      <c r="A42" s="300"/>
      <c r="B42" s="301"/>
      <c r="C42" s="302"/>
      <c r="D42" s="319"/>
      <c r="E42" s="294" t="s">
        <v>766</v>
      </c>
      <c r="F42" s="304">
        <f ca="1">INDIRECT("'数据-取费表'!v"&amp;$G$1)</f>
        <v>0</v>
      </c>
      <c r="G42" s="1289"/>
      <c r="H42" s="121"/>
      <c r="I42" s="1302"/>
      <c r="J42" s="1303"/>
      <c r="K42" s="2326"/>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3124" t="s">
        <v>3342</v>
      </c>
      <c r="B45" s="1304"/>
      <c r="C45" s="1373" t="e">
        <f ca="1">ROUND((C68-C40)/10000,4)</f>
        <v>#DIV/0!</v>
      </c>
      <c r="D45" s="3125" t="s">
        <v>3343</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2"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80"/>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5" t="s">
        <v>700</v>
      </c>
      <c r="C53" s="308">
        <f ca="1">ROUND(IF(F53="押一",C49/12*F11,IF(F53="押二",C49/12*2*F11,IF(F53="押三",C49/12*3*F11,C54*F11))),0)</f>
        <v>0</v>
      </c>
      <c r="D53" s="150" t="s">
        <v>2118</v>
      </c>
      <c r="E53" s="305" t="s">
        <v>701</v>
      </c>
      <c r="F53" s="1050"/>
      <c r="I53" s="1341" t="s">
        <v>836</v>
      </c>
      <c r="J53" s="2001">
        <f ca="1">IF(M47="住宅",IF(D1="——",MAX(J51,L48),MAX(J51,L48-'数据-取费表'!B24)),IF(D1="——",MIN(J51,L48),MIN(J51,L48-'数据-取费表'!B24)))</f>
        <v>0</v>
      </c>
      <c r="K53" s="3492" t="s">
        <v>837</v>
      </c>
      <c r="L53" s="3493"/>
      <c r="O53" s="1322" t="s">
        <v>409</v>
      </c>
      <c r="P53" s="1323" t="s">
        <v>838</v>
      </c>
      <c r="Q53" s="1324" t="e">
        <f ca="1">Q47+Q48</f>
        <v>#DIV/0!</v>
      </c>
      <c r="R53" s="1324" t="s">
        <v>410</v>
      </c>
    </row>
    <row r="54" spans="1:18" s="1289" customFormat="1" ht="13.5" thickBot="1">
      <c r="A54" s="918"/>
      <c r="B54" s="1374" t="s">
        <v>891</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4">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7" t="s">
        <v>393</v>
      </c>
      <c r="B58" s="901" t="s">
        <v>714</v>
      </c>
      <c r="C58" s="308">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5">
        <f ca="1">ROUND(IF(AND(项目基本情况!B11="自然人",项目基本情况!B10="北京市"),C49*F59/(1+'数据-取费表'!C42),C60+C61+C62),0)</f>
        <v>0</v>
      </c>
      <c r="D59" s="906" t="s">
        <v>720</v>
      </c>
      <c r="E59" s="907" t="s">
        <v>721</v>
      </c>
      <c r="F59" s="2134"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3326</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7">
        <f t="shared" si="0"/>
        <v>3</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8"/>
      <c r="B63" s="899"/>
      <c r="C63" s="26"/>
      <c r="D63" s="909"/>
      <c r="E63" s="893" t="s">
        <v>788</v>
      </c>
      <c r="F63" s="295">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20">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21">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4">
        <f t="shared" ca="1" si="0"/>
        <v>0</v>
      </c>
      <c r="O66" s="1322" t="s">
        <v>404</v>
      </c>
      <c r="P66" s="1323" t="s">
        <v>846</v>
      </c>
      <c r="Q66" s="1324" t="e">
        <f ca="1">L60</f>
        <v>#DIV/0!</v>
      </c>
      <c r="R66" s="1324" t="s">
        <v>869</v>
      </c>
    </row>
    <row r="67" spans="1:18" s="1289" customFormat="1" ht="16.5"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5" thickBot="1">
      <c r="A69" s="894"/>
      <c r="B69" s="895"/>
      <c r="C69" s="298"/>
      <c r="D69" s="913" t="s">
        <v>762</v>
      </c>
      <c r="E69" s="893" t="s">
        <v>763</v>
      </c>
      <c r="F69" s="324">
        <f ca="1">F41</f>
        <v>0</v>
      </c>
      <c r="O69" s="1331" t="s">
        <v>411</v>
      </c>
      <c r="P69" s="1368" t="s">
        <v>872</v>
      </c>
      <c r="Q69" s="1324">
        <f ca="1">C39</f>
        <v>0</v>
      </c>
      <c r="R69" s="1324" t="s">
        <v>818</v>
      </c>
    </row>
    <row r="70" spans="1:18" s="1289" customFormat="1" ht="13.5" thickBot="1">
      <c r="A70" s="897"/>
      <c r="B70" s="898"/>
      <c r="C70" s="302"/>
      <c r="D70" s="909"/>
      <c r="E70" s="893" t="s">
        <v>766</v>
      </c>
      <c r="F70" s="988"/>
      <c r="O70" s="1331" t="s">
        <v>412</v>
      </c>
      <c r="P70" s="1368" t="s">
        <v>873</v>
      </c>
      <c r="Q70" s="1324">
        <f ca="1">C13</f>
        <v>0</v>
      </c>
      <c r="R70" s="1324" t="s">
        <v>818</v>
      </c>
    </row>
    <row r="71" spans="1:18" s="1289" customFormat="1" ht="13.5" thickBot="1">
      <c r="A71" s="914" t="s">
        <v>396</v>
      </c>
      <c r="B71" s="915" t="s">
        <v>776</v>
      </c>
      <c r="C71" s="327" t="e">
        <f ca="1">ROUND(C68/F71,0)</f>
        <v>#DIV/0!</v>
      </c>
      <c r="D71" s="916" t="s">
        <v>777</v>
      </c>
      <c r="E71" s="917" t="s">
        <v>778</v>
      </c>
      <c r="F71" s="330">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2200-000000000000}">
      <formula1>"比较法,基准地价,收益还原"</formula1>
    </dataValidation>
    <dataValidation type="list" allowBlank="1" showInputMessage="1" showErrorMessage="1" sqref="J56" xr:uid="{00000000-0002-0000-2200-000001000000}">
      <formula1>估价范围判定</formula1>
    </dataValidation>
    <dataValidation type="list" allowBlank="1" showInputMessage="1" showErrorMessage="1" sqref="J48" xr:uid="{00000000-0002-0000-2200-000002000000}">
      <formula1>"非生产用房,生产用房,受腐蚀的生产用房"</formula1>
    </dataValidation>
    <dataValidation type="list" allowBlank="1" showInputMessage="1" showErrorMessage="1" sqref="J47" xr:uid="{00000000-0002-0000-2200-000003000000}">
      <formula1>"钢,钢混,砖混"</formula1>
    </dataValidation>
    <dataValidation type="list" allowBlank="1" showInputMessage="1" showErrorMessage="1" sqref="C1" xr:uid="{00000000-0002-0000-2200-000004000000}">
      <formula1>项目类型</formula1>
    </dataValidation>
    <dataValidation type="list" allowBlank="1" showInputMessage="1" showErrorMessage="1" sqref="D33 D61" xr:uid="{00000000-0002-0000-2200-000005000000}">
      <formula1>"按租金收入计税,按房产原值计税,按票据"</formula1>
    </dataValidation>
    <dataValidation type="list" allowBlank="1" showInputMessage="1" showErrorMessage="1" sqref="K19" xr:uid="{00000000-0002-0000-2200-000006000000}">
      <formula1>"按租金收入计税,按房产原值计税"</formula1>
    </dataValidation>
    <dataValidation type="list" allowBlank="1" showInputMessage="1" showErrorMessage="1" sqref="F10 F53 M10" xr:uid="{00000000-0002-0000-2200-000007000000}">
      <formula1>"押一,押二,押三,自定义"</formula1>
    </dataValidation>
    <dataValidation type="list" allowBlank="1" showInputMessage="1" showErrorMessage="1" sqref="D1" xr:uid="{00000000-0002-0000-2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W44"/>
  <sheetViews>
    <sheetView zoomScale="80" zoomScaleNormal="80" workbookViewId="0">
      <selection activeCell="C1" sqref="C1"/>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2425</v>
      </c>
      <c r="B1" s="2579"/>
      <c r="C1" s="2591"/>
      <c r="D1" s="2591"/>
      <c r="E1" s="2580"/>
      <c r="F1" s="2581"/>
      <c r="G1" s="2582"/>
      <c r="J1" s="2585" t="s">
        <v>2304</v>
      </c>
      <c r="K1" s="2586"/>
      <c r="L1" s="2586"/>
      <c r="M1" s="2586"/>
      <c r="N1" s="2586"/>
      <c r="O1" s="2586"/>
      <c r="P1" s="2586"/>
      <c r="Q1" s="2586"/>
      <c r="R1" s="2587"/>
      <c r="S1" s="2588"/>
      <c r="T1" s="2588"/>
      <c r="U1" s="2588"/>
    </row>
    <row r="2" spans="1:22" s="2600" customFormat="1" ht="13.15" customHeight="1">
      <c r="A2" s="1290" t="s">
        <v>2305</v>
      </c>
      <c r="B2" s="2590" t="e">
        <f>IF(D2="——",C40,C40+E2)</f>
        <v>#DIV/0!</v>
      </c>
      <c r="C2" s="2591" t="s">
        <v>2306</v>
      </c>
      <c r="D2" s="3133" t="s">
        <v>3348</v>
      </c>
      <c r="E2" s="3134"/>
      <c r="F2" s="2593"/>
      <c r="G2" s="2594"/>
      <c r="H2" s="2595"/>
      <c r="I2" s="2596"/>
      <c r="J2" s="3497" t="s">
        <v>2307</v>
      </c>
      <c r="K2" s="3498"/>
      <c r="L2" s="2597" t="s">
        <v>2308</v>
      </c>
      <c r="M2" s="2597" t="s">
        <v>2309</v>
      </c>
      <c r="N2" s="2597" t="s">
        <v>2310</v>
      </c>
      <c r="O2" s="2597" t="s">
        <v>2311</v>
      </c>
      <c r="P2" s="2597" t="s">
        <v>2312</v>
      </c>
      <c r="Q2" s="2598" t="s">
        <v>2313</v>
      </c>
      <c r="R2" s="2599" t="s">
        <v>2314</v>
      </c>
      <c r="S2" s="2588"/>
      <c r="T2" s="2588"/>
      <c r="U2" s="2588"/>
      <c r="V2" s="2596"/>
    </row>
    <row r="3" spans="1:22" s="2600" customFormat="1" ht="13.15" customHeight="1">
      <c r="A3" s="2601" t="s">
        <v>2315</v>
      </c>
      <c r="B3" s="2602" t="e">
        <f>ROUND(B2*10000/B4,0)</f>
        <v>#DIV/0!</v>
      </c>
      <c r="C3" s="2591" t="s">
        <v>2316</v>
      </c>
      <c r="D3" s="2591"/>
      <c r="E3" s="2592"/>
      <c r="F3" s="2593"/>
      <c r="G3" s="2594"/>
      <c r="H3" s="2595"/>
      <c r="I3" s="2596"/>
      <c r="J3" s="3499" t="s">
        <v>2317</v>
      </c>
      <c r="K3" s="3500"/>
      <c r="L3" s="2603"/>
      <c r="M3" s="2603"/>
      <c r="N3" s="2603"/>
      <c r="O3" s="2603"/>
      <c r="P3" s="2603"/>
      <c r="Q3" s="2604"/>
      <c r="R3" s="2605">
        <f>SUM(L3:Q3)</f>
        <v>0</v>
      </c>
      <c r="S3" s="2588"/>
      <c r="T3" s="2588"/>
      <c r="U3" s="2588"/>
      <c r="V3" s="2596"/>
    </row>
    <row r="4" spans="1:22" s="2600" customFormat="1" ht="13.15" customHeight="1">
      <c r="A4" s="2606" t="s">
        <v>2318</v>
      </c>
      <c r="B4" s="2607"/>
      <c r="C4" s="2591"/>
      <c r="D4" s="2591"/>
      <c r="E4" s="2592"/>
      <c r="F4" s="2593"/>
      <c r="G4" s="2594"/>
      <c r="H4" s="2595"/>
      <c r="I4" s="2596"/>
      <c r="J4" s="3499" t="s">
        <v>2319</v>
      </c>
      <c r="K4" s="3500"/>
      <c r="L4" s="2608"/>
      <c r="M4" s="2608"/>
      <c r="N4" s="2608"/>
      <c r="O4" s="2608"/>
      <c r="P4" s="2608"/>
      <c r="Q4" s="2609"/>
      <c r="R4" s="2610">
        <f>SUM(L4:Q4)</f>
        <v>0</v>
      </c>
      <c r="S4" s="2588"/>
      <c r="T4" s="2588"/>
      <c r="U4" s="2588"/>
      <c r="V4" s="2596"/>
    </row>
    <row r="5" spans="1:22" s="2600" customFormat="1" ht="13.15" customHeight="1" thickBot="1">
      <c r="A5" s="2611" t="s">
        <v>2320</v>
      </c>
      <c r="B5" s="2612"/>
      <c r="C5" s="2591"/>
      <c r="D5" s="2613"/>
      <c r="E5" s="2593"/>
      <c r="F5" s="2593"/>
      <c r="G5" s="2594"/>
      <c r="H5" s="2595"/>
      <c r="I5" s="2596"/>
      <c r="J5" s="2614" t="s">
        <v>2321</v>
      </c>
      <c r="K5" s="2615"/>
      <c r="L5" s="2615"/>
      <c r="M5" s="2616"/>
      <c r="N5" s="2616"/>
      <c r="O5" s="2616"/>
      <c r="P5" s="2616"/>
      <c r="Q5" s="2616"/>
      <c r="R5" s="2599">
        <f>SUM(R14,R19,R24,R25,R27,R28)</f>
        <v>0</v>
      </c>
      <c r="S5" s="2588"/>
      <c r="T5" s="2588" t="s">
        <v>2322</v>
      </c>
      <c r="U5" s="2588" t="e">
        <f>ROUND(R5*10000/365/R3,1)</f>
        <v>#DIV/0!</v>
      </c>
      <c r="V5" s="2596"/>
    </row>
    <row r="6" spans="1:22" s="2600" customFormat="1" ht="13.15" customHeight="1" thickBot="1">
      <c r="A6" s="3501" t="s">
        <v>2323</v>
      </c>
      <c r="B6" s="3502"/>
      <c r="C6" s="3503"/>
      <c r="D6" s="2617"/>
      <c r="E6" s="2618"/>
      <c r="F6" s="2619"/>
      <c r="G6" s="2620"/>
      <c r="H6" s="2595"/>
      <c r="I6" s="2596"/>
      <c r="J6" s="3504">
        <v>1</v>
      </c>
      <c r="K6" s="3505" t="s">
        <v>2324</v>
      </c>
      <c r="L6" s="2621" t="s">
        <v>2325</v>
      </c>
      <c r="M6" s="2622" t="s">
        <v>2326</v>
      </c>
      <c r="N6" s="2622" t="s">
        <v>2327</v>
      </c>
      <c r="O6" s="2622" t="s">
        <v>2328</v>
      </c>
      <c r="P6" s="2622" t="s">
        <v>2329</v>
      </c>
      <c r="Q6" s="2622" t="s">
        <v>2330</v>
      </c>
      <c r="R6" s="2605" t="s">
        <v>2331</v>
      </c>
      <c r="S6" s="2588"/>
      <c r="T6" s="2588" t="s">
        <v>2332</v>
      </c>
      <c r="U6" s="2588"/>
      <c r="V6" s="2596"/>
    </row>
    <row r="7" spans="1:22" s="2600" customFormat="1" ht="13.15" customHeight="1">
      <c r="A7" s="2623" t="s">
        <v>2333</v>
      </c>
      <c r="B7" s="2624"/>
      <c r="C7" s="2625"/>
      <c r="D7" s="2626">
        <f>SUM(D9,D10,D11,D17,0)</f>
        <v>0</v>
      </c>
      <c r="E7" s="2627" t="e">
        <f>E9+E10+E11+E17</f>
        <v>#DIV/0!</v>
      </c>
      <c r="F7" s="2628"/>
      <c r="G7" s="2629"/>
      <c r="H7" s="2595"/>
      <c r="I7" s="2596"/>
      <c r="J7" s="3504"/>
      <c r="K7" s="3506"/>
      <c r="L7" s="2630" t="s">
        <v>2334</v>
      </c>
      <c r="M7" s="2631"/>
      <c r="N7" s="2607"/>
      <c r="O7" s="2632"/>
      <c r="P7" s="2632"/>
      <c r="Q7" s="2633">
        <v>365</v>
      </c>
      <c r="R7" s="2634">
        <f>ROUND(M7*N7*O7*P7*Q7/10000,0)</f>
        <v>0</v>
      </c>
      <c r="S7" s="2588"/>
      <c r="T7" s="2588" t="s">
        <v>2335</v>
      </c>
      <c r="U7" s="2588"/>
      <c r="V7" s="2596"/>
    </row>
    <row r="8" spans="1:22" s="2600" customFormat="1" ht="13.15" customHeight="1">
      <c r="A8" s="2635" t="s">
        <v>2336</v>
      </c>
      <c r="B8" s="3508" t="s">
        <v>2337</v>
      </c>
      <c r="C8" s="3509"/>
      <c r="D8" s="2636" t="s">
        <v>2338</v>
      </c>
      <c r="E8" s="2637" t="s">
        <v>2339</v>
      </c>
      <c r="F8" s="2638" t="s">
        <v>2340</v>
      </c>
      <c r="G8" s="2639"/>
      <c r="H8" s="2595"/>
      <c r="I8" s="2596"/>
      <c r="J8" s="3504"/>
      <c r="K8" s="3506"/>
      <c r="L8" s="2630" t="s">
        <v>2341</v>
      </c>
      <c r="M8" s="2631"/>
      <c r="N8" s="2607"/>
      <c r="O8" s="2632"/>
      <c r="P8" s="2632"/>
      <c r="Q8" s="2633">
        <v>365</v>
      </c>
      <c r="R8" s="2634">
        <f t="shared" ref="R8:R13" si="0">ROUND(M8*N8*O8*P8*Q8/10000,0)</f>
        <v>0</v>
      </c>
      <c r="S8" s="2588"/>
      <c r="T8" s="2588" t="s">
        <v>2342</v>
      </c>
      <c r="U8" s="2588"/>
      <c r="V8" s="2596"/>
    </row>
    <row r="9" spans="1:22" s="2600" customFormat="1" ht="13.15" customHeight="1">
      <c r="A9" s="2635">
        <v>1</v>
      </c>
      <c r="B9" s="3508" t="s">
        <v>2343</v>
      </c>
      <c r="C9" s="3509"/>
      <c r="D9" s="2636">
        <f>ROUND(D6*E9,0)</f>
        <v>0</v>
      </c>
      <c r="E9" s="2640"/>
      <c r="F9" s="2641" t="s">
        <v>2344</v>
      </c>
      <c r="G9" s="2620"/>
      <c r="H9" s="2595"/>
      <c r="I9" s="2596"/>
      <c r="J9" s="3504"/>
      <c r="K9" s="3506"/>
      <c r="L9" s="2630" t="s">
        <v>2345</v>
      </c>
      <c r="M9" s="2631"/>
      <c r="N9" s="2607"/>
      <c r="O9" s="2632"/>
      <c r="P9" s="2632"/>
      <c r="Q9" s="2633">
        <v>365</v>
      </c>
      <c r="R9" s="2634">
        <f t="shared" si="0"/>
        <v>0</v>
      </c>
      <c r="S9" s="2588"/>
      <c r="T9" s="2588"/>
      <c r="U9" s="2588"/>
      <c r="V9" s="2596"/>
    </row>
    <row r="10" spans="1:22" s="2600" customFormat="1" ht="13.15" customHeight="1">
      <c r="A10" s="2635">
        <v>2</v>
      </c>
      <c r="B10" s="3508" t="s">
        <v>2346</v>
      </c>
      <c r="C10" s="3509"/>
      <c r="D10" s="2636">
        <f>ROUND(D6*E10,0)</f>
        <v>0</v>
      </c>
      <c r="E10" s="2640"/>
      <c r="F10" s="2641" t="s">
        <v>2347</v>
      </c>
      <c r="G10" s="2620"/>
      <c r="H10" s="2595"/>
      <c r="I10" s="2596"/>
      <c r="J10" s="3504"/>
      <c r="K10" s="3506"/>
      <c r="L10" s="2630" t="s">
        <v>2348</v>
      </c>
      <c r="M10" s="2631"/>
      <c r="N10" s="2607"/>
      <c r="O10" s="2632"/>
      <c r="P10" s="2632"/>
      <c r="Q10" s="2633">
        <v>365</v>
      </c>
      <c r="R10" s="2634">
        <f t="shared" si="0"/>
        <v>0</v>
      </c>
      <c r="S10" s="2588"/>
      <c r="T10" s="2588"/>
      <c r="U10" s="2588"/>
      <c r="V10" s="2596"/>
    </row>
    <row r="11" spans="1:22" s="2600" customFormat="1" ht="13.15" customHeight="1">
      <c r="A11" s="2635">
        <v>3</v>
      </c>
      <c r="B11" s="3508" t="s">
        <v>2349</v>
      </c>
      <c r="C11" s="3509"/>
      <c r="D11" s="2636">
        <f>D12+D14+D15+D16</f>
        <v>0</v>
      </c>
      <c r="E11" s="2642" t="e">
        <f>D11/D6</f>
        <v>#DIV/0!</v>
      </c>
      <c r="F11" s="2638"/>
      <c r="G11" s="2639"/>
      <c r="H11" s="2595"/>
      <c r="I11" s="2596"/>
      <c r="J11" s="3504"/>
      <c r="K11" s="3506"/>
      <c r="L11" s="2630" t="s">
        <v>2350</v>
      </c>
      <c r="M11" s="2631"/>
      <c r="N11" s="2607"/>
      <c r="O11" s="2632"/>
      <c r="P11" s="2632"/>
      <c r="Q11" s="2633">
        <v>365</v>
      </c>
      <c r="R11" s="2634">
        <f t="shared" si="0"/>
        <v>0</v>
      </c>
      <c r="S11" s="2588"/>
      <c r="T11" s="2588"/>
      <c r="U11" s="2588"/>
      <c r="V11" s="2596"/>
    </row>
    <row r="12" spans="1:22" s="2600" customFormat="1" ht="13.15" customHeight="1">
      <c r="A12" s="2643" t="s">
        <v>2351</v>
      </c>
      <c r="B12" s="3510" t="s">
        <v>2352</v>
      </c>
      <c r="C12" s="3511"/>
      <c r="D12" s="2644">
        <f>ROUND(D13*1.2%*(1-30%),0)</f>
        <v>0</v>
      </c>
      <c r="E12" s="2645">
        <v>1.2E-2</v>
      </c>
      <c r="F12" s="2638" t="s">
        <v>2353</v>
      </c>
      <c r="G12" s="2639"/>
      <c r="H12" s="2595"/>
      <c r="I12" s="2596"/>
      <c r="J12" s="3504"/>
      <c r="K12" s="3506"/>
      <c r="L12" s="2630" t="s">
        <v>2354</v>
      </c>
      <c r="M12" s="2631"/>
      <c r="N12" s="2607"/>
      <c r="O12" s="2632"/>
      <c r="P12" s="2632"/>
      <c r="Q12" s="2633">
        <v>365</v>
      </c>
      <c r="R12" s="2634">
        <f t="shared" si="0"/>
        <v>0</v>
      </c>
      <c r="S12" s="2588"/>
      <c r="T12" s="2588"/>
      <c r="U12" s="2588"/>
      <c r="V12" s="2596"/>
    </row>
    <row r="13" spans="1:22" s="2600" customFormat="1" ht="13.15" customHeight="1">
      <c r="A13" s="2643"/>
      <c r="B13" s="2646"/>
      <c r="C13" s="2647" t="s">
        <v>2355</v>
      </c>
      <c r="D13" s="2648"/>
      <c r="E13" s="2649"/>
      <c r="F13" s="2638"/>
      <c r="G13" s="2639"/>
      <c r="H13" s="2595"/>
      <c r="I13" s="2596"/>
      <c r="J13" s="3504"/>
      <c r="K13" s="3506"/>
      <c r="L13" s="2630" t="s">
        <v>2356</v>
      </c>
      <c r="M13" s="2631"/>
      <c r="N13" s="2607"/>
      <c r="O13" s="2632"/>
      <c r="P13" s="2632"/>
      <c r="Q13" s="2633">
        <v>365</v>
      </c>
      <c r="R13" s="2634">
        <f t="shared" si="0"/>
        <v>0</v>
      </c>
      <c r="S13" s="2588"/>
      <c r="T13" s="2588"/>
      <c r="U13" s="2588"/>
      <c r="V13" s="2596"/>
    </row>
    <row r="14" spans="1:22" s="2600" customFormat="1" ht="13.15" customHeight="1">
      <c r="A14" s="2643" t="s">
        <v>2357</v>
      </c>
      <c r="B14" s="3510" t="s">
        <v>2358</v>
      </c>
      <c r="C14" s="3511"/>
      <c r="D14" s="2644">
        <f>ROUND(E14*B5/10000,0)</f>
        <v>0</v>
      </c>
      <c r="E14" s="2633"/>
      <c r="F14" s="2638" t="s">
        <v>2359</v>
      </c>
      <c r="G14" s="2639"/>
      <c r="H14" s="2595"/>
      <c r="I14" s="2596"/>
      <c r="J14" s="3504"/>
      <c r="K14" s="3507"/>
      <c r="L14" s="2650" t="s">
        <v>2360</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2361</v>
      </c>
      <c r="B15" s="3510" t="s">
        <v>2362</v>
      </c>
      <c r="C15" s="3511"/>
      <c r="D15" s="2644">
        <f>ROUND(D6*E15,0)</f>
        <v>0</v>
      </c>
      <c r="E15" s="2645">
        <v>5.5E-2</v>
      </c>
      <c r="F15" s="2638" t="s">
        <v>2363</v>
      </c>
      <c r="G15" s="2620"/>
      <c r="H15" s="2595"/>
      <c r="I15" s="2596"/>
      <c r="J15" s="3504">
        <v>2</v>
      </c>
      <c r="K15" s="3505" t="s">
        <v>2364</v>
      </c>
      <c r="L15" s="2630" t="s">
        <v>2365</v>
      </c>
      <c r="M15" s="2631" t="s">
        <v>2366</v>
      </c>
      <c r="N15" s="2631" t="s">
        <v>2367</v>
      </c>
      <c r="O15" s="2632" t="s">
        <v>2368</v>
      </c>
      <c r="P15" s="2632" t="s">
        <v>2330</v>
      </c>
      <c r="Q15" s="2607" t="s">
        <v>2369</v>
      </c>
      <c r="R15" s="2654" t="s">
        <v>2331</v>
      </c>
      <c r="S15" s="2588"/>
      <c r="T15" s="2588"/>
      <c r="U15" s="2588"/>
      <c r="V15" s="2596"/>
    </row>
    <row r="16" spans="1:22" s="2600" customFormat="1" ht="13.15" customHeight="1">
      <c r="A16" s="2643" t="s">
        <v>2370</v>
      </c>
      <c r="B16" s="3510" t="s">
        <v>2371</v>
      </c>
      <c r="C16" s="3511"/>
      <c r="D16" s="2655">
        <f>D6*E16</f>
        <v>0</v>
      </c>
      <c r="E16" s="2656"/>
      <c r="F16" s="2641" t="s">
        <v>2372</v>
      </c>
      <c r="G16" s="2620"/>
      <c r="H16" s="2595"/>
      <c r="I16" s="2596"/>
      <c r="J16" s="3504"/>
      <c r="K16" s="3506"/>
      <c r="L16" s="2630" t="s">
        <v>2373</v>
      </c>
      <c r="M16" s="2631"/>
      <c r="N16" s="2631"/>
      <c r="O16" s="2632"/>
      <c r="P16" s="2633">
        <v>365</v>
      </c>
      <c r="Q16" s="2607"/>
      <c r="R16" s="2654">
        <f>ROUND(M16*N16*O16*P16/10000,0)</f>
        <v>0</v>
      </c>
      <c r="S16" s="2588"/>
      <c r="T16" s="2588"/>
      <c r="U16" s="2588"/>
      <c r="V16" s="2596"/>
    </row>
    <row r="17" spans="1:22" s="2600" customFormat="1" ht="13.15" customHeight="1" thickBot="1">
      <c r="A17" s="2657">
        <v>4</v>
      </c>
      <c r="B17" s="3512" t="s">
        <v>2374</v>
      </c>
      <c r="C17" s="3513"/>
      <c r="D17" s="2658">
        <f>ROUND(D6*E17,0)</f>
        <v>0</v>
      </c>
      <c r="E17" s="2659"/>
      <c r="F17" s="2660" t="s">
        <v>2375</v>
      </c>
      <c r="G17" s="2620"/>
      <c r="H17" s="2595"/>
      <c r="I17" s="2596"/>
      <c r="J17" s="3504"/>
      <c r="K17" s="3506"/>
      <c r="L17" s="2630" t="s">
        <v>2376</v>
      </c>
      <c r="M17" s="2631"/>
      <c r="N17" s="2631"/>
      <c r="O17" s="2632"/>
      <c r="P17" s="2633">
        <v>365</v>
      </c>
      <c r="Q17" s="2607"/>
      <c r="R17" s="2654">
        <f>ROUND(M17*N17*O17*P17/10000,0)</f>
        <v>0</v>
      </c>
      <c r="S17" s="2588"/>
      <c r="T17" s="2588"/>
      <c r="U17" s="2588"/>
      <c r="V17" s="2596"/>
    </row>
    <row r="18" spans="1:22" s="2600" customFormat="1" ht="13.15" customHeight="1" thickBot="1">
      <c r="A18" s="2623" t="s">
        <v>2377</v>
      </c>
      <c r="B18" s="2624"/>
      <c r="C18" s="2624"/>
      <c r="D18" s="2661">
        <f>ROUND(D6*E18,0)</f>
        <v>0</v>
      </c>
      <c r="E18" s="2662"/>
      <c r="F18" s="2663" t="s">
        <v>2378</v>
      </c>
      <c r="G18" s="2620"/>
      <c r="H18" s="2595"/>
      <c r="I18" s="2596"/>
      <c r="J18" s="3504"/>
      <c r="K18" s="3506"/>
      <c r="L18" s="2630" t="s">
        <v>2379</v>
      </c>
      <c r="M18" s="2631"/>
      <c r="N18" s="2631"/>
      <c r="O18" s="2632"/>
      <c r="P18" s="2633">
        <v>365</v>
      </c>
      <c r="Q18" s="2607"/>
      <c r="R18" s="2654">
        <f>ROUND(M18*N18*O18*P18/10000,0)</f>
        <v>0</v>
      </c>
      <c r="S18" s="2588"/>
      <c r="T18" s="2588"/>
      <c r="U18" s="2588"/>
      <c r="V18" s="2596"/>
    </row>
    <row r="19" spans="1:22" s="2600" customFormat="1" ht="13.15" customHeight="1" thickBot="1">
      <c r="A19" s="2664" t="s">
        <v>2380</v>
      </c>
      <c r="B19" s="2618"/>
      <c r="C19" s="2618"/>
      <c r="D19" s="2618"/>
      <c r="E19" s="2618"/>
      <c r="F19" s="2619"/>
      <c r="G19" s="2639"/>
      <c r="H19" s="2595"/>
      <c r="I19" s="2596"/>
      <c r="J19" s="3504"/>
      <c r="K19" s="3507"/>
      <c r="L19" s="2650" t="s">
        <v>2360</v>
      </c>
      <c r="M19" s="2651"/>
      <c r="N19" s="2651">
        <f>SUM(N16:N18)</f>
        <v>0</v>
      </c>
      <c r="O19" s="2652"/>
      <c r="P19" s="2665" t="s">
        <v>2424</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504">
        <v>3</v>
      </c>
      <c r="K20" s="3505" t="s">
        <v>2381</v>
      </c>
      <c r="L20" s="2630" t="s">
        <v>2382</v>
      </c>
      <c r="M20" s="2631" t="s">
        <v>2383</v>
      </c>
      <c r="N20" s="2668" t="s">
        <v>2384</v>
      </c>
      <c r="O20" s="2632" t="s">
        <v>2385</v>
      </c>
      <c r="P20" s="2633" t="s">
        <v>2386</v>
      </c>
      <c r="Q20" s="2607" t="s">
        <v>2387</v>
      </c>
      <c r="R20" s="2654" t="s">
        <v>2388</v>
      </c>
      <c r="S20" s="2588"/>
      <c r="T20" s="2588"/>
      <c r="U20" s="2588"/>
      <c r="V20" s="2596"/>
    </row>
    <row r="21" spans="1:22" s="2600" customFormat="1" ht="13.15" customHeight="1">
      <c r="A21" s="2623"/>
      <c r="B21" s="2624"/>
      <c r="C21" s="2669" t="s">
        <v>2389</v>
      </c>
      <c r="D21" s="2670" t="s">
        <v>2390</v>
      </c>
      <c r="E21" s="2671" t="s">
        <v>2391</v>
      </c>
      <c r="F21" s="2667"/>
      <c r="G21" s="2639"/>
      <c r="H21" s="2595"/>
      <c r="I21" s="2596"/>
      <c r="J21" s="3504"/>
      <c r="K21" s="3506"/>
      <c r="L21" s="2630" t="s">
        <v>2392</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2393</v>
      </c>
      <c r="D22" s="2674" t="s">
        <v>2394</v>
      </c>
      <c r="E22" s="2675" t="s">
        <v>2395</v>
      </c>
      <c r="F22" s="2667"/>
      <c r="G22" s="2588"/>
      <c r="H22" s="2595"/>
      <c r="I22" s="2596"/>
      <c r="J22" s="3504"/>
      <c r="K22" s="3506"/>
      <c r="L22" s="2630" t="s">
        <v>2396</v>
      </c>
      <c r="M22" s="2631"/>
      <c r="N22" s="2631"/>
      <c r="O22" s="2632"/>
      <c r="P22" s="2633">
        <v>365</v>
      </c>
      <c r="Q22" s="2607"/>
      <c r="R22" s="2672">
        <f>ROUND(M22*N22*O22*P22/10000,0)</f>
        <v>0</v>
      </c>
      <c r="S22" s="2588"/>
      <c r="T22" s="2588"/>
      <c r="U22" s="2588"/>
      <c r="V22" s="2596"/>
    </row>
    <row r="23" spans="1:22" s="2600" customFormat="1" ht="13.15" customHeight="1">
      <c r="A23" s="2676">
        <v>1</v>
      </c>
      <c r="B23" s="2677" t="s">
        <v>2397</v>
      </c>
      <c r="C23" s="2678">
        <f>D6</f>
        <v>0</v>
      </c>
      <c r="D23" s="2679">
        <f>C23*(1+D24)</f>
        <v>0</v>
      </c>
      <c r="E23" s="2680">
        <f>D23*(1+E24)</f>
        <v>0</v>
      </c>
      <c r="F23" s="2681"/>
      <c r="G23" s="2682"/>
      <c r="H23" s="2595"/>
      <c r="I23" s="2596"/>
      <c r="J23" s="3504"/>
      <c r="K23" s="3506"/>
      <c r="L23" s="2630" t="s">
        <v>2398</v>
      </c>
      <c r="M23" s="2631"/>
      <c r="N23" s="2631"/>
      <c r="O23" s="2632"/>
      <c r="P23" s="2633">
        <v>365</v>
      </c>
      <c r="Q23" s="2607"/>
      <c r="R23" s="2672">
        <f>ROUND(M23*N23*O23*P23/10000,0)</f>
        <v>0</v>
      </c>
      <c r="S23" s="2588"/>
      <c r="T23" s="2588"/>
      <c r="U23" s="2588"/>
      <c r="V23" s="2596"/>
    </row>
    <row r="24" spans="1:22" s="2600" customFormat="1" ht="13.15" customHeight="1">
      <c r="A24" s="2683"/>
      <c r="B24" s="2684" t="s">
        <v>2399</v>
      </c>
      <c r="C24" s="2685"/>
      <c r="D24" s="2686"/>
      <c r="E24" s="2687"/>
      <c r="F24" s="2688"/>
      <c r="G24" s="2682"/>
      <c r="H24" s="2595"/>
      <c r="I24" s="2596"/>
      <c r="J24" s="3504"/>
      <c r="K24" s="3507"/>
      <c r="L24" s="2650" t="s">
        <v>2360</v>
      </c>
      <c r="M24" s="2651">
        <f>SUM(M21:M23)</f>
        <v>0</v>
      </c>
      <c r="N24" s="2651"/>
      <c r="O24" s="2652"/>
      <c r="P24" s="2665" t="s">
        <v>2424</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2400</v>
      </c>
      <c r="L25" s="2691"/>
      <c r="M25" s="2691"/>
      <c r="N25" s="2691"/>
      <c r="O25" s="2691"/>
      <c r="P25" s="2692"/>
      <c r="Q25" s="2693">
        <v>0</v>
      </c>
      <c r="R25" s="2666">
        <f>ROUND(R14*Q25,0)</f>
        <v>0</v>
      </c>
      <c r="S25" s="2588"/>
      <c r="T25" s="2588"/>
      <c r="U25" s="2588"/>
      <c r="V25" s="2694"/>
    </row>
    <row r="26" spans="1:22" s="2695" customFormat="1" ht="13.15" customHeight="1">
      <c r="A26" s="2676">
        <v>2</v>
      </c>
      <c r="B26" s="2677" t="s">
        <v>2401</v>
      </c>
      <c r="C26" s="2678">
        <f>D7</f>
        <v>0</v>
      </c>
      <c r="D26" s="2679">
        <f>D23*D27</f>
        <v>0</v>
      </c>
      <c r="E26" s="2680">
        <f>E23*E27</f>
        <v>0</v>
      </c>
      <c r="F26" s="2681"/>
      <c r="G26" s="2682"/>
      <c r="H26" s="2595"/>
      <c r="I26" s="2596"/>
      <c r="J26" s="3514">
        <v>5</v>
      </c>
      <c r="K26" s="2696" t="s">
        <v>2402</v>
      </c>
      <c r="L26" s="2697"/>
      <c r="M26" s="2698"/>
      <c r="N26" s="2699" t="s">
        <v>2403</v>
      </c>
      <c r="O26" s="2699" t="s">
        <v>2404</v>
      </c>
      <c r="P26" s="2700" t="s">
        <v>2405</v>
      </c>
      <c r="Q26" s="2700" t="s">
        <v>2406</v>
      </c>
      <c r="R26" s="2605" t="s">
        <v>2331</v>
      </c>
      <c r="S26" s="2639"/>
      <c r="T26" s="2639"/>
      <c r="U26" s="2639"/>
      <c r="V26" s="2694"/>
    </row>
    <row r="27" spans="1:22" s="2600" customFormat="1" ht="13.15" customHeight="1">
      <c r="A27" s="2683"/>
      <c r="B27" s="2684" t="s">
        <v>2407</v>
      </c>
      <c r="C27" s="2701" t="e">
        <f>E7</f>
        <v>#DIV/0!</v>
      </c>
      <c r="D27" s="2686"/>
      <c r="E27" s="2687"/>
      <c r="F27" s="2688"/>
      <c r="G27" s="2682"/>
      <c r="H27" s="2702"/>
      <c r="I27" s="2694"/>
      <c r="J27" s="3515"/>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2408</v>
      </c>
      <c r="F28" s="2688"/>
      <c r="G28" s="2588"/>
      <c r="H28" s="2702"/>
      <c r="I28" s="2694"/>
      <c r="J28" s="2708">
        <v>6</v>
      </c>
      <c r="K28" s="2709" t="s">
        <v>2409</v>
      </c>
      <c r="L28" s="2710" t="s">
        <v>2410</v>
      </c>
      <c r="M28" s="2711"/>
      <c r="N28" s="2710" t="s">
        <v>2411</v>
      </c>
      <c r="O28" s="2712"/>
      <c r="P28" s="2710" t="s">
        <v>2412</v>
      </c>
      <c r="Q28" s="2713">
        <v>1.4999999999999999E-2</v>
      </c>
      <c r="R28" s="2714"/>
      <c r="S28" s="2588"/>
      <c r="T28" s="2588"/>
      <c r="U28" s="2588"/>
      <c r="V28" s="2694"/>
    </row>
    <row r="29" spans="1:22" s="2695" customFormat="1" ht="13.15" customHeight="1">
      <c r="A29" s="2676">
        <v>3</v>
      </c>
      <c r="B29" s="2677" t="s">
        <v>2413</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2407</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2414</v>
      </c>
      <c r="K31" s="2586"/>
      <c r="L31" s="2586"/>
      <c r="M31" s="2586"/>
      <c r="N31" s="2586"/>
      <c r="O31" s="2586"/>
      <c r="P31" s="2586"/>
      <c r="Q31" s="2586"/>
      <c r="R31" s="2587"/>
      <c r="S31" s="2588"/>
      <c r="T31" s="2588"/>
      <c r="U31" s="2588"/>
      <c r="V31" s="2694"/>
    </row>
    <row r="32" spans="1:22" s="2695" customFormat="1" ht="13.15" customHeight="1">
      <c r="A32" s="2676">
        <v>4</v>
      </c>
      <c r="B32" s="2677" t="s">
        <v>2415</v>
      </c>
      <c r="C32" s="2678">
        <f>C23-C26-C29</f>
        <v>0</v>
      </c>
      <c r="D32" s="2679">
        <f>D23-D26-D29</f>
        <v>0</v>
      </c>
      <c r="E32" s="2680">
        <f>E23-E26-E29</f>
        <v>0</v>
      </c>
      <c r="F32" s="2681"/>
      <c r="G32" s="2588"/>
      <c r="H32" s="2595"/>
      <c r="I32" s="2596"/>
      <c r="J32" s="3497" t="s">
        <v>2307</v>
      </c>
      <c r="K32" s="3498"/>
      <c r="L32" s="2597" t="s">
        <v>2308</v>
      </c>
      <c r="M32" s="2597" t="s">
        <v>2309</v>
      </c>
      <c r="N32" s="2597" t="s">
        <v>2310</v>
      </c>
      <c r="O32" s="2597" t="s">
        <v>2311</v>
      </c>
      <c r="P32" s="2597" t="s">
        <v>2312</v>
      </c>
      <c r="Q32" s="2598" t="s">
        <v>2313</v>
      </c>
      <c r="R32" s="2717" t="s">
        <v>2314</v>
      </c>
      <c r="S32" s="2588"/>
      <c r="T32" s="2588"/>
      <c r="U32" s="2588"/>
      <c r="V32" s="2694"/>
    </row>
    <row r="33" spans="1:23" s="2600" customFormat="1" ht="13.15" customHeight="1">
      <c r="A33" s="2676"/>
      <c r="B33" s="2677"/>
      <c r="C33" s="2678"/>
      <c r="D33" s="2718"/>
      <c r="E33" s="2719"/>
      <c r="F33" s="2681"/>
      <c r="G33" s="2588"/>
      <c r="H33" s="2702"/>
      <c r="I33" s="2694"/>
      <c r="J33" s="3499" t="s">
        <v>2317</v>
      </c>
      <c r="K33" s="3500"/>
      <c r="L33" s="2603"/>
      <c r="M33" s="2603"/>
      <c r="N33" s="2603"/>
      <c r="O33" s="2603"/>
      <c r="P33" s="2603"/>
      <c r="Q33" s="2604"/>
      <c r="R33" s="2720">
        <f>SUM(L33:Q33)</f>
        <v>0</v>
      </c>
      <c r="S33" s="2588"/>
      <c r="T33" s="2588"/>
      <c r="U33" s="2588"/>
      <c r="V33" s="2596"/>
    </row>
    <row r="34" spans="1:23" s="2600" customFormat="1" ht="13.15" customHeight="1">
      <c r="A34" s="2676">
        <v>5</v>
      </c>
      <c r="B34" s="2677" t="s">
        <v>2416</v>
      </c>
      <c r="C34" s="2721"/>
      <c r="D34" s="2722"/>
      <c r="E34" s="2723"/>
      <c r="F34" s="2681"/>
      <c r="G34" s="2588"/>
      <c r="H34" s="2702"/>
      <c r="I34" s="2694"/>
      <c r="J34" s="3499" t="s">
        <v>2319</v>
      </c>
      <c r="K34" s="3500"/>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2417</v>
      </c>
      <c r="C35" s="2725"/>
      <c r="D35" s="2726"/>
      <c r="E35" s="2727"/>
      <c r="F35" s="2681"/>
      <c r="G35" s="2728"/>
      <c r="H35" s="2595"/>
      <c r="I35" s="2694"/>
      <c r="J35" s="2614" t="s">
        <v>2321</v>
      </c>
      <c r="K35" s="2615"/>
      <c r="L35" s="2615"/>
      <c r="M35" s="2616"/>
      <c r="N35" s="2616"/>
      <c r="O35" s="2616"/>
      <c r="P35" s="2616"/>
      <c r="Q35" s="2616"/>
      <c r="R35" s="2729">
        <f>R40+R41+R43</f>
        <v>0</v>
      </c>
      <c r="S35" s="2588"/>
      <c r="T35" s="2588" t="s">
        <v>2322</v>
      </c>
      <c r="U35" s="2588"/>
      <c r="V35" s="2596"/>
    </row>
    <row r="36" spans="1:23" s="2600" customFormat="1" ht="13.15" customHeight="1" thickBot="1">
      <c r="A36" s="2676">
        <v>7</v>
      </c>
      <c r="B36" s="2730" t="s">
        <v>2418</v>
      </c>
      <c r="C36" s="2731"/>
      <c r="D36" s="2732"/>
      <c r="E36" s="2733"/>
      <c r="F36" s="2734">
        <f>C36+D36+E36</f>
        <v>0</v>
      </c>
      <c r="G36" s="2588"/>
      <c r="H36" s="2595"/>
      <c r="I36" s="2596"/>
      <c r="J36" s="3504">
        <v>1</v>
      </c>
      <c r="K36" s="3505" t="s">
        <v>2419</v>
      </c>
      <c r="L36" s="2621"/>
      <c r="M36" s="2622"/>
      <c r="N36" s="2622"/>
      <c r="O36" s="2622"/>
      <c r="P36" s="2622"/>
      <c r="Q36" s="2622"/>
      <c r="R36" s="2605" t="s">
        <v>2331</v>
      </c>
      <c r="S36" s="2588"/>
      <c r="T36" s="2588" t="s">
        <v>2332</v>
      </c>
      <c r="U36" s="2588"/>
      <c r="V36" s="2596"/>
    </row>
    <row r="37" spans="1:23" s="2600" customFormat="1" ht="13.15" customHeight="1">
      <c r="A37" s="2676"/>
      <c r="B37" s="2677"/>
      <c r="C37" s="2677"/>
      <c r="D37" s="2677"/>
      <c r="E37" s="2677"/>
      <c r="F37" s="2681"/>
      <c r="G37" s="2588"/>
      <c r="H37" s="2595"/>
      <c r="I37" s="2596"/>
      <c r="J37" s="3504"/>
      <c r="K37" s="3506"/>
      <c r="L37" s="2630"/>
      <c r="M37" s="2631"/>
      <c r="N37" s="2607"/>
      <c r="O37" s="2632"/>
      <c r="P37" s="2632"/>
      <c r="Q37" s="2633"/>
      <c r="R37" s="2634"/>
      <c r="S37" s="2588"/>
      <c r="T37" s="2588" t="s">
        <v>2335</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504"/>
      <c r="K38" s="3506"/>
      <c r="L38" s="2630"/>
      <c r="M38" s="2631"/>
      <c r="N38" s="2607"/>
      <c r="O38" s="2632"/>
      <c r="P38" s="2632"/>
      <c r="Q38" s="2633"/>
      <c r="R38" s="2634"/>
      <c r="S38" s="2588"/>
      <c r="T38" s="2588" t="s">
        <v>2342</v>
      </c>
      <c r="U38" s="2588"/>
      <c r="V38" s="2596"/>
    </row>
    <row r="39" spans="1:23" s="2600" customFormat="1" ht="13.15" customHeight="1">
      <c r="A39" s="2676">
        <v>9</v>
      </c>
      <c r="B39" s="2677" t="s">
        <v>2420</v>
      </c>
      <c r="C39" s="2644" t="e">
        <f>C38</f>
        <v>#DIV/0!</v>
      </c>
      <c r="D39" s="2677">
        <f>D38/(1+D34)^C36</f>
        <v>0</v>
      </c>
      <c r="E39" s="2677">
        <f>E38/(1+E34)^(C36+D36)</f>
        <v>0</v>
      </c>
      <c r="F39" s="2681"/>
      <c r="G39" s="2596"/>
      <c r="H39" s="2595"/>
      <c r="I39" s="2596"/>
      <c r="J39" s="3504"/>
      <c r="K39" s="3506"/>
      <c r="L39" s="2630"/>
      <c r="M39" s="2631"/>
      <c r="N39" s="2607"/>
      <c r="O39" s="2632"/>
      <c r="P39" s="2632"/>
      <c r="Q39" s="2633"/>
      <c r="R39" s="2634"/>
      <c r="S39" s="2588"/>
      <c r="T39" s="2588"/>
      <c r="U39" s="2588"/>
      <c r="V39" s="2596"/>
    </row>
    <row r="40" spans="1:23" s="2600" customFormat="1" ht="13.15" customHeight="1">
      <c r="A40" s="2735">
        <v>10</v>
      </c>
      <c r="B40" s="2677" t="s">
        <v>2421</v>
      </c>
      <c r="C40" s="2736" t="e">
        <f>C39+D39+E39</f>
        <v>#DIV/0!</v>
      </c>
      <c r="D40" s="2737"/>
      <c r="E40" s="2737"/>
      <c r="F40" s="2738"/>
      <c r="G40" s="2588"/>
      <c r="H40" s="2595"/>
      <c r="I40" s="2596"/>
      <c r="J40" s="3504"/>
      <c r="K40" s="3507"/>
      <c r="L40" s="2650" t="s">
        <v>2360</v>
      </c>
      <c r="M40" s="2651"/>
      <c r="N40" s="2651"/>
      <c r="O40" s="2652"/>
      <c r="P40" s="2652"/>
      <c r="Q40" s="2653"/>
      <c r="R40" s="2599">
        <f>SUM(R37:R39)</f>
        <v>0</v>
      </c>
      <c r="S40" s="2588"/>
      <c r="T40" s="2588"/>
      <c r="U40" s="2588"/>
      <c r="V40" s="2596"/>
    </row>
    <row r="41" spans="1:23" s="2600" customFormat="1" ht="13.15" customHeight="1" thickBot="1">
      <c r="A41" s="2739">
        <v>11</v>
      </c>
      <c r="B41" s="2740" t="s">
        <v>2422</v>
      </c>
      <c r="C41" s="2740" t="e">
        <f>ROUND(C40*10000/B4,0)</f>
        <v>#DIV/0!</v>
      </c>
      <c r="D41" s="2741"/>
      <c r="E41" s="2741"/>
      <c r="F41" s="2742"/>
      <c r="G41" s="2595"/>
      <c r="H41" s="2595"/>
      <c r="I41" s="2596"/>
      <c r="J41" s="2689">
        <v>2</v>
      </c>
      <c r="K41" s="2690" t="s">
        <v>2400</v>
      </c>
      <c r="L41" s="2691"/>
      <c r="M41" s="2691"/>
      <c r="N41" s="2691"/>
      <c r="O41" s="2691"/>
      <c r="P41" s="2692"/>
      <c r="Q41" s="2693"/>
      <c r="R41" s="2666">
        <f>ROUND(R40*Q41,0)</f>
        <v>0</v>
      </c>
      <c r="S41" s="2588"/>
      <c r="T41" s="2588"/>
      <c r="U41" s="2639"/>
      <c r="V41" s="2596"/>
    </row>
    <row r="42" spans="1:23" s="2600" customFormat="1" ht="13.15" customHeight="1">
      <c r="G42" s="2595"/>
      <c r="H42" s="2595"/>
      <c r="I42" s="2596"/>
      <c r="J42" s="3514">
        <v>3</v>
      </c>
      <c r="K42" s="2696" t="s">
        <v>2402</v>
      </c>
      <c r="L42" s="2697"/>
      <c r="M42" s="2698"/>
      <c r="N42" s="2699" t="s">
        <v>2403</v>
      </c>
      <c r="O42" s="2699" t="s">
        <v>2404</v>
      </c>
      <c r="P42" s="2700" t="s">
        <v>2405</v>
      </c>
      <c r="Q42" s="2700" t="s">
        <v>2406</v>
      </c>
      <c r="R42" s="2605" t="s">
        <v>2331</v>
      </c>
      <c r="S42" s="2639"/>
      <c r="T42" s="2639"/>
      <c r="U42" s="2588"/>
      <c r="V42" s="2596"/>
    </row>
    <row r="43" spans="1:23" ht="13.15" customHeight="1">
      <c r="A43" s="2600"/>
      <c r="B43" s="2600"/>
      <c r="C43" s="2600"/>
      <c r="D43" s="2600"/>
      <c r="E43" s="2600"/>
      <c r="F43" s="2600"/>
      <c r="I43" s="2583"/>
      <c r="J43" s="3515"/>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2409</v>
      </c>
      <c r="L44" s="2745" t="s">
        <v>2410</v>
      </c>
      <c r="M44" s="2711"/>
      <c r="N44" s="2745" t="s">
        <v>2411</v>
      </c>
      <c r="O44" s="2711"/>
      <c r="P44" s="2745" t="s">
        <v>2412</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1000000}">
      <formula1>"按明细,按比例"</formula1>
    </dataValidation>
    <dataValidation type="list" allowBlank="1" showInputMessage="1" showErrorMessage="1" sqref="D2" xr:uid="{00000000-0002-0000-2300-000002000000}">
      <formula1>"——,需考虑建筑物残值"</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5"/>
      <c r="G1" s="457"/>
      <c r="H1" s="457"/>
      <c r="I1" s="457"/>
      <c r="J1" s="457"/>
      <c r="K1" s="457"/>
      <c r="L1" s="457"/>
      <c r="M1" s="457"/>
      <c r="N1" s="457"/>
      <c r="O1" s="457"/>
      <c r="P1" s="457"/>
      <c r="Q1" s="457"/>
      <c r="R1" s="457"/>
      <c r="S1" s="457"/>
    </row>
    <row r="2" spans="1:22" ht="15.75">
      <c r="A2" s="1725" t="s">
        <v>1462</v>
      </c>
      <c r="B2" s="808">
        <f ca="1">SUMIF(B6:B13,"&lt;&gt;#ref!",B6:B13)</f>
        <v>0</v>
      </c>
      <c r="C2" s="1726" t="s">
        <v>1651</v>
      </c>
      <c r="D2" s="1727" t="s">
        <v>1652</v>
      </c>
      <c r="E2" s="2388">
        <f>SUM(E6:E13)</f>
        <v>0</v>
      </c>
      <c r="F2" s="2475"/>
      <c r="G2" s="457"/>
      <c r="H2" s="457"/>
      <c r="I2" s="457"/>
      <c r="J2" s="457"/>
      <c r="K2" s="457"/>
      <c r="L2" s="457"/>
      <c r="M2" s="457"/>
      <c r="N2" s="457"/>
      <c r="O2" s="457"/>
      <c r="P2" s="457"/>
      <c r="Q2" s="457"/>
      <c r="R2" s="457"/>
      <c r="S2" s="457"/>
    </row>
    <row r="3" spans="1:22" ht="15.75">
      <c r="A3" s="1725" t="s">
        <v>686</v>
      </c>
      <c r="B3" s="2382" t="e">
        <f ca="1">ROUND(B2*10000/E2,0)</f>
        <v>#DIV/0!</v>
      </c>
      <c r="C3" s="1726" t="s">
        <v>1659</v>
      </c>
      <c r="D3" s="2475"/>
      <c r="E3" s="2478"/>
      <c r="F3" s="2475"/>
      <c r="G3" s="457"/>
      <c r="H3" s="457"/>
      <c r="I3" s="457"/>
      <c r="J3" s="457"/>
      <c r="K3" s="457"/>
      <c r="L3" s="457"/>
      <c r="M3" s="457"/>
      <c r="N3" s="457"/>
      <c r="O3" s="457"/>
      <c r="P3" s="457"/>
      <c r="Q3" s="457"/>
      <c r="R3" s="457"/>
      <c r="S3" s="457"/>
    </row>
    <row r="4" spans="1:22" ht="15.75">
      <c r="A4" s="2479"/>
      <c r="B4" s="2475"/>
      <c r="C4" s="2475"/>
      <c r="D4" s="2475"/>
      <c r="E4" s="2478"/>
      <c r="F4" s="2475"/>
      <c r="G4" s="457"/>
      <c r="H4" s="457"/>
      <c r="I4" s="457"/>
      <c r="J4" s="457"/>
      <c r="K4" s="457"/>
      <c r="L4" s="457"/>
      <c r="M4" s="457"/>
      <c r="N4" s="457"/>
      <c r="O4" s="457"/>
      <c r="P4" s="457"/>
      <c r="Q4" s="457"/>
      <c r="R4" s="457"/>
      <c r="S4" s="457"/>
    </row>
    <row r="5" spans="1:22" ht="15">
      <c r="A5" s="2384" t="s">
        <v>1653</v>
      </c>
      <c r="B5" s="3516" t="s">
        <v>1654</v>
      </c>
      <c r="C5" s="3517"/>
      <c r="D5" s="2476"/>
      <c r="E5" s="1728" t="s">
        <v>1655</v>
      </c>
      <c r="F5" s="129" t="s">
        <v>1656</v>
      </c>
      <c r="G5" s="457"/>
      <c r="H5" s="457"/>
      <c r="I5" s="457"/>
      <c r="J5" s="457"/>
      <c r="K5" s="457"/>
      <c r="L5" s="457"/>
      <c r="M5" s="457"/>
      <c r="N5" s="457"/>
      <c r="O5" s="457"/>
      <c r="P5" s="457"/>
      <c r="Q5" s="457"/>
      <c r="R5" s="457"/>
      <c r="S5" s="457"/>
    </row>
    <row r="6" spans="1:22">
      <c r="A6" s="2385">
        <f>'数据-取费表'!AN6</f>
        <v>0</v>
      </c>
      <c r="B6" s="2383" t="e">
        <f ca="1">IF(F6="是",'数据-取费表'!AO6,0)</f>
        <v>#REF!</v>
      </c>
      <c r="C6" s="1726" t="s">
        <v>1651</v>
      </c>
      <c r="D6" s="2475"/>
      <c r="E6" s="2387">
        <f>IF(OR(A6=0,F6="否"),0,'数据-取费表'!K6+'数据-取费表'!S6)</f>
        <v>0</v>
      </c>
      <c r="F6" s="1729" t="s">
        <v>1657</v>
      </c>
      <c r="G6" s="457"/>
      <c r="H6" s="457"/>
      <c r="I6" s="457"/>
      <c r="J6" s="457"/>
      <c r="K6" s="457"/>
      <c r="L6" s="457"/>
      <c r="M6" s="457"/>
      <c r="N6" s="457"/>
      <c r="O6" s="457"/>
      <c r="P6" s="457"/>
      <c r="Q6" s="457"/>
      <c r="R6" s="457"/>
      <c r="S6" s="457"/>
    </row>
    <row r="7" spans="1:22">
      <c r="A7" s="2385">
        <f>'数据-取费表'!AN7</f>
        <v>0</v>
      </c>
      <c r="B7" s="2383" t="e">
        <f ca="1">IF(F7="是",'数据-取费表'!AO7,0)</f>
        <v>#REF!</v>
      </c>
      <c r="C7" s="1726" t="s">
        <v>1651</v>
      </c>
      <c r="D7" s="2475"/>
      <c r="E7" s="2387">
        <f>IF(OR(A7=0,F7="否"),0,'数据-取费表'!K7+'数据-取费表'!S7)</f>
        <v>0</v>
      </c>
      <c r="F7" s="1729" t="s">
        <v>1657</v>
      </c>
      <c r="G7" s="457"/>
      <c r="H7" s="457"/>
      <c r="I7" s="457"/>
      <c r="J7" s="457"/>
      <c r="K7" s="457"/>
      <c r="L7" s="457"/>
      <c r="M7" s="457"/>
      <c r="N7" s="457"/>
      <c r="O7" s="457"/>
      <c r="P7" s="457"/>
      <c r="Q7" s="457"/>
      <c r="R7" s="457"/>
      <c r="S7" s="457"/>
    </row>
    <row r="8" spans="1:22">
      <c r="A8" s="2385">
        <f>'数据-取费表'!AN8</f>
        <v>0</v>
      </c>
      <c r="B8" s="2383" t="e">
        <f ca="1">IF(F8="是",'数据-取费表'!AO8,0)</f>
        <v>#REF!</v>
      </c>
      <c r="C8" s="1726" t="s">
        <v>1651</v>
      </c>
      <c r="D8" s="2475"/>
      <c r="E8" s="2387">
        <f>IF(OR(A8=0,F8="否"),0,'数据-取费表'!K8+'数据-取费表'!S8)</f>
        <v>0</v>
      </c>
      <c r="F8" s="1729" t="s">
        <v>1657</v>
      </c>
      <c r="G8" s="457"/>
      <c r="H8" s="457"/>
      <c r="I8" s="457"/>
      <c r="J8" s="457"/>
      <c r="K8" s="457"/>
      <c r="L8" s="457"/>
      <c r="M8" s="457"/>
      <c r="N8" s="457"/>
      <c r="O8" s="457"/>
      <c r="P8" s="457"/>
      <c r="Q8" s="457"/>
      <c r="R8" s="457"/>
      <c r="S8" s="457"/>
    </row>
    <row r="9" spans="1:22">
      <c r="A9" s="2385">
        <f>'数据-取费表'!AN9</f>
        <v>0</v>
      </c>
      <c r="B9" s="2383" t="e">
        <f ca="1">IF(F9="是",'数据-取费表'!AO9,0)</f>
        <v>#REF!</v>
      </c>
      <c r="C9" s="1726" t="s">
        <v>1651</v>
      </c>
      <c r="D9" s="2475"/>
      <c r="E9" s="2387">
        <f>IF(OR(A9=0,F9="否"),0,'数据-取费表'!K9+'数据-取费表'!S9)</f>
        <v>0</v>
      </c>
      <c r="F9" s="1729" t="s">
        <v>1657</v>
      </c>
      <c r="G9" s="457"/>
      <c r="H9" s="457"/>
      <c r="I9" s="457"/>
      <c r="J9" s="457"/>
      <c r="K9" s="457"/>
      <c r="L9" s="457"/>
      <c r="M9" s="457"/>
      <c r="N9" s="457"/>
      <c r="O9" s="457"/>
      <c r="P9" s="457"/>
      <c r="Q9" s="457"/>
      <c r="R9" s="457"/>
      <c r="S9" s="457"/>
    </row>
    <row r="10" spans="1:22">
      <c r="A10" s="2385">
        <f>'数据-取费表'!AN10</f>
        <v>0</v>
      </c>
      <c r="B10" s="2383" t="e">
        <f ca="1">IF(F10="是",'数据-取费表'!AO10,0)</f>
        <v>#REF!</v>
      </c>
      <c r="C10" s="1726" t="s">
        <v>1651</v>
      </c>
      <c r="D10" s="2475"/>
      <c r="E10" s="2387">
        <f>IF(OR(A10=0,F10="否"),0,'数据-取费表'!K10+'数据-取费表'!S10)</f>
        <v>0</v>
      </c>
      <c r="F10" s="1729" t="s">
        <v>1657</v>
      </c>
      <c r="G10" s="457"/>
      <c r="H10" s="457"/>
      <c r="I10" s="457"/>
      <c r="J10" s="457"/>
      <c r="K10" s="457"/>
      <c r="L10" s="457"/>
      <c r="M10" s="457"/>
      <c r="N10" s="457"/>
      <c r="O10" s="457"/>
      <c r="P10" s="457"/>
      <c r="Q10" s="457"/>
      <c r="R10" s="457"/>
      <c r="S10" s="457"/>
    </row>
    <row r="11" spans="1:22">
      <c r="A11" s="2385">
        <f>'数据-取费表'!AN11</f>
        <v>0</v>
      </c>
      <c r="B11" s="2383" t="e">
        <f ca="1">IF(F11="是",'数据-取费表'!AO11,0)</f>
        <v>#REF!</v>
      </c>
      <c r="C11" s="1726" t="s">
        <v>1651</v>
      </c>
      <c r="D11" s="2475"/>
      <c r="E11" s="2387">
        <f>IF(OR(A11=0,F11="否"),0,'数据-取费表'!K11+'数据-取费表'!S11)</f>
        <v>0</v>
      </c>
      <c r="F11" s="1729" t="s">
        <v>1657</v>
      </c>
      <c r="G11" s="457"/>
      <c r="H11" s="457"/>
      <c r="I11" s="457"/>
      <c r="J11" s="457"/>
      <c r="K11" s="457"/>
      <c r="L11" s="457"/>
      <c r="M11" s="457"/>
      <c r="N11" s="457"/>
      <c r="O11" s="457"/>
      <c r="P11" s="457"/>
      <c r="Q11" s="457"/>
      <c r="R11" s="457"/>
      <c r="S11" s="457"/>
    </row>
    <row r="12" spans="1:22">
      <c r="A12" s="2385">
        <f>'数据-取费表'!AN12</f>
        <v>0</v>
      </c>
      <c r="B12" s="2383" t="e">
        <f ca="1">IF(F12="是",'数据-取费表'!AO12,0)</f>
        <v>#REF!</v>
      </c>
      <c r="C12" s="1726" t="s">
        <v>1651</v>
      </c>
      <c r="D12" s="2475"/>
      <c r="E12" s="2387">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6">
        <f>'数据-取费表'!AN13</f>
        <v>0</v>
      </c>
      <c r="B13" s="2383" t="e">
        <f ca="1">IF(F13="是",'数据-取费表'!AO13,0)</f>
        <v>#REF!</v>
      </c>
      <c r="C13" s="1730" t="s">
        <v>1651</v>
      </c>
      <c r="D13" s="2477"/>
      <c r="E13" s="2387">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2400-000000000000}">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T104"/>
  <sheetViews>
    <sheetView topLeftCell="A49" workbookViewId="0">
      <selection activeCell="U123" sqref="U123"/>
    </sheetView>
  </sheetViews>
  <sheetFormatPr defaultRowHeight="13.5"/>
  <cols>
    <col min="1" max="16384" width="9" style="3157"/>
  </cols>
  <sheetData>
    <row r="104" spans="20:20">
      <c r="T104" s="3157">
        <f>7384.76/152</f>
        <v>48.583947368421057</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3">
    <tabColor rgb="FF92D050"/>
    <pageSetUpPr fitToPage="1"/>
  </sheetPr>
  <dimension ref="A1:AC148"/>
  <sheetViews>
    <sheetView view="pageBreakPreview" zoomScale="85" zoomScaleNormal="60" zoomScaleSheetLayoutView="85" workbookViewId="0">
      <selection activeCell="B2" sqref="B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28" customWidth="1"/>
    <col min="12" max="12" width="12.25" style="429"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1661</v>
      </c>
      <c r="C1" s="1152" t="s">
        <v>1662</v>
      </c>
      <c r="D1" s="1139" t="s">
        <v>3395</v>
      </c>
      <c r="E1" s="3120" t="s">
        <v>5806</v>
      </c>
      <c r="F1" s="1732" t="s">
        <v>5807</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231">
        <f>IF(E1="项目模式",IF(C2="——",ROUND(C49*D3/10000,0),ROUND(C49*D3/10000,0)-D2),IF(E1="单套模式",IF(C2="——",ROUND(C49*D3/10000,4),ROUND(C49*D3/10000,4)-D2)))</f>
        <v>433386</v>
      </c>
      <c r="C2" s="1734" t="s">
        <v>43</v>
      </c>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80"/>
      <c r="M2" s="2481"/>
      <c r="N2" s="2481"/>
      <c r="O2" s="2481"/>
      <c r="P2" s="1738"/>
      <c r="Q2" s="1739"/>
      <c r="R2" s="1739"/>
      <c r="S2" s="1739"/>
      <c r="T2" s="1739"/>
      <c r="U2" s="1739"/>
      <c r="V2" s="1739"/>
      <c r="W2" s="1739"/>
      <c r="X2" s="1739"/>
      <c r="Y2" s="1739"/>
      <c r="Z2" s="1739"/>
      <c r="AA2" s="1739"/>
      <c r="AB2" s="1739"/>
      <c r="AC2" s="995"/>
    </row>
    <row r="3" spans="1:29" s="338" customFormat="1" ht="28.5" customHeight="1" thickBot="1">
      <c r="A3" s="195" t="s">
        <v>686</v>
      </c>
      <c r="B3" s="343">
        <f>IF(C2="——",C49,ROUND(B2*10000/D3,0))</f>
        <v>119971</v>
      </c>
      <c r="C3" s="344" t="s">
        <v>1665</v>
      </c>
      <c r="D3" s="343">
        <f>IF(D1="",'数据-汇总表'!E3,SUMIF('数据-汇总表'!$C19:$C33,D1,'数据-汇总表'!$E19:$E33))</f>
        <v>36124.270000000026</v>
      </c>
      <c r="E3" s="851"/>
      <c r="F3" s="1740"/>
      <c r="G3" s="851"/>
      <c r="H3" s="851"/>
      <c r="I3" s="851"/>
      <c r="J3" s="851"/>
      <c r="K3" s="1737"/>
      <c r="L3" s="2480"/>
      <c r="M3" s="2481"/>
      <c r="N3" s="2481"/>
      <c r="O3" s="2481"/>
      <c r="P3" s="1738"/>
      <c r="Q3" s="1739"/>
      <c r="R3" s="1739"/>
      <c r="S3" s="1739"/>
      <c r="T3" s="1739"/>
      <c r="U3" s="1739"/>
      <c r="V3" s="1739"/>
      <c r="W3" s="1739"/>
      <c r="X3" s="1739"/>
      <c r="Y3" s="1739"/>
      <c r="Z3" s="1739"/>
      <c r="AA3" s="1739"/>
      <c r="AB3" s="1739"/>
      <c r="AC3" s="995"/>
    </row>
    <row r="4" spans="1:29" ht="15">
      <c r="A4" s="345" t="s">
        <v>1666</v>
      </c>
      <c r="B4" s="346"/>
      <c r="C4" s="3468" t="s">
        <v>1667</v>
      </c>
      <c r="D4" s="3469"/>
      <c r="E4" s="3470" t="s">
        <v>1668</v>
      </c>
      <c r="F4" s="3471"/>
      <c r="G4" s="3468" t="s">
        <v>1669</v>
      </c>
      <c r="H4" s="3469"/>
      <c r="I4" s="3468" t="s">
        <v>1670</v>
      </c>
      <c r="J4" s="3469"/>
      <c r="K4" s="1741" t="s">
        <v>1671</v>
      </c>
      <c r="L4" s="2482"/>
      <c r="M4" s="2483"/>
      <c r="N4" s="2483"/>
      <c r="O4" s="2483"/>
      <c r="P4" s="3472" t="s">
        <v>1672</v>
      </c>
      <c r="Q4" s="3473"/>
      <c r="R4" s="3454" t="s">
        <v>1668</v>
      </c>
      <c r="S4" s="3455"/>
      <c r="T4" s="3454" t="s">
        <v>1669</v>
      </c>
      <c r="U4" s="3455"/>
      <c r="V4" s="3480" t="s">
        <v>1670</v>
      </c>
      <c r="W4" s="3480"/>
      <c r="X4" s="1262"/>
      <c r="Y4" s="3454" t="s">
        <v>1672</v>
      </c>
      <c r="Z4" s="3455"/>
      <c r="AA4" s="3449" t="s">
        <v>1668</v>
      </c>
      <c r="AB4" s="3449" t="s">
        <v>1669</v>
      </c>
      <c r="AC4" s="3449" t="s">
        <v>1670</v>
      </c>
    </row>
    <row r="5" spans="1:29" ht="15.75" thickBot="1">
      <c r="A5" s="348"/>
      <c r="B5" s="349"/>
      <c r="C5" s="3460" t="s">
        <v>1673</v>
      </c>
      <c r="D5" s="3461"/>
      <c r="E5" s="3518" t="s">
        <v>5803</v>
      </c>
      <c r="F5" s="3459"/>
      <c r="G5" s="3464" t="s">
        <v>5804</v>
      </c>
      <c r="H5" s="3461"/>
      <c r="I5" s="3464" t="s">
        <v>5805</v>
      </c>
      <c r="J5" s="3461"/>
      <c r="K5" s="1742"/>
      <c r="L5" s="2482"/>
      <c r="M5" s="2483"/>
      <c r="N5" s="2483"/>
      <c r="O5" s="2483"/>
      <c r="P5" s="3474"/>
      <c r="Q5" s="3475"/>
      <c r="R5" s="3456"/>
      <c r="S5" s="3457"/>
      <c r="T5" s="3456"/>
      <c r="U5" s="3457"/>
      <c r="V5" s="3480"/>
      <c r="W5" s="3480"/>
      <c r="X5" s="1262"/>
      <c r="Y5" s="3456"/>
      <c r="Z5" s="3457"/>
      <c r="AA5" s="3450"/>
      <c r="AB5" s="3450"/>
      <c r="AC5" s="3450"/>
    </row>
    <row r="6" spans="1:29" ht="15.75" hidden="1" thickBot="1">
      <c r="A6" s="350"/>
      <c r="B6" s="351"/>
      <c r="C6" s="3462" t="s">
        <v>1677</v>
      </c>
      <c r="D6" s="3463"/>
      <c r="E6" s="3465" t="s">
        <v>1677</v>
      </c>
      <c r="F6" s="3466"/>
      <c r="G6" s="3462" t="s">
        <v>1677</v>
      </c>
      <c r="H6" s="3463"/>
      <c r="I6" s="3462" t="s">
        <v>1677</v>
      </c>
      <c r="J6" s="3463"/>
      <c r="K6" s="1742" t="s">
        <v>1678</v>
      </c>
      <c r="L6" s="2482"/>
      <c r="M6" s="2483"/>
      <c r="N6" s="2483"/>
      <c r="O6" s="2483"/>
      <c r="P6" s="3476"/>
      <c r="Q6" s="3477"/>
      <c r="R6" s="3456"/>
      <c r="S6" s="3457"/>
      <c r="T6" s="3478"/>
      <c r="U6" s="3479"/>
      <c r="V6" s="3480"/>
      <c r="W6" s="3480"/>
      <c r="X6" s="1262"/>
      <c r="Y6" s="3478"/>
      <c r="Z6" s="3479"/>
      <c r="AA6" s="3451"/>
      <c r="AB6" s="3451"/>
      <c r="AC6" s="3451"/>
    </row>
    <row r="7" spans="1:29" s="102" customFormat="1" ht="15.75" thickBot="1">
      <c r="A7" s="352" t="s">
        <v>1679</v>
      </c>
      <c r="B7" s="353"/>
      <c r="C7" s="354">
        <f>'数据-取费表'!B2</f>
        <v>45803</v>
      </c>
      <c r="D7" s="355">
        <v>100</v>
      </c>
      <c r="E7" s="356">
        <f>C7</f>
        <v>45803</v>
      </c>
      <c r="F7" s="357">
        <f>SUMIF(58:58,YEAR(E7)&amp;"-"&amp;MONTH(E7),59:59)</f>
        <v>100</v>
      </c>
      <c r="G7" s="356">
        <f>E7</f>
        <v>45803</v>
      </c>
      <c r="H7" s="355">
        <f>SUMIF(58:58,YEAR(G7)&amp;"-"&amp;MONTH(G7),59:59)</f>
        <v>100</v>
      </c>
      <c r="I7" s="356">
        <f>G7</f>
        <v>45803</v>
      </c>
      <c r="J7" s="355">
        <f>SUMIF(58:58,YEAR(I7)&amp;"-"&amp;MONTH(I7),59:59)</f>
        <v>100</v>
      </c>
      <c r="K7" s="1743"/>
      <c r="L7" s="2484"/>
      <c r="M7" s="2435"/>
      <c r="N7" s="2435"/>
      <c r="O7" s="2435"/>
      <c r="P7" s="3452" t="s">
        <v>1680</v>
      </c>
      <c r="Q7" s="3481"/>
      <c r="R7" s="662" t="s">
        <v>20</v>
      </c>
      <c r="S7" s="663">
        <f t="shared" ref="S7:S15" si="0">F7</f>
        <v>100</v>
      </c>
      <c r="T7" s="662" t="s">
        <v>20</v>
      </c>
      <c r="U7" s="663">
        <f t="shared" ref="U7:U15" si="1">H7</f>
        <v>100</v>
      </c>
      <c r="V7" s="662" t="s">
        <v>20</v>
      </c>
      <c r="W7" s="663">
        <f t="shared" ref="W7:W15" si="2">J7</f>
        <v>100</v>
      </c>
      <c r="X7" s="664"/>
      <c r="Y7" s="3452" t="s">
        <v>1680</v>
      </c>
      <c r="Z7" s="3453"/>
      <c r="AA7" s="50">
        <f>D7/F7</f>
        <v>1</v>
      </c>
      <c r="AB7" s="50">
        <f>D7/H7</f>
        <v>1</v>
      </c>
      <c r="AC7" s="50">
        <f>D7/J7</f>
        <v>1</v>
      </c>
    </row>
    <row r="8" spans="1:29" s="102" customFormat="1" ht="15.75" thickBot="1">
      <c r="A8" s="352" t="s">
        <v>1681</v>
      </c>
      <c r="B8" s="353"/>
      <c r="C8" s="358" t="s">
        <v>5786</v>
      </c>
      <c r="D8" s="355">
        <v>100</v>
      </c>
      <c r="E8" s="1744" t="s">
        <v>5786</v>
      </c>
      <c r="F8" s="357">
        <f>SUMIF(61:61,E8,62:62)-SUMIF(61:61,C8,62:62)+100</f>
        <v>100</v>
      </c>
      <c r="G8" s="358" t="s">
        <v>5786</v>
      </c>
      <c r="H8" s="355">
        <f>SUMIF(61:61,G8,62:62)-SUMIF(61:61,C8,62:62)+100</f>
        <v>100</v>
      </c>
      <c r="I8" s="1744" t="s">
        <v>5786</v>
      </c>
      <c r="J8" s="355">
        <f>SUMIF(61:61,I8,62:62)-SUMIF(61:61,C8,62:62)+100</f>
        <v>100</v>
      </c>
      <c r="K8" s="1743"/>
      <c r="L8" s="2484"/>
      <c r="M8" s="2435"/>
      <c r="N8" s="2435"/>
      <c r="O8" s="2435"/>
      <c r="P8" s="3452" t="s">
        <v>1683</v>
      </c>
      <c r="Q8" s="3453"/>
      <c r="R8" s="662" t="s">
        <v>20</v>
      </c>
      <c r="S8" s="663">
        <f t="shared" si="0"/>
        <v>100</v>
      </c>
      <c r="T8" s="662" t="s">
        <v>20</v>
      </c>
      <c r="U8" s="663">
        <f t="shared" si="1"/>
        <v>100</v>
      </c>
      <c r="V8" s="662" t="s">
        <v>20</v>
      </c>
      <c r="W8" s="663">
        <f t="shared" si="2"/>
        <v>100</v>
      </c>
      <c r="X8" s="664"/>
      <c r="Y8" s="3452" t="s">
        <v>1683</v>
      </c>
      <c r="Z8" s="3453"/>
      <c r="AA8" s="50">
        <f t="shared" ref="AA8:AA19" si="3">D8/F8</f>
        <v>1</v>
      </c>
      <c r="AB8" s="50">
        <f t="shared" ref="AB8:AB19" si="4">D8/H8</f>
        <v>1</v>
      </c>
      <c r="AC8" s="50">
        <f t="shared" ref="AC8:AC19" si="5">D8/J8</f>
        <v>1</v>
      </c>
    </row>
    <row r="9" spans="1:29" s="102" customFormat="1">
      <c r="A9" s="359" t="s">
        <v>1684</v>
      </c>
      <c r="B9" s="60" t="s">
        <v>1685</v>
      </c>
      <c r="C9" s="3186" t="s">
        <v>5814</v>
      </c>
      <c r="D9" s="59">
        <v>100</v>
      </c>
      <c r="E9" s="361" t="s">
        <v>3395</v>
      </c>
      <c r="F9" s="60">
        <f>SUMIF(63:63,E9,64:64)-SUMIF(63:63,C9,64:64)+100</f>
        <v>100</v>
      </c>
      <c r="G9" s="362" t="s">
        <v>3395</v>
      </c>
      <c r="H9" s="59">
        <f>SUMIF(63:63,G9,64:64)-SUMIF(63:63,C9,64:64)+100</f>
        <v>100</v>
      </c>
      <c r="I9" s="362" t="s">
        <v>3395</v>
      </c>
      <c r="J9" s="59">
        <f>SUMIF(63:63,I9,64:64)-SUMIF(63:63,C9,64:64)+100</f>
        <v>100</v>
      </c>
      <c r="K9" s="1743"/>
      <c r="L9" s="2484"/>
      <c r="M9" s="2435"/>
      <c r="N9" s="2435"/>
      <c r="O9" s="2435"/>
      <c r="P9" s="3491" t="s">
        <v>1686</v>
      </c>
      <c r="Q9" s="528" t="str">
        <f t="shared" ref="Q9:Q15" si="6">B9</f>
        <v>用途</v>
      </c>
      <c r="R9" s="662" t="s">
        <v>14</v>
      </c>
      <c r="S9" s="663">
        <f t="shared" si="0"/>
        <v>100</v>
      </c>
      <c r="T9" s="662" t="s">
        <v>14</v>
      </c>
      <c r="U9" s="663">
        <f t="shared" si="1"/>
        <v>100</v>
      </c>
      <c r="V9" s="662" t="s">
        <v>14</v>
      </c>
      <c r="W9" s="663">
        <f t="shared" si="2"/>
        <v>100</v>
      </c>
      <c r="X9" s="664"/>
      <c r="Y9" s="3422"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7" t="s">
        <v>5808</v>
      </c>
      <c r="F10" s="364">
        <f>SUMIF(65:65,E10,66:66)-SUMIF(65:65,C10,66:66)+100</f>
        <v>100</v>
      </c>
      <c r="G10" s="3127" t="s">
        <v>5808</v>
      </c>
      <c r="H10" s="119">
        <f>SUMIF(65:65,G10,66:66)-SUMIF(65:65,C10,66:66)+100</f>
        <v>100</v>
      </c>
      <c r="I10" s="3127" t="s">
        <v>5808</v>
      </c>
      <c r="J10" s="119">
        <f>SUMIF(65:65,I10,66:66)-SUMIF(65:65,C10,66:66)+100</f>
        <v>100</v>
      </c>
      <c r="K10" s="1743"/>
      <c r="L10" s="2485"/>
      <c r="M10" s="2486"/>
      <c r="N10" s="2486"/>
      <c r="O10" s="2486"/>
      <c r="P10" s="3491"/>
      <c r="Q10" s="528" t="str">
        <f t="shared" si="6"/>
        <v>土地使用年限（年）</v>
      </c>
      <c r="R10" s="662" t="s">
        <v>14</v>
      </c>
      <c r="S10" s="663">
        <f t="shared" si="0"/>
        <v>100</v>
      </c>
      <c r="T10" s="662" t="s">
        <v>14</v>
      </c>
      <c r="U10" s="663">
        <f t="shared" si="1"/>
        <v>100</v>
      </c>
      <c r="V10" s="662" t="s">
        <v>14</v>
      </c>
      <c r="W10" s="663">
        <f t="shared" si="2"/>
        <v>100</v>
      </c>
      <c r="X10" s="664"/>
      <c r="Y10" s="3422"/>
      <c r="Z10" s="50" t="str">
        <f t="shared" si="7"/>
        <v>土地使用年限（年）</v>
      </c>
      <c r="AA10" s="50">
        <f t="shared" si="3"/>
        <v>1</v>
      </c>
      <c r="AB10" s="50">
        <f t="shared" si="4"/>
        <v>1</v>
      </c>
      <c r="AC10" s="50">
        <f t="shared" si="5"/>
        <v>1</v>
      </c>
    </row>
    <row r="11" spans="1:29" ht="15.75" thickBot="1">
      <c r="A11" s="367"/>
      <c r="B11" s="364" t="s">
        <v>1689</v>
      </c>
      <c r="C11" s="368">
        <f>'数据-汇总表'!I7</f>
        <v>1.05</v>
      </c>
      <c r="D11" s="119">
        <v>100</v>
      </c>
      <c r="E11" s="369">
        <v>1.05</v>
      </c>
      <c r="F11" s="364">
        <f>LOOKUP(E11,68:68,69:69)-LOOKUP(C11,68:68,69:69)+100</f>
        <v>100</v>
      </c>
      <c r="G11" s="368">
        <v>2.1</v>
      </c>
      <c r="H11" s="119">
        <f>LOOKUP(G11,68:68,69:69)-LOOKUP(C11,68:68,69:69)+100</f>
        <v>95</v>
      </c>
      <c r="I11" s="368">
        <v>2.1</v>
      </c>
      <c r="J11" s="119">
        <f>LOOKUP(I11,68:68,69:69)-LOOKUP(C11,68:68,69:69)+100</f>
        <v>95</v>
      </c>
      <c r="K11" s="365">
        <v>2.5</v>
      </c>
      <c r="L11" s="2487"/>
      <c r="M11" s="2483"/>
      <c r="N11" s="2483"/>
      <c r="O11" s="2483"/>
      <c r="P11" s="3491"/>
      <c r="Q11" s="528" t="str">
        <f t="shared" si="6"/>
        <v>容积率</v>
      </c>
      <c r="R11" s="662" t="s">
        <v>18</v>
      </c>
      <c r="S11" s="663">
        <f t="shared" si="0"/>
        <v>100</v>
      </c>
      <c r="T11" s="662" t="s">
        <v>18</v>
      </c>
      <c r="U11" s="663">
        <f t="shared" si="1"/>
        <v>95</v>
      </c>
      <c r="V11" s="662" t="s">
        <v>18</v>
      </c>
      <c r="W11" s="663">
        <f t="shared" si="2"/>
        <v>95</v>
      </c>
      <c r="X11" s="664"/>
      <c r="Y11" s="3422"/>
      <c r="Z11" s="50" t="str">
        <f t="shared" si="7"/>
        <v>容积率</v>
      </c>
      <c r="AA11" s="50">
        <f t="shared" si="3"/>
        <v>1</v>
      </c>
      <c r="AB11" s="50">
        <f t="shared" si="4"/>
        <v>1.0526315789473684</v>
      </c>
      <c r="AC11" s="50">
        <f t="shared" si="5"/>
        <v>1.0526315789473684</v>
      </c>
    </row>
    <row r="12" spans="1:29" s="102" customFormat="1" ht="15" hidden="1">
      <c r="A12" s="370"/>
      <c r="B12" s="445">
        <v>111</v>
      </c>
      <c r="C12" s="371"/>
      <c r="D12" s="372">
        <v>100</v>
      </c>
      <c r="E12" s="371"/>
      <c r="F12" s="364">
        <f>SUMIF(70:70,E12,71:71)-SUMIF(70:70,C12,71:71)+100</f>
        <v>100</v>
      </c>
      <c r="G12" s="371"/>
      <c r="H12" s="119">
        <f>SUMIF(70:70,G12,71:71)-SUMIF(70:70,C12,71:71)+100</f>
        <v>100</v>
      </c>
      <c r="I12" s="371"/>
      <c r="J12" s="119">
        <f>SUMIF(70:70,I12,71:71)-SUMIF(70:70,C12,71:71)+100</f>
        <v>100</v>
      </c>
      <c r="K12" s="1745"/>
      <c r="L12" s="2484"/>
      <c r="M12" s="2435"/>
      <c r="N12" s="2435"/>
      <c r="O12" s="2435"/>
      <c r="P12" s="3491"/>
      <c r="Q12" s="528">
        <f t="shared" si="6"/>
        <v>111</v>
      </c>
      <c r="R12" s="662" t="s">
        <v>18</v>
      </c>
      <c r="S12" s="663">
        <f t="shared" si="0"/>
        <v>100</v>
      </c>
      <c r="T12" s="662" t="s">
        <v>18</v>
      </c>
      <c r="U12" s="663">
        <f t="shared" si="1"/>
        <v>100</v>
      </c>
      <c r="V12" s="662" t="s">
        <v>18</v>
      </c>
      <c r="W12" s="663">
        <f t="shared" si="2"/>
        <v>100</v>
      </c>
      <c r="X12" s="664"/>
      <c r="Y12" s="3422"/>
      <c r="Z12" s="50">
        <f t="shared" si="7"/>
        <v>111</v>
      </c>
      <c r="AA12" s="50">
        <f>D12/F12</f>
        <v>1</v>
      </c>
      <c r="AB12" s="50">
        <f>D12/H12</f>
        <v>1</v>
      </c>
      <c r="AC12" s="50">
        <f>D12/J12</f>
        <v>1</v>
      </c>
    </row>
    <row r="13" spans="1:29" ht="15" hidden="1">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1745"/>
      <c r="L13" s="2488"/>
      <c r="M13" s="2483"/>
      <c r="N13" s="2483"/>
      <c r="O13" s="2483"/>
      <c r="P13" s="3491"/>
      <c r="Q13" s="528">
        <f t="shared" si="6"/>
        <v>111</v>
      </c>
      <c r="R13" s="662" t="s">
        <v>18</v>
      </c>
      <c r="S13" s="663">
        <f t="shared" si="0"/>
        <v>100</v>
      </c>
      <c r="T13" s="662" t="s">
        <v>18</v>
      </c>
      <c r="U13" s="663">
        <f t="shared" si="1"/>
        <v>100</v>
      </c>
      <c r="V13" s="662" t="s">
        <v>18</v>
      </c>
      <c r="W13" s="663">
        <f t="shared" si="2"/>
        <v>100</v>
      </c>
      <c r="X13" s="664"/>
      <c r="Y13" s="3422"/>
      <c r="Z13" s="50">
        <f t="shared" si="7"/>
        <v>111</v>
      </c>
      <c r="AA13" s="50">
        <f t="shared" si="3"/>
        <v>1</v>
      </c>
      <c r="AB13" s="50">
        <f t="shared" si="4"/>
        <v>1</v>
      </c>
      <c r="AC13" s="50">
        <f t="shared" si="5"/>
        <v>1</v>
      </c>
    </row>
    <row r="14" spans="1:29" ht="15.75" hidden="1"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8"/>
      <c r="M14" s="2483"/>
      <c r="N14" s="2483"/>
      <c r="O14" s="2483"/>
      <c r="P14" s="3491"/>
      <c r="Q14" s="528">
        <f t="shared" si="6"/>
        <v>111</v>
      </c>
      <c r="R14" s="662" t="s">
        <v>18</v>
      </c>
      <c r="S14" s="663">
        <f t="shared" si="0"/>
        <v>100</v>
      </c>
      <c r="T14" s="662" t="s">
        <v>18</v>
      </c>
      <c r="U14" s="663">
        <f t="shared" si="1"/>
        <v>100</v>
      </c>
      <c r="V14" s="662" t="s">
        <v>18</v>
      </c>
      <c r="W14" s="663">
        <f t="shared" si="2"/>
        <v>100</v>
      </c>
      <c r="X14" s="664"/>
      <c r="Y14" s="3422"/>
      <c r="Z14" s="50">
        <f t="shared" si="7"/>
        <v>111</v>
      </c>
      <c r="AA14" s="50">
        <f t="shared" si="3"/>
        <v>1</v>
      </c>
      <c r="AB14" s="50">
        <f t="shared" si="4"/>
        <v>1</v>
      </c>
      <c r="AC14" s="50">
        <f t="shared" si="5"/>
        <v>1</v>
      </c>
    </row>
    <row r="15" spans="1:29" ht="15">
      <c r="A15" s="379" t="s">
        <v>1690</v>
      </c>
      <c r="B15" s="58" t="s">
        <v>1257</v>
      </c>
      <c r="C15" s="1747">
        <f>估价对象房地状况!C3</f>
        <v>0</v>
      </c>
      <c r="D15" s="380">
        <v>100</v>
      </c>
      <c r="E15" s="383"/>
      <c r="F15" s="380">
        <f>SUMIF(76:76,E16,77:77)-SUMIF(76:76,C16,77:77)+100</f>
        <v>100</v>
      </c>
      <c r="G15" s="381"/>
      <c r="H15" s="380">
        <f>SUMIF(76:76,G16,77:77)-SUMIF(76:76,C16,77:77)+100</f>
        <v>100</v>
      </c>
      <c r="I15" s="381"/>
      <c r="J15" s="380">
        <f>SUMIF(76:76,I16,77:77)-SUMIF(76:76,C16,77:77)+100</f>
        <v>100</v>
      </c>
      <c r="K15" s="384">
        <v>3</v>
      </c>
      <c r="L15" s="2488"/>
      <c r="M15" s="2483"/>
      <c r="N15" s="2483"/>
      <c r="O15" s="2483"/>
      <c r="P15" s="3524" t="s">
        <v>1691</v>
      </c>
      <c r="Q15" s="1260" t="str">
        <f t="shared" si="6"/>
        <v>居住社区成熟度</v>
      </c>
      <c r="R15" s="665" t="s">
        <v>18</v>
      </c>
      <c r="S15" s="666">
        <f t="shared" si="0"/>
        <v>100</v>
      </c>
      <c r="T15" s="665" t="s">
        <v>18</v>
      </c>
      <c r="U15" s="666">
        <f t="shared" si="1"/>
        <v>100</v>
      </c>
      <c r="V15" s="665" t="s">
        <v>18</v>
      </c>
      <c r="W15" s="666">
        <f t="shared" si="2"/>
        <v>100</v>
      </c>
      <c r="X15" s="1262"/>
      <c r="Y15" s="3482" t="s">
        <v>1691</v>
      </c>
      <c r="Z15" s="1261" t="str">
        <f t="shared" si="7"/>
        <v>居住社区成熟度</v>
      </c>
      <c r="AA15" s="1261">
        <f t="shared" si="3"/>
        <v>1</v>
      </c>
      <c r="AB15" s="1261">
        <f t="shared" si="4"/>
        <v>1</v>
      </c>
      <c r="AC15" s="1261">
        <f t="shared" si="5"/>
        <v>1</v>
      </c>
    </row>
    <row r="16" spans="1:29" ht="15">
      <c r="A16" s="367"/>
      <c r="B16" s="385"/>
      <c r="C16" s="386" t="s">
        <v>5792</v>
      </c>
      <c r="D16" s="387"/>
      <c r="E16" s="1748" t="s">
        <v>5792</v>
      </c>
      <c r="F16" s="387"/>
      <c r="G16" s="1748" t="s">
        <v>5792</v>
      </c>
      <c r="H16" s="389"/>
      <c r="I16" s="1748" t="s">
        <v>5792</v>
      </c>
      <c r="J16" s="387"/>
      <c r="K16" s="1750"/>
      <c r="L16" s="2488"/>
      <c r="M16" s="2483"/>
      <c r="N16" s="2483"/>
      <c r="O16" s="2483"/>
      <c r="P16" s="3525"/>
      <c r="Q16" s="1260"/>
      <c r="R16" s="665"/>
      <c r="S16" s="666"/>
      <c r="T16" s="665"/>
      <c r="U16" s="666"/>
      <c r="V16" s="665"/>
      <c r="W16" s="666"/>
      <c r="X16" s="1262"/>
      <c r="Y16" s="3483"/>
      <c r="Z16" s="1261"/>
      <c r="AA16" s="1261">
        <v>1</v>
      </c>
      <c r="AB16" s="1261">
        <v>1</v>
      </c>
      <c r="AC16" s="1261">
        <v>1</v>
      </c>
    </row>
    <row r="17" spans="1:29" ht="15">
      <c r="A17" s="367"/>
      <c r="B17" s="390" t="s">
        <v>1259</v>
      </c>
      <c r="C17" s="1751">
        <f>估价对象房地状况!C6</f>
        <v>0</v>
      </c>
      <c r="D17" s="389">
        <v>100</v>
      </c>
      <c r="E17" s="393"/>
      <c r="F17" s="389">
        <f>SUMIF(78:78,E18,79:79)-SUMIF(78:78,C18,79:79)+100</f>
        <v>100</v>
      </c>
      <c r="G17" s="393"/>
      <c r="H17" s="394">
        <f>SUMIF(78:78,G18,79:79)-SUMIF(78:78,C18,79:79)+100</f>
        <v>100</v>
      </c>
      <c r="I17" s="393"/>
      <c r="J17" s="394">
        <f>SUMIF(78:78,I18,79:79)-SUMIF(78:78,C18,79:79)+100</f>
        <v>100</v>
      </c>
      <c r="K17" s="384">
        <v>3</v>
      </c>
      <c r="L17" s="2488"/>
      <c r="M17" s="2483"/>
      <c r="N17" s="2483"/>
      <c r="O17" s="2483"/>
      <c r="P17" s="3525"/>
      <c r="Q17" s="1260" t="str">
        <f>B17</f>
        <v>交通便捷度</v>
      </c>
      <c r="R17" s="665" t="s">
        <v>18</v>
      </c>
      <c r="S17" s="666">
        <f>F17</f>
        <v>100</v>
      </c>
      <c r="T17" s="665" t="s">
        <v>18</v>
      </c>
      <c r="U17" s="666">
        <f>H17</f>
        <v>100</v>
      </c>
      <c r="V17" s="665" t="s">
        <v>18</v>
      </c>
      <c r="W17" s="666">
        <f>J17</f>
        <v>100</v>
      </c>
      <c r="X17" s="1262"/>
      <c r="Y17" s="3483"/>
      <c r="Z17" s="1261" t="str">
        <f>Q17</f>
        <v>交通便捷度</v>
      </c>
      <c r="AA17" s="1261">
        <f t="shared" si="3"/>
        <v>1</v>
      </c>
      <c r="AB17" s="1261">
        <f t="shared" si="4"/>
        <v>1</v>
      </c>
      <c r="AC17" s="1261">
        <f t="shared" si="5"/>
        <v>1</v>
      </c>
    </row>
    <row r="18" spans="1:29" ht="15">
      <c r="A18" s="367"/>
      <c r="B18" s="395"/>
      <c r="C18" s="1752" t="s">
        <v>5792</v>
      </c>
      <c r="D18" s="389"/>
      <c r="E18" s="1753" t="s">
        <v>5792</v>
      </c>
      <c r="F18" s="389"/>
      <c r="G18" s="1753" t="s">
        <v>5792</v>
      </c>
      <c r="H18" s="387"/>
      <c r="I18" s="1753" t="s">
        <v>5792</v>
      </c>
      <c r="J18" s="387"/>
      <c r="K18" s="1750"/>
      <c r="L18" s="2488"/>
      <c r="M18" s="2483"/>
      <c r="N18" s="2483"/>
      <c r="O18" s="2483"/>
      <c r="P18" s="3525"/>
      <c r="Q18" s="1260"/>
      <c r="R18" s="665"/>
      <c r="S18" s="666"/>
      <c r="T18" s="665"/>
      <c r="U18" s="666"/>
      <c r="V18" s="665"/>
      <c r="W18" s="666"/>
      <c r="X18" s="1262"/>
      <c r="Y18" s="3483"/>
      <c r="Z18" s="1261"/>
      <c r="AA18" s="1261">
        <v>1</v>
      </c>
      <c r="AB18" s="1261">
        <v>1</v>
      </c>
      <c r="AC18" s="1261">
        <v>1</v>
      </c>
    </row>
    <row r="19" spans="1:29" ht="15">
      <c r="A19" s="367"/>
      <c r="B19" s="390" t="s">
        <v>1258</v>
      </c>
      <c r="C19" s="1751">
        <f>估价对象房地状况!C7</f>
        <v>0</v>
      </c>
      <c r="D19" s="394">
        <v>100</v>
      </c>
      <c r="E19" s="398"/>
      <c r="F19" s="394">
        <f>SUMIF(80:80,E20,81:81)-SUMIF(80:80,C20,81:81)+100</f>
        <v>100</v>
      </c>
      <c r="G19" s="398"/>
      <c r="H19" s="389">
        <f>SUMIF(80:80,G20,81:81)-SUMIF(80:80,C20,81:81)+100</f>
        <v>100</v>
      </c>
      <c r="I19" s="398"/>
      <c r="J19" s="389">
        <f>SUMIF(80:80,I20,81:81)-SUMIF(80:80,C20,81:81)+100</f>
        <v>100</v>
      </c>
      <c r="K19" s="384">
        <v>3</v>
      </c>
      <c r="L19" s="2488"/>
      <c r="M19" s="2483"/>
      <c r="N19" s="2483"/>
      <c r="O19" s="2483"/>
      <c r="P19" s="3525"/>
      <c r="Q19" s="1260" t="str">
        <f>B19</f>
        <v>公共配套设施</v>
      </c>
      <c r="R19" s="665" t="s">
        <v>18</v>
      </c>
      <c r="S19" s="666">
        <f>F19</f>
        <v>100</v>
      </c>
      <c r="T19" s="665" t="s">
        <v>18</v>
      </c>
      <c r="U19" s="666">
        <f>H19</f>
        <v>100</v>
      </c>
      <c r="V19" s="665" t="s">
        <v>18</v>
      </c>
      <c r="W19" s="666">
        <f>J19</f>
        <v>100</v>
      </c>
      <c r="X19" s="1262"/>
      <c r="Y19" s="3483"/>
      <c r="Z19" s="1261" t="str">
        <f>Q19</f>
        <v>公共配套设施</v>
      </c>
      <c r="AA19" s="1261">
        <f t="shared" si="3"/>
        <v>1</v>
      </c>
      <c r="AB19" s="1261">
        <f t="shared" si="4"/>
        <v>1</v>
      </c>
      <c r="AC19" s="1261">
        <f t="shared" si="5"/>
        <v>1</v>
      </c>
    </row>
    <row r="20" spans="1:29" ht="15">
      <c r="A20" s="367"/>
      <c r="B20" s="395"/>
      <c r="C20" s="386" t="s">
        <v>5788</v>
      </c>
      <c r="D20" s="387"/>
      <c r="E20" s="1748" t="s">
        <v>5788</v>
      </c>
      <c r="F20" s="387"/>
      <c r="G20" s="1748" t="s">
        <v>5788</v>
      </c>
      <c r="H20" s="387"/>
      <c r="I20" s="1748" t="s">
        <v>5788</v>
      </c>
      <c r="J20" s="387"/>
      <c r="K20" s="1750"/>
      <c r="L20" s="2488"/>
      <c r="M20" s="2483"/>
      <c r="N20" s="2483"/>
      <c r="O20" s="2483"/>
      <c r="P20" s="3525"/>
      <c r="Q20" s="1260"/>
      <c r="R20" s="665"/>
      <c r="S20" s="666"/>
      <c r="T20" s="665"/>
      <c r="U20" s="666"/>
      <c r="V20" s="665"/>
      <c r="W20" s="666"/>
      <c r="X20" s="1262"/>
      <c r="Y20" s="3483"/>
      <c r="Z20" s="1261"/>
      <c r="AA20" s="1261">
        <v>1</v>
      </c>
      <c r="AB20" s="1261">
        <v>1</v>
      </c>
      <c r="AC20" s="1261">
        <v>1</v>
      </c>
    </row>
    <row r="21" spans="1:29" ht="15">
      <c r="A21" s="367"/>
      <c r="B21" s="584" t="s">
        <v>1260</v>
      </c>
      <c r="C21" s="1751">
        <f>估价对象房地状况!C8</f>
        <v>0</v>
      </c>
      <c r="D21" s="389">
        <v>100</v>
      </c>
      <c r="E21" s="398"/>
      <c r="F21" s="394">
        <f>SUMIF(82:82,E22,83:83)-SUMIF(82:82,C22,83:83)+100</f>
        <v>100</v>
      </c>
      <c r="G21" s="398"/>
      <c r="H21" s="389">
        <f>SUMIF(82:82,G22,83:83)-SUMIF(82:82,C22,83:83)+100</f>
        <v>100</v>
      </c>
      <c r="I21" s="398"/>
      <c r="J21" s="389">
        <f>SUMIF(82:82,I22,83:83)-SUMIF(82:82,C22,83:83)+100</f>
        <v>100</v>
      </c>
      <c r="K21" s="384">
        <v>2</v>
      </c>
      <c r="L21" s="2488"/>
      <c r="M21" s="2483"/>
      <c r="N21" s="2483"/>
      <c r="O21" s="2483"/>
      <c r="P21" s="3525"/>
      <c r="Q21" s="1260" t="str">
        <f>B21</f>
        <v>基础设施水平</v>
      </c>
      <c r="R21" s="665" t="s">
        <v>14</v>
      </c>
      <c r="S21" s="666">
        <f>F21</f>
        <v>100</v>
      </c>
      <c r="T21" s="665" t="s">
        <v>14</v>
      </c>
      <c r="U21" s="666">
        <f>H21</f>
        <v>100</v>
      </c>
      <c r="V21" s="665" t="s">
        <v>14</v>
      </c>
      <c r="W21" s="666">
        <f>J21</f>
        <v>100</v>
      </c>
      <c r="X21" s="1262"/>
      <c r="Y21" s="3483"/>
      <c r="Z21" s="1261" t="str">
        <f>Q21</f>
        <v>基础设施水平</v>
      </c>
      <c r="AA21" s="1261">
        <f t="shared" ref="AA21" si="8">D21/F21</f>
        <v>1</v>
      </c>
      <c r="AB21" s="1261">
        <f t="shared" ref="AB21" si="9">D21/H21</f>
        <v>1</v>
      </c>
      <c r="AC21" s="1261">
        <f t="shared" ref="AC21" si="10">D21/J21</f>
        <v>1</v>
      </c>
    </row>
    <row r="22" spans="1:29" ht="15">
      <c r="A22" s="367"/>
      <c r="B22" s="584"/>
      <c r="C22" s="1752" t="s">
        <v>5789</v>
      </c>
      <c r="D22" s="387"/>
      <c r="E22" s="386" t="s">
        <v>5789</v>
      </c>
      <c r="F22" s="387"/>
      <c r="G22" s="386" t="s">
        <v>5789</v>
      </c>
      <c r="H22" s="387"/>
      <c r="I22" s="386" t="s">
        <v>5789</v>
      </c>
      <c r="J22" s="387"/>
      <c r="K22" s="1756"/>
      <c r="L22" s="2488"/>
      <c r="M22" s="2483"/>
      <c r="N22" s="2483"/>
      <c r="O22" s="2483"/>
      <c r="P22" s="3525"/>
      <c r="Q22" s="1260"/>
      <c r="R22" s="665"/>
      <c r="S22" s="666"/>
      <c r="T22" s="665"/>
      <c r="U22" s="666"/>
      <c r="V22" s="665"/>
      <c r="W22" s="666"/>
      <c r="X22" s="1262"/>
      <c r="Y22" s="3483"/>
      <c r="Z22" s="1261"/>
      <c r="AA22" s="1261">
        <v>1</v>
      </c>
      <c r="AB22" s="1261">
        <v>1</v>
      </c>
      <c r="AC22" s="1261">
        <v>1</v>
      </c>
    </row>
    <row r="23" spans="1:29" ht="15">
      <c r="A23" s="367"/>
      <c r="B23" s="390" t="s">
        <v>1261</v>
      </c>
      <c r="C23" s="1751">
        <f>估价对象房地状况!C9</f>
        <v>0</v>
      </c>
      <c r="D23" s="389">
        <v>100</v>
      </c>
      <c r="E23" s="393"/>
      <c r="F23" s="389">
        <f>SUMIF(84:84,E24,85:85)-SUMIF(84:84,C24,85:85)+100</f>
        <v>100</v>
      </c>
      <c r="G23" s="393"/>
      <c r="H23" s="389">
        <f>SUMIF(84:84,G24,85:85)-SUMIF(84:84,C24,85:85)+100</f>
        <v>100</v>
      </c>
      <c r="I23" s="393"/>
      <c r="J23" s="389">
        <f>SUMIF(84:84,I24,85:85)-SUMIF(84:84,C24,85:85)+100</f>
        <v>100</v>
      </c>
      <c r="K23" s="384">
        <v>3</v>
      </c>
      <c r="L23" s="2488"/>
      <c r="M23" s="2483"/>
      <c r="N23" s="2483"/>
      <c r="O23" s="2483"/>
      <c r="P23" s="3525"/>
      <c r="Q23" s="1260" t="str">
        <f>B23</f>
        <v>自然及人文环境</v>
      </c>
      <c r="R23" s="665" t="s">
        <v>18</v>
      </c>
      <c r="S23" s="666">
        <f>F23</f>
        <v>100</v>
      </c>
      <c r="T23" s="665" t="s">
        <v>18</v>
      </c>
      <c r="U23" s="666">
        <f>H23</f>
        <v>100</v>
      </c>
      <c r="V23" s="665" t="s">
        <v>18</v>
      </c>
      <c r="W23" s="666">
        <f>J23</f>
        <v>100</v>
      </c>
      <c r="X23" s="1262"/>
      <c r="Y23" s="3483"/>
      <c r="Z23" s="1261" t="str">
        <f>Q23</f>
        <v>自然及人文环境</v>
      </c>
      <c r="AA23" s="1261">
        <f>D23/F23</f>
        <v>1</v>
      </c>
      <c r="AB23" s="1261">
        <f>D23/H23</f>
        <v>1</v>
      </c>
      <c r="AC23" s="1261">
        <f>D23/J23</f>
        <v>1</v>
      </c>
    </row>
    <row r="24" spans="1:29" ht="15.75" thickBot="1">
      <c r="A24" s="367"/>
      <c r="B24" s="395"/>
      <c r="C24" s="386" t="s">
        <v>5788</v>
      </c>
      <c r="D24" s="387"/>
      <c r="E24" s="1748" t="s">
        <v>5788</v>
      </c>
      <c r="F24" s="387"/>
      <c r="G24" s="1748" t="s">
        <v>5788</v>
      </c>
      <c r="H24" s="387"/>
      <c r="I24" s="1748" t="s">
        <v>5788</v>
      </c>
      <c r="J24" s="387"/>
      <c r="K24" s="1750"/>
      <c r="L24" s="2488"/>
      <c r="M24" s="2483"/>
      <c r="N24" s="2483"/>
      <c r="O24" s="2483"/>
      <c r="P24" s="3525"/>
      <c r="Q24" s="1260"/>
      <c r="R24" s="665"/>
      <c r="S24" s="666"/>
      <c r="T24" s="665"/>
      <c r="U24" s="666"/>
      <c r="V24" s="665"/>
      <c r="W24" s="666"/>
      <c r="X24" s="1262"/>
      <c r="Y24" s="3483"/>
      <c r="Z24" s="1261"/>
      <c r="AA24" s="1261">
        <v>1</v>
      </c>
      <c r="AB24" s="1261">
        <v>1</v>
      </c>
      <c r="AC24" s="1261">
        <v>1</v>
      </c>
    </row>
    <row r="25" spans="1:29" ht="15" hidden="1">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8"/>
      <c r="M25" s="2483"/>
      <c r="N25" s="2483"/>
      <c r="O25" s="2483"/>
      <c r="P25" s="3525"/>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83"/>
      <c r="Z25" s="1261" t="str">
        <f>Q25</f>
        <v>楼层-1</v>
      </c>
      <c r="AA25" s="1261">
        <f t="shared" ref="AA25:AA46" si="15">D25/F25</f>
        <v>1</v>
      </c>
      <c r="AB25" s="1261">
        <f t="shared" ref="AB25:AB46" si="16">D25/H25</f>
        <v>1</v>
      </c>
      <c r="AC25" s="1261">
        <f t="shared" ref="AC25:AC46" si="17">D25/J25</f>
        <v>1</v>
      </c>
    </row>
    <row r="26" spans="1:29" ht="15" hidden="1">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8"/>
      <c r="M26" s="2483"/>
      <c r="N26" s="2483"/>
      <c r="O26" s="2483"/>
      <c r="P26" s="3525"/>
      <c r="Q26" s="1260" t="str">
        <f t="shared" si="11"/>
        <v>朝向</v>
      </c>
      <c r="R26" s="665" t="s">
        <v>18</v>
      </c>
      <c r="S26" s="666">
        <f t="shared" si="12"/>
        <v>100</v>
      </c>
      <c r="T26" s="665" t="s">
        <v>18</v>
      </c>
      <c r="U26" s="666">
        <f t="shared" si="13"/>
        <v>100</v>
      </c>
      <c r="V26" s="665" t="s">
        <v>18</v>
      </c>
      <c r="W26" s="666">
        <f t="shared" si="14"/>
        <v>100</v>
      </c>
      <c r="X26" s="1262"/>
      <c r="Y26" s="3483"/>
      <c r="Z26" s="1261" t="str">
        <f>Q26</f>
        <v>朝向</v>
      </c>
      <c r="AA26" s="1261">
        <f t="shared" si="15"/>
        <v>1</v>
      </c>
      <c r="AB26" s="1261">
        <f t="shared" si="16"/>
        <v>1</v>
      </c>
      <c r="AC26" s="1261">
        <f t="shared" si="17"/>
        <v>1</v>
      </c>
    </row>
    <row r="27" spans="1:29" s="102" customFormat="1" ht="15" hidden="1">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5"/>
      <c r="L27" s="2484"/>
      <c r="M27" s="2435"/>
      <c r="N27" s="2435"/>
      <c r="O27" s="2435"/>
      <c r="P27" s="3525"/>
      <c r="Q27" s="528">
        <f t="shared" si="11"/>
        <v>111</v>
      </c>
      <c r="R27" s="662" t="s">
        <v>18</v>
      </c>
      <c r="S27" s="663">
        <f t="shared" si="12"/>
        <v>100</v>
      </c>
      <c r="T27" s="662" t="s">
        <v>18</v>
      </c>
      <c r="U27" s="663">
        <f t="shared" si="13"/>
        <v>100</v>
      </c>
      <c r="V27" s="662" t="s">
        <v>18</v>
      </c>
      <c r="W27" s="663">
        <f t="shared" si="14"/>
        <v>100</v>
      </c>
      <c r="X27" s="664"/>
      <c r="Y27" s="3483"/>
      <c r="Z27" s="50">
        <f>Q27</f>
        <v>111</v>
      </c>
      <c r="AA27" s="1261">
        <f t="shared" si="15"/>
        <v>1</v>
      </c>
      <c r="AB27" s="1261">
        <f t="shared" si="16"/>
        <v>1</v>
      </c>
      <c r="AC27" s="1261">
        <f t="shared" si="17"/>
        <v>1</v>
      </c>
    </row>
    <row r="28" spans="1:29" ht="15" hidden="1">
      <c r="A28" s="367"/>
      <c r="B28" s="1063">
        <v>111</v>
      </c>
      <c r="C28" s="373"/>
      <c r="D28" s="374">
        <v>100</v>
      </c>
      <c r="E28" s="373"/>
      <c r="F28" s="374">
        <f>SUMIF(92:92,E28,93:93)-SUMIF(92:92,C28,93:93)+100</f>
        <v>100</v>
      </c>
      <c r="G28" s="1759"/>
      <c r="H28" s="374">
        <f>SUMIF(92:92,G28,93:93)-SUMIF(92:92,C28,93:93)+100</f>
        <v>100</v>
      </c>
      <c r="I28" s="373"/>
      <c r="J28" s="374">
        <f>SUMIF(92:92,I28,93:93)-SUMIF(92:92,C28,93:93)+100</f>
        <v>100</v>
      </c>
      <c r="K28" s="1745"/>
      <c r="L28" s="2488"/>
      <c r="M28" s="2483"/>
      <c r="N28" s="2483"/>
      <c r="O28" s="2483"/>
      <c r="P28" s="3525"/>
      <c r="Q28" s="1260">
        <f t="shared" si="11"/>
        <v>111</v>
      </c>
      <c r="R28" s="665" t="s">
        <v>18</v>
      </c>
      <c r="S28" s="666">
        <f t="shared" si="12"/>
        <v>100</v>
      </c>
      <c r="T28" s="665" t="s">
        <v>18</v>
      </c>
      <c r="U28" s="666">
        <f t="shared" si="13"/>
        <v>100</v>
      </c>
      <c r="V28" s="665" t="s">
        <v>18</v>
      </c>
      <c r="W28" s="666">
        <f t="shared" si="14"/>
        <v>100</v>
      </c>
      <c r="X28" s="1262"/>
      <c r="Y28" s="3483"/>
      <c r="Z28" s="1261">
        <f t="shared" ref="Z28:Z46" si="18">Q28</f>
        <v>111</v>
      </c>
      <c r="AA28" s="1261">
        <f t="shared" si="15"/>
        <v>1</v>
      </c>
      <c r="AB28" s="1261">
        <f t="shared" si="16"/>
        <v>1</v>
      </c>
      <c r="AC28" s="1261">
        <f t="shared" si="17"/>
        <v>1</v>
      </c>
    </row>
    <row r="29" spans="1:29" ht="15" hidden="1">
      <c r="A29" s="367"/>
      <c r="B29" s="1063">
        <v>111</v>
      </c>
      <c r="C29" s="373"/>
      <c r="D29" s="374">
        <v>100</v>
      </c>
      <c r="E29" s="373"/>
      <c r="F29" s="374">
        <f>SUMIF(94:94,E29,95:95)-SUMIF(94:94,C29,95:95)+100</f>
        <v>100</v>
      </c>
      <c r="G29" s="1759"/>
      <c r="H29" s="374">
        <f>SUMIF(94:94,G29,95:95)-SUMIF(94:94,C29,95:95)+100</f>
        <v>100</v>
      </c>
      <c r="I29" s="373"/>
      <c r="J29" s="374">
        <f>SUMIF(94:94,I29,95:95)-SUMIF(94:94,C29,95:95)+100</f>
        <v>100</v>
      </c>
      <c r="K29" s="1745"/>
      <c r="L29" s="2488"/>
      <c r="M29" s="2483"/>
      <c r="N29" s="2483"/>
      <c r="O29" s="2483"/>
      <c r="P29" s="3525"/>
      <c r="Q29" s="1260">
        <f t="shared" si="11"/>
        <v>111</v>
      </c>
      <c r="R29" s="665" t="s">
        <v>18</v>
      </c>
      <c r="S29" s="666">
        <f t="shared" si="12"/>
        <v>100</v>
      </c>
      <c r="T29" s="665" t="s">
        <v>18</v>
      </c>
      <c r="U29" s="666">
        <f t="shared" si="13"/>
        <v>100</v>
      </c>
      <c r="V29" s="665" t="s">
        <v>18</v>
      </c>
      <c r="W29" s="666">
        <f t="shared" si="14"/>
        <v>100</v>
      </c>
      <c r="X29" s="1262"/>
      <c r="Y29" s="3483"/>
      <c r="Z29" s="1261">
        <f t="shared" si="18"/>
        <v>111</v>
      </c>
      <c r="AA29" s="1261">
        <f t="shared" si="15"/>
        <v>1</v>
      </c>
      <c r="AB29" s="1261">
        <f t="shared" si="16"/>
        <v>1</v>
      </c>
      <c r="AC29" s="1261">
        <f t="shared" si="17"/>
        <v>1</v>
      </c>
    </row>
    <row r="30" spans="1:29" ht="15" hidden="1">
      <c r="A30" s="367"/>
      <c r="B30" s="1063">
        <v>111</v>
      </c>
      <c r="C30" s="373"/>
      <c r="D30" s="374">
        <v>100</v>
      </c>
      <c r="E30" s="373"/>
      <c r="F30" s="374">
        <f>SUMIF(96:96,E30,97:97)-SUMIF(96:96,C30,97:97)+100</f>
        <v>100</v>
      </c>
      <c r="G30" s="1759"/>
      <c r="H30" s="374">
        <f>SUMIF(96:96,G30,97:97)-SUMIF(96:96,C30,97:97)+100</f>
        <v>100</v>
      </c>
      <c r="I30" s="373"/>
      <c r="J30" s="374">
        <f>SUMIF(96:96,I30,97:97)-SUMIF(96:96,C30,97:97)+100</f>
        <v>100</v>
      </c>
      <c r="K30" s="1745"/>
      <c r="L30" s="2488"/>
      <c r="M30" s="2483"/>
      <c r="N30" s="2483"/>
      <c r="O30" s="2483"/>
      <c r="P30" s="3525"/>
      <c r="Q30" s="1260">
        <f t="shared" si="11"/>
        <v>111</v>
      </c>
      <c r="R30" s="665" t="s">
        <v>18</v>
      </c>
      <c r="S30" s="666">
        <f t="shared" si="12"/>
        <v>100</v>
      </c>
      <c r="T30" s="665" t="s">
        <v>18</v>
      </c>
      <c r="U30" s="666">
        <f t="shared" si="13"/>
        <v>100</v>
      </c>
      <c r="V30" s="665" t="s">
        <v>18</v>
      </c>
      <c r="W30" s="666">
        <f t="shared" si="14"/>
        <v>100</v>
      </c>
      <c r="X30" s="1262"/>
      <c r="Y30" s="3483"/>
      <c r="Z30" s="1261">
        <f t="shared" si="18"/>
        <v>111</v>
      </c>
      <c r="AA30" s="1261">
        <f t="shared" si="15"/>
        <v>1</v>
      </c>
      <c r="AB30" s="1261">
        <f t="shared" si="16"/>
        <v>1</v>
      </c>
      <c r="AC30" s="1261">
        <f t="shared" si="17"/>
        <v>1</v>
      </c>
    </row>
    <row r="31" spans="1:29" ht="15.75" hidden="1" thickBot="1">
      <c r="A31" s="375"/>
      <c r="B31" s="1063">
        <v>111</v>
      </c>
      <c r="C31" s="376"/>
      <c r="D31" s="377">
        <v>100</v>
      </c>
      <c r="E31" s="376"/>
      <c r="F31" s="377">
        <f>SUMIF(98:98,E31,99:99)-SUMIF(98:98,C31,99:99)+100</f>
        <v>100</v>
      </c>
      <c r="G31" s="1760"/>
      <c r="H31" s="377">
        <f>SUMIF(98:98,G31,99:99)-SUMIF(98:98,C31,99:99)+100</f>
        <v>100</v>
      </c>
      <c r="I31" s="376"/>
      <c r="J31" s="377">
        <f>SUMIF(98:98,I31,99:99)-SUMIF(98:98,C31,99:99)+100</f>
        <v>100</v>
      </c>
      <c r="K31" s="1745"/>
      <c r="L31" s="2488"/>
      <c r="M31" s="2483"/>
      <c r="N31" s="2483"/>
      <c r="O31" s="2483"/>
      <c r="P31" s="3525"/>
      <c r="Q31" s="1260">
        <f t="shared" si="11"/>
        <v>111</v>
      </c>
      <c r="R31" s="665" t="s">
        <v>18</v>
      </c>
      <c r="S31" s="666">
        <f t="shared" si="12"/>
        <v>100</v>
      </c>
      <c r="T31" s="665" t="s">
        <v>18</v>
      </c>
      <c r="U31" s="666">
        <f t="shared" si="13"/>
        <v>100</v>
      </c>
      <c r="V31" s="665" t="s">
        <v>18</v>
      </c>
      <c r="W31" s="666">
        <f t="shared" si="14"/>
        <v>100</v>
      </c>
      <c r="X31" s="1262"/>
      <c r="Y31" s="3483"/>
      <c r="Z31" s="1261">
        <f t="shared" si="18"/>
        <v>111</v>
      </c>
      <c r="AA31" s="1261">
        <f t="shared" si="15"/>
        <v>1</v>
      </c>
      <c r="AB31" s="1261">
        <f t="shared" si="16"/>
        <v>1</v>
      </c>
      <c r="AC31" s="1261">
        <f t="shared" si="17"/>
        <v>1</v>
      </c>
    </row>
    <row r="32" spans="1:29" ht="15">
      <c r="A32" s="379" t="s">
        <v>1694</v>
      </c>
      <c r="B32" s="60" t="s">
        <v>1695</v>
      </c>
      <c r="C32" s="3183" t="s">
        <v>5809</v>
      </c>
      <c r="D32" s="405">
        <v>100</v>
      </c>
      <c r="E32" s="3183" t="s">
        <v>5809</v>
      </c>
      <c r="F32" s="400">
        <f>SUMIF(100:100,E32,101:101)-SUMIF(100:100,C32,101:101)+100</f>
        <v>100</v>
      </c>
      <c r="G32" s="3183" t="s">
        <v>5813</v>
      </c>
      <c r="H32" s="405">
        <f>SUMIF(100:100,G32,101:101)-SUMIF(100:100,C32,101:101)+100</f>
        <v>95</v>
      </c>
      <c r="I32" s="3183" t="s">
        <v>5813</v>
      </c>
      <c r="J32" s="374">
        <f>SUMIF(100:100,I32,101:101)-SUMIF(100:100,C32,101:101)+100</f>
        <v>95</v>
      </c>
      <c r="K32" s="365">
        <v>5</v>
      </c>
      <c r="L32" s="2488"/>
      <c r="M32" s="2483"/>
      <c r="N32" s="2483"/>
      <c r="O32" s="2483"/>
      <c r="P32" s="3520" t="s">
        <v>1696</v>
      </c>
      <c r="Q32" s="1260" t="str">
        <f t="shared" si="11"/>
        <v>建筑类型</v>
      </c>
      <c r="R32" s="665" t="s">
        <v>18</v>
      </c>
      <c r="S32" s="666">
        <f t="shared" si="12"/>
        <v>100</v>
      </c>
      <c r="T32" s="665" t="s">
        <v>18</v>
      </c>
      <c r="U32" s="666">
        <f t="shared" si="13"/>
        <v>95</v>
      </c>
      <c r="V32" s="665" t="s">
        <v>18</v>
      </c>
      <c r="W32" s="666">
        <f t="shared" si="14"/>
        <v>95</v>
      </c>
      <c r="X32" s="1262"/>
      <c r="Y32" s="3485" t="s">
        <v>1696</v>
      </c>
      <c r="Z32" s="1261" t="str">
        <f t="shared" si="18"/>
        <v>建筑类型</v>
      </c>
      <c r="AA32" s="1261">
        <f t="shared" si="15"/>
        <v>1</v>
      </c>
      <c r="AB32" s="1261">
        <f t="shared" si="16"/>
        <v>1.0526315789473684</v>
      </c>
      <c r="AC32" s="1261">
        <f t="shared" si="17"/>
        <v>1.0526315789473684</v>
      </c>
    </row>
    <row r="33" spans="1:29" s="408" customFormat="1" ht="15">
      <c r="A33" s="406"/>
      <c r="B33" s="364" t="s">
        <v>1697</v>
      </c>
      <c r="C33" s="369">
        <f>面积!C27</f>
        <v>93719.290000000023</v>
      </c>
      <c r="D33" s="119">
        <v>100</v>
      </c>
      <c r="E33" s="369">
        <v>21809.34</v>
      </c>
      <c r="F33" s="364">
        <f>LOOKUP(E33,103:103,104:104)-LOOKUP(C33,103:103,104:104)+100</f>
        <v>99</v>
      </c>
      <c r="G33" s="368">
        <v>72825.100000000006</v>
      </c>
      <c r="H33" s="119">
        <f>LOOKUP(G33,103:103,104:104)-LOOKUP(C33,103:103,104:104)+100</f>
        <v>100</v>
      </c>
      <c r="I33" s="369">
        <v>89200</v>
      </c>
      <c r="J33" s="119">
        <f>LOOKUP(I33,103:103,104:104)-LOOKUP(C33,103:103,104:104)+100</f>
        <v>100</v>
      </c>
      <c r="K33" s="1745"/>
      <c r="L33" s="2487"/>
      <c r="M33" s="2489"/>
      <c r="N33" s="2489"/>
      <c r="O33" s="2489"/>
      <c r="P33" s="3521"/>
      <c r="Q33" s="529" t="str">
        <f t="shared" si="11"/>
        <v>项目建筑规模</v>
      </c>
      <c r="R33" s="667" t="s">
        <v>18</v>
      </c>
      <c r="S33" s="668">
        <f t="shared" si="12"/>
        <v>99</v>
      </c>
      <c r="T33" s="667" t="s">
        <v>18</v>
      </c>
      <c r="U33" s="668">
        <f t="shared" si="13"/>
        <v>100</v>
      </c>
      <c r="V33" s="667" t="s">
        <v>18</v>
      </c>
      <c r="W33" s="668">
        <f t="shared" si="14"/>
        <v>100</v>
      </c>
      <c r="X33" s="669"/>
      <c r="Y33" s="3485"/>
      <c r="Z33" s="670" t="str">
        <f t="shared" si="18"/>
        <v>项目建筑规模</v>
      </c>
      <c r="AA33" s="1261">
        <f t="shared" si="15"/>
        <v>1.0101010101010102</v>
      </c>
      <c r="AB33" s="1261">
        <f t="shared" si="16"/>
        <v>1</v>
      </c>
      <c r="AC33" s="1261">
        <f t="shared" si="17"/>
        <v>1</v>
      </c>
    </row>
    <row r="34" spans="1:29" ht="15">
      <c r="A34" s="409"/>
      <c r="B34" s="364" t="s">
        <v>1698</v>
      </c>
      <c r="C34" s="3184" t="s">
        <v>5810</v>
      </c>
      <c r="D34" s="374">
        <v>100</v>
      </c>
      <c r="E34" s="3184" t="s">
        <v>5810</v>
      </c>
      <c r="F34" s="400">
        <f>SUMIF(105:105,E34,106:106)-SUMIF(105:105,C34,106:106)+100</f>
        <v>100</v>
      </c>
      <c r="G34" s="3184" t="s">
        <v>5810</v>
      </c>
      <c r="H34" s="374">
        <f>SUMIF(105:105,G34,106:106)-SUMIF(105:105,C34,106:106)+100</f>
        <v>100</v>
      </c>
      <c r="I34" s="3184" t="s">
        <v>5810</v>
      </c>
      <c r="J34" s="374">
        <f>SUMIF(105:105,I34,106:106)-SUMIF(105:105,C34,106:106)+100</f>
        <v>100</v>
      </c>
      <c r="K34" s="365">
        <v>2</v>
      </c>
      <c r="L34" s="2488"/>
      <c r="M34" s="2483"/>
      <c r="N34" s="2483"/>
      <c r="O34" s="2483"/>
      <c r="P34" s="3521"/>
      <c r="Q34" s="1260" t="str">
        <f t="shared" si="11"/>
        <v>建筑结构</v>
      </c>
      <c r="R34" s="665" t="s">
        <v>18</v>
      </c>
      <c r="S34" s="666">
        <f t="shared" si="12"/>
        <v>100</v>
      </c>
      <c r="T34" s="665" t="s">
        <v>18</v>
      </c>
      <c r="U34" s="666">
        <f t="shared" si="13"/>
        <v>100</v>
      </c>
      <c r="V34" s="665" t="s">
        <v>18</v>
      </c>
      <c r="W34" s="666">
        <f t="shared" si="14"/>
        <v>100</v>
      </c>
      <c r="X34" s="1262"/>
      <c r="Y34" s="3485"/>
      <c r="Z34" s="1261" t="str">
        <f t="shared" si="18"/>
        <v>建筑结构</v>
      </c>
      <c r="AA34" s="1261">
        <f t="shared" si="15"/>
        <v>1</v>
      </c>
      <c r="AB34" s="1261">
        <f t="shared" si="16"/>
        <v>1</v>
      </c>
      <c r="AC34" s="1261">
        <f t="shared" si="17"/>
        <v>1</v>
      </c>
    </row>
    <row r="35" spans="1:29" ht="15">
      <c r="A35" s="409"/>
      <c r="B35" s="364" t="s">
        <v>1699</v>
      </c>
      <c r="C35" s="1757" t="s">
        <v>5845</v>
      </c>
      <c r="D35" s="374">
        <v>100</v>
      </c>
      <c r="E35" s="1757" t="s">
        <v>5845</v>
      </c>
      <c r="F35" s="400">
        <f>SUMIF(107:107,E35,108:108)-SUMIF(107:107,C35,108:108)+100</f>
        <v>100</v>
      </c>
      <c r="G35" s="3185" t="s">
        <v>5847</v>
      </c>
      <c r="H35" s="374">
        <f>SUMIF(107:107,G35,108:108)-SUMIF(107:107,C35,108:108)+100</f>
        <v>95</v>
      </c>
      <c r="I35" s="3185" t="s">
        <v>5847</v>
      </c>
      <c r="J35" s="374">
        <f>SUMIF(107:107,I35,108:108)-SUMIF(107:107,C35,108:108)+100</f>
        <v>95</v>
      </c>
      <c r="K35" s="365">
        <v>5</v>
      </c>
      <c r="L35" s="2488"/>
      <c r="M35" s="2483"/>
      <c r="N35" s="2483"/>
      <c r="O35" s="2483"/>
      <c r="P35" s="3521"/>
      <c r="Q35" s="1260" t="str">
        <f t="shared" si="11"/>
        <v>建筑品质</v>
      </c>
      <c r="R35" s="665" t="s">
        <v>18</v>
      </c>
      <c r="S35" s="666">
        <f t="shared" si="12"/>
        <v>100</v>
      </c>
      <c r="T35" s="665" t="s">
        <v>18</v>
      </c>
      <c r="U35" s="666">
        <f t="shared" si="13"/>
        <v>95</v>
      </c>
      <c r="V35" s="665" t="s">
        <v>18</v>
      </c>
      <c r="W35" s="666">
        <f t="shared" si="14"/>
        <v>95</v>
      </c>
      <c r="X35" s="1262"/>
      <c r="Y35" s="3485"/>
      <c r="Z35" s="1261" t="str">
        <f t="shared" si="18"/>
        <v>建筑品质</v>
      </c>
      <c r="AA35" s="1261">
        <f t="shared" si="15"/>
        <v>1</v>
      </c>
      <c r="AB35" s="1261">
        <f t="shared" si="16"/>
        <v>1.0526315789473684</v>
      </c>
      <c r="AC35" s="1261">
        <f t="shared" si="17"/>
        <v>1.0526315789473684</v>
      </c>
    </row>
    <row r="36" spans="1:29" ht="15">
      <c r="A36" s="409"/>
      <c r="B36" s="364" t="s">
        <v>1700</v>
      </c>
      <c r="C36" s="3185" t="s">
        <v>5811</v>
      </c>
      <c r="D36" s="374">
        <v>100</v>
      </c>
      <c r="E36" s="3185" t="s">
        <v>5811</v>
      </c>
      <c r="F36" s="400">
        <f>SUMIF(109:109,E36,110:110)-SUMIF(109:109,C36,110:110)+100</f>
        <v>100</v>
      </c>
      <c r="G36" s="3185" t="s">
        <v>5811</v>
      </c>
      <c r="H36" s="374">
        <f>SUMIF(109:109,G36,110:110)-SUMIF(109:109,C36,110:110)+100</f>
        <v>100</v>
      </c>
      <c r="I36" s="3185" t="s">
        <v>5811</v>
      </c>
      <c r="J36" s="374">
        <f>SUMIF(109:109,I36,110:110)-SUMIF(109:109,C36,110:110)+100</f>
        <v>100</v>
      </c>
      <c r="K36" s="365">
        <v>2</v>
      </c>
      <c r="L36" s="2488"/>
      <c r="M36" s="2483"/>
      <c r="N36" s="2483"/>
      <c r="O36" s="2483"/>
      <c r="P36" s="3521"/>
      <c r="Q36" s="1260" t="str">
        <f t="shared" si="11"/>
        <v>公共部分装修</v>
      </c>
      <c r="R36" s="665" t="s">
        <v>18</v>
      </c>
      <c r="S36" s="666">
        <f t="shared" si="12"/>
        <v>100</v>
      </c>
      <c r="T36" s="665" t="s">
        <v>18</v>
      </c>
      <c r="U36" s="666">
        <f t="shared" si="13"/>
        <v>100</v>
      </c>
      <c r="V36" s="665" t="s">
        <v>18</v>
      </c>
      <c r="W36" s="666">
        <f t="shared" si="14"/>
        <v>100</v>
      </c>
      <c r="X36" s="1262"/>
      <c r="Y36" s="3485"/>
      <c r="Z36" s="1261" t="str">
        <f t="shared" si="18"/>
        <v>公共部分装修</v>
      </c>
      <c r="AA36" s="1261">
        <f t="shared" si="15"/>
        <v>1</v>
      </c>
      <c r="AB36" s="1261">
        <f t="shared" si="16"/>
        <v>1</v>
      </c>
      <c r="AC36" s="1261">
        <f t="shared" si="17"/>
        <v>1</v>
      </c>
    </row>
    <row r="37" spans="1:29" s="102" customFormat="1" ht="15">
      <c r="A37" s="410"/>
      <c r="B37" s="364" t="s">
        <v>1701</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2</v>
      </c>
      <c r="L37" s="2484"/>
      <c r="M37" s="2435"/>
      <c r="N37" s="2435"/>
      <c r="O37" s="2435"/>
      <c r="P37" s="3521"/>
      <c r="Q37" s="528" t="str">
        <f t="shared" si="11"/>
        <v>成新度</v>
      </c>
      <c r="R37" s="662" t="s">
        <v>18</v>
      </c>
      <c r="S37" s="663">
        <f t="shared" si="12"/>
        <v>100</v>
      </c>
      <c r="T37" s="662" t="s">
        <v>18</v>
      </c>
      <c r="U37" s="663">
        <f t="shared" si="13"/>
        <v>100</v>
      </c>
      <c r="V37" s="662" t="s">
        <v>18</v>
      </c>
      <c r="W37" s="663">
        <f t="shared" si="14"/>
        <v>100</v>
      </c>
      <c r="X37" s="664"/>
      <c r="Y37" s="3485"/>
      <c r="Z37" s="50" t="str">
        <f t="shared" si="18"/>
        <v>成新度</v>
      </c>
      <c r="AA37" s="50">
        <f t="shared" si="15"/>
        <v>1</v>
      </c>
      <c r="AB37" s="50">
        <f t="shared" si="16"/>
        <v>1</v>
      </c>
      <c r="AC37" s="50">
        <f t="shared" si="17"/>
        <v>1</v>
      </c>
    </row>
    <row r="38" spans="1:29" ht="15">
      <c r="A38" s="409"/>
      <c r="B38" s="364" t="s">
        <v>1702</v>
      </c>
      <c r="C38" s="3185" t="s">
        <v>5812</v>
      </c>
      <c r="D38" s="374">
        <v>100</v>
      </c>
      <c r="E38" s="3185" t="s">
        <v>5812</v>
      </c>
      <c r="F38" s="400">
        <f>SUMIF(114:114,E38,115:115)-SUMIF(114:114,C38,115:115)+100</f>
        <v>100</v>
      </c>
      <c r="G38" s="3185" t="s">
        <v>5812</v>
      </c>
      <c r="H38" s="374">
        <f>SUMIF(114:114,G38,115:115)-SUMIF(114:114,C38,115:115)+100</f>
        <v>100</v>
      </c>
      <c r="I38" s="3185" t="s">
        <v>5812</v>
      </c>
      <c r="J38" s="374">
        <f>SUMIF(114:114,I38,115:115)-SUMIF(114:114,C38,115:115)+100</f>
        <v>100</v>
      </c>
      <c r="K38" s="365">
        <v>2</v>
      </c>
      <c r="L38" s="2488"/>
      <c r="M38" s="2483"/>
      <c r="N38" s="2483"/>
      <c r="O38" s="2483"/>
      <c r="P38" s="3521" t="s">
        <v>1696</v>
      </c>
      <c r="Q38" s="1260" t="str">
        <f t="shared" si="11"/>
        <v>物业管理</v>
      </c>
      <c r="R38" s="665" t="s">
        <v>18</v>
      </c>
      <c r="S38" s="666">
        <f t="shared" si="12"/>
        <v>100</v>
      </c>
      <c r="T38" s="665" t="s">
        <v>18</v>
      </c>
      <c r="U38" s="666">
        <f t="shared" si="13"/>
        <v>100</v>
      </c>
      <c r="V38" s="665" t="s">
        <v>18</v>
      </c>
      <c r="W38" s="666">
        <f t="shared" si="14"/>
        <v>100</v>
      </c>
      <c r="X38" s="1262"/>
      <c r="Y38" s="3485" t="s">
        <v>1696</v>
      </c>
      <c r="Z38" s="1261" t="str">
        <f t="shared" si="18"/>
        <v>物业管理</v>
      </c>
      <c r="AA38" s="1261">
        <f t="shared" si="15"/>
        <v>1</v>
      </c>
      <c r="AB38" s="1261">
        <f t="shared" si="16"/>
        <v>1</v>
      </c>
      <c r="AC38" s="1261">
        <f t="shared" si="17"/>
        <v>1</v>
      </c>
    </row>
    <row r="39" spans="1:29" ht="15">
      <c r="A39" s="409"/>
      <c r="B39" s="364" t="s">
        <v>1703</v>
      </c>
      <c r="C39" s="3185" t="s">
        <v>5791</v>
      </c>
      <c r="D39" s="374">
        <v>100</v>
      </c>
      <c r="E39" s="3185" t="s">
        <v>5791</v>
      </c>
      <c r="F39" s="400">
        <f>SUMIF(116:116,E39,117:117)-SUMIF(116:116,C39,117:117)+100</f>
        <v>100</v>
      </c>
      <c r="G39" s="3185" t="s">
        <v>5789</v>
      </c>
      <c r="H39" s="374">
        <f>SUMIF(116:116,G39,117:117)-SUMIF(116:116,C39,117:117)+100</f>
        <v>102</v>
      </c>
      <c r="I39" s="3185" t="s">
        <v>5789</v>
      </c>
      <c r="J39" s="374">
        <f>SUMIF(116:116,I39,117:117)-SUMIF(116:116,C39,117:117)+100</f>
        <v>102</v>
      </c>
      <c r="K39" s="365">
        <v>2</v>
      </c>
      <c r="L39" s="2488"/>
      <c r="M39" s="2483"/>
      <c r="N39" s="2483"/>
      <c r="O39" s="2483"/>
      <c r="P39" s="3521"/>
      <c r="Q39" s="1260" t="str">
        <f t="shared" si="11"/>
        <v>市政基础设施</v>
      </c>
      <c r="R39" s="665" t="s">
        <v>18</v>
      </c>
      <c r="S39" s="666">
        <f t="shared" si="12"/>
        <v>100</v>
      </c>
      <c r="T39" s="665" t="s">
        <v>18</v>
      </c>
      <c r="U39" s="666">
        <f t="shared" si="13"/>
        <v>102</v>
      </c>
      <c r="V39" s="665" t="s">
        <v>18</v>
      </c>
      <c r="W39" s="666">
        <f t="shared" si="14"/>
        <v>102</v>
      </c>
      <c r="X39" s="1262"/>
      <c r="Y39" s="3485"/>
      <c r="Z39" s="1261" t="str">
        <f t="shared" si="18"/>
        <v>市政基础设施</v>
      </c>
      <c r="AA39" s="1261">
        <f t="shared" si="15"/>
        <v>1</v>
      </c>
      <c r="AB39" s="1261">
        <f t="shared" si="16"/>
        <v>0.98039215686274506</v>
      </c>
      <c r="AC39" s="1261">
        <f t="shared" si="17"/>
        <v>0.98039215686274506</v>
      </c>
    </row>
    <row r="40" spans="1:29" ht="15" hidden="1">
      <c r="A40" s="409"/>
      <c r="B40" s="364" t="s">
        <v>1704</v>
      </c>
      <c r="C40" s="3185"/>
      <c r="D40" s="374">
        <v>100</v>
      </c>
      <c r="E40" s="3185"/>
      <c r="F40" s="400">
        <f>SUMIF(118:118,E40,119:119)-SUMIF(118:118,C40,119:119)+100</f>
        <v>100</v>
      </c>
      <c r="G40" s="3185"/>
      <c r="H40" s="374">
        <f>SUMIF(118:118,G40,119:119)-SUMIF(118:118,C40,119:119)+100</f>
        <v>100</v>
      </c>
      <c r="I40" s="3185"/>
      <c r="J40" s="374">
        <f>SUMIF(118:118,I40,119:119)-SUMIF(118:118,C40,119:119)+100</f>
        <v>100</v>
      </c>
      <c r="K40" s="365"/>
      <c r="L40" s="2488"/>
      <c r="M40" s="2483"/>
      <c r="N40" s="2483"/>
      <c r="O40" s="2483"/>
      <c r="P40" s="3521"/>
      <c r="Q40" s="1260" t="str">
        <f t="shared" si="11"/>
        <v>房型</v>
      </c>
      <c r="R40" s="665" t="s">
        <v>18</v>
      </c>
      <c r="S40" s="666">
        <f t="shared" si="12"/>
        <v>100</v>
      </c>
      <c r="T40" s="665" t="s">
        <v>18</v>
      </c>
      <c r="U40" s="666">
        <f t="shared" si="13"/>
        <v>100</v>
      </c>
      <c r="V40" s="665" t="s">
        <v>18</v>
      </c>
      <c r="W40" s="666">
        <f t="shared" si="14"/>
        <v>100</v>
      </c>
      <c r="X40" s="1262"/>
      <c r="Y40" s="3485"/>
      <c r="Z40" s="1261" t="str">
        <f t="shared" si="18"/>
        <v>房型</v>
      </c>
      <c r="AA40" s="1261">
        <f t="shared" si="15"/>
        <v>1</v>
      </c>
      <c r="AB40" s="1261">
        <f t="shared" si="16"/>
        <v>1</v>
      </c>
      <c r="AC40" s="1261">
        <f t="shared" si="17"/>
        <v>1</v>
      </c>
    </row>
    <row r="41" spans="1:29" s="408" customFormat="1" ht="28.5" hidden="1">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5"/>
      <c r="L41" s="2487"/>
      <c r="M41" s="2489"/>
      <c r="N41" s="2489"/>
      <c r="O41" s="2489"/>
      <c r="P41" s="3521"/>
      <c r="Q41" s="529" t="str">
        <f t="shared" si="11"/>
        <v>单套/主力户型建筑面积</v>
      </c>
      <c r="R41" s="667" t="s">
        <v>18</v>
      </c>
      <c r="S41" s="668">
        <f t="shared" si="12"/>
        <v>100</v>
      </c>
      <c r="T41" s="667" t="s">
        <v>18</v>
      </c>
      <c r="U41" s="668">
        <f t="shared" si="13"/>
        <v>100</v>
      </c>
      <c r="V41" s="667" t="s">
        <v>18</v>
      </c>
      <c r="W41" s="668">
        <f t="shared" si="14"/>
        <v>100</v>
      </c>
      <c r="X41" s="669"/>
      <c r="Y41" s="3485"/>
      <c r="Z41" s="670" t="str">
        <f t="shared" si="18"/>
        <v>单套/主力户型建筑面积</v>
      </c>
      <c r="AA41" s="1261">
        <f t="shared" si="15"/>
        <v>1</v>
      </c>
      <c r="AB41" s="1261">
        <f t="shared" si="16"/>
        <v>1</v>
      </c>
      <c r="AC41" s="1261">
        <f t="shared" si="17"/>
        <v>1</v>
      </c>
    </row>
    <row r="42" spans="1:29" ht="15.75" thickBot="1">
      <c r="A42" s="409"/>
      <c r="B42" s="364" t="s">
        <v>1706</v>
      </c>
      <c r="C42" s="3185" t="s">
        <v>5811</v>
      </c>
      <c r="D42" s="374">
        <v>100</v>
      </c>
      <c r="E42" s="3185" t="s">
        <v>5811</v>
      </c>
      <c r="F42" s="400">
        <f>SUMIF(122:122,E42,123:123)-SUMIF(122:122,C42,123:123)+100</f>
        <v>100</v>
      </c>
      <c r="G42" s="3185" t="s">
        <v>5811</v>
      </c>
      <c r="H42" s="374">
        <f>SUMIF(122:122,G42,123:123)-SUMIF(122:122,C42,123:123)+100</f>
        <v>100</v>
      </c>
      <c r="I42" s="3185" t="s">
        <v>5811</v>
      </c>
      <c r="J42" s="374">
        <f>SUMIF(122:122,I42,123:123)-SUMIF(122:122,C42,123:123)+100</f>
        <v>100</v>
      </c>
      <c r="K42" s="365">
        <v>3</v>
      </c>
      <c r="L42" s="2488"/>
      <c r="M42" s="2483"/>
      <c r="N42" s="2483"/>
      <c r="O42" s="2483"/>
      <c r="P42" s="3521"/>
      <c r="Q42" s="1260" t="str">
        <f t="shared" si="11"/>
        <v>内部装修</v>
      </c>
      <c r="R42" s="665" t="s">
        <v>18</v>
      </c>
      <c r="S42" s="666">
        <f t="shared" si="12"/>
        <v>100</v>
      </c>
      <c r="T42" s="665" t="s">
        <v>18</v>
      </c>
      <c r="U42" s="666">
        <f t="shared" si="13"/>
        <v>100</v>
      </c>
      <c r="V42" s="665" t="s">
        <v>18</v>
      </c>
      <c r="W42" s="666">
        <f t="shared" si="14"/>
        <v>100</v>
      </c>
      <c r="X42" s="1262"/>
      <c r="Y42" s="3485"/>
      <c r="Z42" s="1261" t="str">
        <f t="shared" si="18"/>
        <v>内部装修</v>
      </c>
      <c r="AA42" s="1261">
        <f t="shared" si="15"/>
        <v>1</v>
      </c>
      <c r="AB42" s="1261">
        <f t="shared" si="16"/>
        <v>1</v>
      </c>
      <c r="AC42" s="1261">
        <f t="shared" si="17"/>
        <v>1</v>
      </c>
    </row>
    <row r="43" spans="1:29" ht="15" hidden="1">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8"/>
      <c r="M43" s="2483"/>
      <c r="N43" s="2483"/>
      <c r="O43" s="2483"/>
      <c r="P43" s="3521"/>
      <c r="Q43" s="1260" t="str">
        <f t="shared" si="11"/>
        <v>内部装修维护情况</v>
      </c>
      <c r="R43" s="665" t="s">
        <v>18</v>
      </c>
      <c r="S43" s="666">
        <f t="shared" si="12"/>
        <v>100</v>
      </c>
      <c r="T43" s="665" t="s">
        <v>18</v>
      </c>
      <c r="U43" s="666">
        <f t="shared" si="13"/>
        <v>100</v>
      </c>
      <c r="V43" s="665" t="s">
        <v>18</v>
      </c>
      <c r="W43" s="666">
        <f t="shared" si="14"/>
        <v>100</v>
      </c>
      <c r="X43" s="1262"/>
      <c r="Y43" s="3485"/>
      <c r="Z43" s="1261" t="str">
        <f t="shared" si="18"/>
        <v>内部装修维护情况</v>
      </c>
      <c r="AA43" s="1261">
        <f t="shared" si="15"/>
        <v>1</v>
      </c>
      <c r="AB43" s="1261">
        <f t="shared" si="16"/>
        <v>1</v>
      </c>
      <c r="AC43" s="1261">
        <f t="shared" si="17"/>
        <v>1</v>
      </c>
    </row>
    <row r="44" spans="1:29" s="102" customFormat="1" ht="15" hidden="1">
      <c r="A44" s="410"/>
      <c r="B44" s="3192"/>
      <c r="C44" s="3193"/>
      <c r="D44" s="119">
        <v>100</v>
      </c>
      <c r="E44" s="3193"/>
      <c r="F44" s="364">
        <f>SUMIF(126:126,E44,127:127)-SUMIF(126:126,C44,127:127)+100</f>
        <v>100</v>
      </c>
      <c r="G44" s="3193"/>
      <c r="H44" s="119">
        <f>SUMIF(126:126,G44,127:127)-SUMIF(126:126,C44,127:127)+100</f>
        <v>100</v>
      </c>
      <c r="I44" s="3193"/>
      <c r="J44" s="119">
        <f>SUMIF(126:126,I44,127:127)-SUMIF(126:126,C44,127:127)+100</f>
        <v>100</v>
      </c>
      <c r="K44" s="1745"/>
      <c r="L44" s="2484"/>
      <c r="M44" s="2435"/>
      <c r="N44" s="2435"/>
      <c r="O44" s="2435"/>
      <c r="P44" s="3521"/>
      <c r="Q44" s="528">
        <f t="shared" si="11"/>
        <v>0</v>
      </c>
      <c r="R44" s="662" t="s">
        <v>18</v>
      </c>
      <c r="S44" s="663">
        <f t="shared" si="12"/>
        <v>100</v>
      </c>
      <c r="T44" s="662" t="s">
        <v>18</v>
      </c>
      <c r="U44" s="663">
        <f t="shared" si="13"/>
        <v>100</v>
      </c>
      <c r="V44" s="662" t="s">
        <v>18</v>
      </c>
      <c r="W44" s="663">
        <f t="shared" si="14"/>
        <v>100</v>
      </c>
      <c r="X44" s="664"/>
      <c r="Y44" s="3485"/>
      <c r="Z44" s="50">
        <f t="shared" si="18"/>
        <v>0</v>
      </c>
      <c r="AA44" s="50">
        <f t="shared" si="15"/>
        <v>1</v>
      </c>
      <c r="AB44" s="50">
        <f t="shared" si="16"/>
        <v>1</v>
      </c>
      <c r="AC44" s="50">
        <f t="shared" si="17"/>
        <v>1</v>
      </c>
    </row>
    <row r="45" spans="1:29" ht="15" hidden="1">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8"/>
      <c r="M45" s="2483"/>
      <c r="N45" s="2483"/>
      <c r="O45" s="2483"/>
      <c r="P45" s="3521"/>
      <c r="Q45" s="1260">
        <f t="shared" si="11"/>
        <v>111</v>
      </c>
      <c r="R45" s="665" t="s">
        <v>18</v>
      </c>
      <c r="S45" s="666">
        <f t="shared" si="12"/>
        <v>100</v>
      </c>
      <c r="T45" s="665" t="s">
        <v>18</v>
      </c>
      <c r="U45" s="666">
        <f t="shared" si="13"/>
        <v>100</v>
      </c>
      <c r="V45" s="665" t="s">
        <v>18</v>
      </c>
      <c r="W45" s="666">
        <f t="shared" si="14"/>
        <v>100</v>
      </c>
      <c r="X45" s="1262"/>
      <c r="Y45" s="3485"/>
      <c r="Z45" s="1261">
        <f t="shared" si="18"/>
        <v>111</v>
      </c>
      <c r="AA45" s="1261">
        <f t="shared" si="15"/>
        <v>1</v>
      </c>
      <c r="AB45" s="1261">
        <f t="shared" si="16"/>
        <v>1</v>
      </c>
      <c r="AC45" s="1261">
        <f t="shared" si="17"/>
        <v>1</v>
      </c>
    </row>
    <row r="46" spans="1:29" ht="15.75" hidden="1" thickBot="1">
      <c r="A46" s="413"/>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8"/>
      <c r="M46" s="2483"/>
      <c r="N46" s="2483"/>
      <c r="O46" s="2483"/>
      <c r="P46" s="3522"/>
      <c r="Q46" s="1260">
        <f t="shared" si="11"/>
        <v>111</v>
      </c>
      <c r="R46" s="665" t="s">
        <v>17</v>
      </c>
      <c r="S46" s="666">
        <f t="shared" si="12"/>
        <v>100</v>
      </c>
      <c r="T46" s="665" t="s">
        <v>17</v>
      </c>
      <c r="U46" s="666">
        <f t="shared" si="13"/>
        <v>100</v>
      </c>
      <c r="V46" s="665" t="s">
        <v>17</v>
      </c>
      <c r="W46" s="666">
        <f t="shared" si="14"/>
        <v>100</v>
      </c>
      <c r="X46" s="1262"/>
      <c r="Y46" s="3523"/>
      <c r="Z46" s="1261">
        <f t="shared" si="18"/>
        <v>111</v>
      </c>
      <c r="AA46" s="1261">
        <f t="shared" si="15"/>
        <v>1</v>
      </c>
      <c r="AB46" s="1261">
        <f t="shared" si="16"/>
        <v>1</v>
      </c>
      <c r="AC46" s="1261">
        <f t="shared" si="17"/>
        <v>1</v>
      </c>
    </row>
    <row r="47" spans="1:29" ht="15">
      <c r="A47" s="414" t="s">
        <v>1708</v>
      </c>
      <c r="B47" s="415"/>
      <c r="C47" s="1078" t="s">
        <v>16</v>
      </c>
      <c r="D47" s="416"/>
      <c r="E47" s="417">
        <v>118003</v>
      </c>
      <c r="F47" s="418"/>
      <c r="G47" s="419">
        <v>105069</v>
      </c>
      <c r="H47" s="420"/>
      <c r="I47" s="417">
        <v>105444</v>
      </c>
      <c r="J47" s="420"/>
      <c r="K47" s="1762"/>
      <c r="L47" s="2490"/>
      <c r="M47" s="2483"/>
      <c r="N47" s="2483"/>
      <c r="O47" s="2483"/>
      <c r="P47" s="3467" t="str">
        <f>A47</f>
        <v>成交单价（元/平方米）</v>
      </c>
      <c r="Q47" s="3467"/>
      <c r="R47" s="3480">
        <f>E47</f>
        <v>118003</v>
      </c>
      <c r="S47" s="3480"/>
      <c r="T47" s="3480">
        <f>G47</f>
        <v>105069</v>
      </c>
      <c r="U47" s="3480"/>
      <c r="V47" s="3480">
        <f>I47</f>
        <v>105444</v>
      </c>
      <c r="W47" s="3480"/>
      <c r="X47" s="385"/>
      <c r="Y47" s="671"/>
      <c r="Z47" s="385"/>
      <c r="AA47" s="385"/>
      <c r="AB47" s="385"/>
      <c r="AC47" s="385"/>
    </row>
    <row r="48" spans="1:29" ht="15.75" thickBot="1">
      <c r="A48" s="421" t="s">
        <v>1709</v>
      </c>
      <c r="B48" s="422"/>
      <c r="C48" s="1079">
        <f>R49</f>
        <v>119971</v>
      </c>
      <c r="D48" s="2136" t="s">
        <v>2137</v>
      </c>
      <c r="E48" s="1080">
        <f>R48</f>
        <v>119195</v>
      </c>
      <c r="F48" s="2137"/>
      <c r="G48" s="1079">
        <f>T48</f>
        <v>120144</v>
      </c>
      <c r="H48" s="2137"/>
      <c r="I48" s="1080">
        <f>V48</f>
        <v>120573</v>
      </c>
      <c r="J48" s="2137"/>
      <c r="K48" s="2138">
        <f>F48+H48+J48</f>
        <v>0</v>
      </c>
      <c r="L48" s="2490"/>
      <c r="M48" s="2483"/>
      <c r="N48" s="2483"/>
      <c r="O48" s="2483"/>
      <c r="P48" s="3467" t="str">
        <f>A48</f>
        <v>比较价值（元/平方米）</v>
      </c>
      <c r="Q48" s="3467"/>
      <c r="R48" s="3480">
        <f>IF(F1="售价",ROUND(PRODUCT(R47,AA7:AA46),0),ROUND(PRODUCT(R47,AA7:AA46),1))</f>
        <v>119195</v>
      </c>
      <c r="S48" s="3480"/>
      <c r="T48" s="3480">
        <f>IF(F1="售价",ROUND(PRODUCT(T47,AB7:AB46),0),ROUND(PRODUCT(T47,AB7:AB46),1))</f>
        <v>120144</v>
      </c>
      <c r="U48" s="3480"/>
      <c r="V48" s="3480">
        <f>IF(F1="售价",ROUND(PRODUCT(V47,AC7:AC46),0),ROUND(PRODUCT(V47,AC7:AC46),1))</f>
        <v>120573</v>
      </c>
      <c r="W48" s="3480"/>
      <c r="X48" s="385"/>
      <c r="Y48" s="385"/>
      <c r="Z48" s="385"/>
      <c r="AA48" s="385"/>
      <c r="AB48" s="385"/>
      <c r="AC48" s="385"/>
    </row>
    <row r="49" spans="1:29" ht="15.75" thickBot="1">
      <c r="A49" s="425" t="s">
        <v>1710</v>
      </c>
      <c r="B49" s="426"/>
      <c r="C49" s="1081">
        <f>R49</f>
        <v>119971</v>
      </c>
      <c r="D49" s="351"/>
      <c r="E49" s="351"/>
      <c r="F49" s="351"/>
      <c r="G49" s="351"/>
      <c r="H49" s="351"/>
      <c r="I49" s="351"/>
      <c r="J49" s="351"/>
      <c r="K49" s="1763"/>
      <c r="L49" s="2490"/>
      <c r="M49" s="2483"/>
      <c r="N49" s="2483"/>
      <c r="O49" s="2483"/>
      <c r="P49" s="3487" t="str">
        <f>A49</f>
        <v>估价对象XX用房的比较价值（楼面单价，元/平方米）</v>
      </c>
      <c r="Q49" s="3488"/>
      <c r="R49" s="3519">
        <f>IF(F1="售价",ROUND(IF(D48="简单平均",AVERAGE(R48:V48),R48*F48+T48*H48+V48*J48),0),ROUND(IF(D48="简单平均",AVERAGE(R48:V48),R48*F48+T48*H48+V48*J48),1))</f>
        <v>119971</v>
      </c>
      <c r="S49" s="3519"/>
      <c r="T49" s="3519"/>
      <c r="U49" s="3519"/>
      <c r="V49" s="3519"/>
      <c r="W49" s="3519"/>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0" t="s">
        <v>1711</v>
      </c>
      <c r="D52" s="431"/>
      <c r="E52" s="432">
        <f>IF(E47&lt;E48,E48/E47-1,E47/E48-1)</f>
        <v>1.0101438099031412E-2</v>
      </c>
      <c r="F52" s="433" t="str">
        <f>IF(OR(E52&gt;=0.3,E52&lt;=-0.3),"超过30%","")</f>
        <v/>
      </c>
      <c r="G52" s="432">
        <f>IF(G47&lt;G48,G48/G47-1,G47/G48-1)</f>
        <v>0.14347714359135422</v>
      </c>
      <c r="H52" s="433" t="str">
        <f>IF(OR(G52&gt;=0.3,G52&lt;=-0.3),"超过30%","")</f>
        <v/>
      </c>
      <c r="I52" s="432">
        <f>IF(I47&lt;I48,I48/I47-1,I47/I48-1)</f>
        <v>0.1434790030727211</v>
      </c>
      <c r="J52" s="433" t="str">
        <f>IF(OR(I52&gt;=0.3,I52&lt;=-0.3),"超过30%","")</f>
        <v/>
      </c>
      <c r="K52" s="2495"/>
      <c r="L52" s="2491"/>
      <c r="M52" s="2483"/>
      <c r="N52" s="2483"/>
      <c r="O52" s="2483"/>
    </row>
    <row r="53" spans="1:29" ht="13.5" customHeight="1">
      <c r="A53" s="2483"/>
      <c r="B53" s="2483"/>
      <c r="C53" s="430" t="s">
        <v>1712</v>
      </c>
      <c r="D53" s="434"/>
      <c r="E53" s="432">
        <f>IF(E48&lt;G48,G48/E48-1,E48/G48-1)</f>
        <v>7.9617433617182876E-3</v>
      </c>
      <c r="F53" s="433" t="str">
        <f>IF(OR(E53&gt;=0.2,E53&lt;=-0.2),"超过20%","")</f>
        <v/>
      </c>
      <c r="G53" s="432">
        <f>IF(G48&lt;I48,I48/G48-1,G48/I48-1)</f>
        <v>3.5707151418298277E-3</v>
      </c>
      <c r="H53" s="433" t="str">
        <f>IF(OR(G53&gt;=0.2,G53&lt;=-0.2),"超过20%","")</f>
        <v/>
      </c>
      <c r="I53" s="432">
        <f>IF(I48&lt;E48,E48/I48-1,I48/E48-1)</f>
        <v>1.156088762112506E-2</v>
      </c>
      <c r="J53" s="433" t="str">
        <f>IF(OR(I53&gt;=0.2,I53&lt;=-0.2),"超过20%","")</f>
        <v/>
      </c>
      <c r="K53" s="2495"/>
      <c r="L53" s="2491"/>
      <c r="M53" s="2483"/>
      <c r="N53" s="2483"/>
      <c r="O53" s="2483"/>
    </row>
    <row r="54" spans="1:29" s="435" customFormat="1" ht="13.5" customHeight="1">
      <c r="A54" s="2493"/>
      <c r="B54" s="2493"/>
      <c r="C54" s="430" t="s">
        <v>1713</v>
      </c>
      <c r="D54" s="434"/>
      <c r="E54" s="432">
        <f>IF(E47&lt;G47,G47/E47-1,E47/G47-1)</f>
        <v>0.12310005805708624</v>
      </c>
      <c r="F54" s="433" t="str">
        <f>IF(OR(E54&gt;=0.3,E54&lt;=-0.3),"超过30%","")</f>
        <v/>
      </c>
      <c r="G54" s="432">
        <f>IF(G47&lt;I47,I47/G47-1,G47/I47-1)</f>
        <v>3.5690831739143558E-3</v>
      </c>
      <c r="H54" s="433" t="str">
        <f>IF(OR(G54&gt;=0.3,G54&lt;=-0.3),"超过30%","")</f>
        <v/>
      </c>
      <c r="I54" s="432">
        <f>IF(I47&lt;E47,E47/I47-1,I47/E47-1)</f>
        <v>0.11910587610485179</v>
      </c>
      <c r="J54" s="433" t="str">
        <f>IF(OR(I54&gt;=0.3,I54&lt;=-0.3),"超过30%","")</f>
        <v/>
      </c>
      <c r="K54" s="2498"/>
      <c r="L54" s="2492"/>
      <c r="M54" s="2493"/>
      <c r="N54" s="2493"/>
      <c r="O54" s="2493"/>
      <c r="P54" s="1765"/>
    </row>
    <row r="55" spans="1:29" s="435" customFormat="1">
      <c r="A55" s="2493"/>
      <c r="B55" s="2496"/>
      <c r="C55" s="2497"/>
      <c r="D55" s="2493"/>
      <c r="E55" s="2493"/>
      <c r="F55" s="2493"/>
      <c r="G55" s="2493"/>
      <c r="H55" s="2493"/>
      <c r="I55" s="2493"/>
      <c r="J55" s="2493"/>
      <c r="K55" s="2498"/>
      <c r="L55" s="2492"/>
      <c r="M55" s="2493"/>
      <c r="N55" s="2493"/>
      <c r="O55" s="2493"/>
      <c r="P55" s="1765"/>
    </row>
    <row r="56" spans="1:29">
      <c r="A56" s="2483"/>
      <c r="B56" s="2496"/>
      <c r="C56" s="2497"/>
      <c r="D56" s="2483"/>
      <c r="E56" s="2483"/>
      <c r="F56" s="2483"/>
      <c r="G56" s="2483"/>
      <c r="H56" s="2483"/>
      <c r="I56" s="2483"/>
      <c r="J56" s="2483"/>
      <c r="K56" s="2495"/>
      <c r="L56" s="2491"/>
      <c r="M56" s="2483"/>
      <c r="N56" s="2483"/>
      <c r="O56" s="2483"/>
    </row>
    <row r="57" spans="1:29" ht="21.75" thickBot="1">
      <c r="A57" s="656" t="s">
        <v>1714</v>
      </c>
      <c r="B57" s="385"/>
      <c r="C57" s="657"/>
      <c r="D57" s="657"/>
      <c r="E57" s="657"/>
      <c r="F57" s="658"/>
      <c r="G57" s="658"/>
      <c r="H57" s="657"/>
      <c r="I57" s="657"/>
      <c r="J57" s="657"/>
      <c r="K57" s="884"/>
      <c r="L57" s="885"/>
      <c r="M57" s="883"/>
      <c r="N57" s="883"/>
      <c r="O57" s="883"/>
      <c r="P57" s="1766"/>
      <c r="Q57" s="437"/>
    </row>
    <row r="58" spans="1:29" s="440" customFormat="1" ht="15">
      <c r="A58" s="438" t="s">
        <v>1715</v>
      </c>
      <c r="B58" s="439"/>
      <c r="C58" s="1102" t="str">
        <f>YEAR(C7)&amp;"-"&amp;MONTH(C7)</f>
        <v>2025-5</v>
      </c>
      <c r="D58" s="1101">
        <f>EDATE(C58,-1)</f>
        <v>45748</v>
      </c>
      <c r="E58" s="1101">
        <f>EDATE(D58,-1)</f>
        <v>45717</v>
      </c>
      <c r="F58" s="1101">
        <f t="shared" ref="F58:O58" si="19">EDATE(E58,-1)</f>
        <v>45689</v>
      </c>
      <c r="G58" s="1101">
        <f t="shared" si="19"/>
        <v>45658</v>
      </c>
      <c r="H58" s="1101">
        <f t="shared" si="19"/>
        <v>45627</v>
      </c>
      <c r="I58" s="1101">
        <f t="shared" si="19"/>
        <v>45597</v>
      </c>
      <c r="J58" s="1101">
        <f t="shared" si="19"/>
        <v>45566</v>
      </c>
      <c r="K58" s="1101">
        <f t="shared" si="19"/>
        <v>45536</v>
      </c>
      <c r="L58" s="1101">
        <f t="shared" si="19"/>
        <v>45505</v>
      </c>
      <c r="M58" s="1101">
        <f t="shared" si="19"/>
        <v>45474</v>
      </c>
      <c r="N58" s="1101">
        <f t="shared" si="19"/>
        <v>45444</v>
      </c>
      <c r="O58" s="1101">
        <f t="shared" si="19"/>
        <v>45413</v>
      </c>
      <c r="P58" s="1097"/>
    </row>
    <row r="59" spans="1:29" s="102" customFormat="1" ht="15">
      <c r="A59" s="441"/>
      <c r="B59" s="1767"/>
      <c r="C59" s="1099">
        <v>100</v>
      </c>
      <c r="D59" s="443"/>
      <c r="E59" s="444"/>
      <c r="F59" s="444"/>
      <c r="G59" s="444"/>
      <c r="H59" s="444"/>
      <c r="I59" s="444"/>
      <c r="J59" s="444"/>
      <c r="K59" s="444"/>
      <c r="L59" s="444"/>
      <c r="M59" s="445"/>
      <c r="N59" s="444"/>
      <c r="O59" s="445"/>
      <c r="P59" s="1768"/>
    </row>
    <row r="60" spans="1:29" s="102" customFormat="1" ht="15.75" thickBot="1">
      <c r="A60" s="447" t="s">
        <v>1716</v>
      </c>
      <c r="B60" s="448"/>
      <c r="C60" s="449"/>
      <c r="D60" s="450"/>
      <c r="E60" s="450"/>
      <c r="F60" s="450"/>
      <c r="G60" s="450"/>
      <c r="H60" s="450"/>
      <c r="I60" s="450"/>
      <c r="J60" s="450"/>
      <c r="K60" s="450"/>
      <c r="L60" s="450"/>
      <c r="M60" s="451"/>
      <c r="N60" s="450"/>
      <c r="O60" s="451"/>
      <c r="P60" s="1768"/>
      <c r="Q60" s="437"/>
    </row>
    <row r="61" spans="1:29" s="102" customFormat="1" ht="15">
      <c r="A61" s="453" t="s">
        <v>1717</v>
      </c>
      <c r="B61" s="442"/>
      <c r="C61" s="454" t="s">
        <v>1718</v>
      </c>
      <c r="D61" s="31"/>
      <c r="E61" s="31"/>
      <c r="F61" s="31"/>
      <c r="G61" s="31"/>
      <c r="H61" s="31"/>
      <c r="I61" s="31"/>
      <c r="J61" s="31"/>
      <c r="K61" s="31"/>
      <c r="L61" s="455"/>
      <c r="M61" s="456"/>
      <c r="N61" s="875"/>
      <c r="O61" s="875"/>
      <c r="P61" s="1769"/>
      <c r="Q61" s="437"/>
    </row>
    <row r="62" spans="1:29" s="102" customFormat="1" ht="15.75" thickBot="1">
      <c r="A62" s="453"/>
      <c r="B62" s="442"/>
      <c r="C62" s="443">
        <v>100</v>
      </c>
      <c r="D62" s="444"/>
      <c r="E62" s="444"/>
      <c r="F62" s="444"/>
      <c r="G62" s="444"/>
      <c r="H62" s="444"/>
      <c r="I62" s="444"/>
      <c r="J62" s="444"/>
      <c r="K62" s="444"/>
      <c r="L62" s="444"/>
      <c r="M62" s="446"/>
      <c r="N62" s="875"/>
      <c r="O62" s="875"/>
      <c r="P62" s="1768"/>
      <c r="Q62" s="437"/>
    </row>
    <row r="63" spans="1:29">
      <c r="A63" s="379" t="s">
        <v>1719</v>
      </c>
      <c r="B63" s="458" t="s">
        <v>1685</v>
      </c>
      <c r="C63" s="459" t="str">
        <f>C9</f>
        <v>住宅</v>
      </c>
      <c r="D63" s="460"/>
      <c r="E63" s="460"/>
      <c r="F63" s="460"/>
      <c r="G63" s="460"/>
      <c r="H63" s="460"/>
      <c r="I63" s="460"/>
      <c r="J63" s="460"/>
      <c r="K63" s="461"/>
      <c r="L63" s="462"/>
      <c r="M63" s="463"/>
      <c r="N63" s="876"/>
      <c r="O63" s="876"/>
      <c r="P63" s="1770"/>
      <c r="Q63" s="437"/>
    </row>
    <row r="64" spans="1:29" ht="15.75" thickBot="1">
      <c r="A64" s="367"/>
      <c r="B64" s="464"/>
      <c r="C64" s="465">
        <v>100</v>
      </c>
      <c r="D64" s="465"/>
      <c r="E64" s="465"/>
      <c r="F64" s="465"/>
      <c r="G64" s="465"/>
      <c r="H64" s="465"/>
      <c r="I64" s="465"/>
      <c r="J64" s="465"/>
      <c r="K64" s="465"/>
      <c r="L64" s="465"/>
      <c r="M64" s="466"/>
      <c r="N64" s="877"/>
      <c r="O64" s="877"/>
      <c r="P64" s="1770"/>
      <c r="Q64" s="437"/>
    </row>
    <row r="65" spans="1:17" ht="27.75" thickTop="1">
      <c r="A65" s="367"/>
      <c r="B65" s="467" t="s">
        <v>1688</v>
      </c>
      <c r="C65" s="511"/>
      <c r="D65" s="511"/>
      <c r="E65" s="511"/>
      <c r="F65" s="511"/>
      <c r="G65" s="511"/>
      <c r="H65" s="511"/>
      <c r="I65" s="511"/>
      <c r="J65" s="511"/>
      <c r="K65" s="511"/>
      <c r="L65" s="511"/>
      <c r="M65" s="511"/>
      <c r="N65" s="877"/>
      <c r="O65" s="877"/>
      <c r="P65" s="1770"/>
      <c r="Q65" s="437"/>
    </row>
    <row r="66" spans="1:17" ht="15.75" thickBot="1">
      <c r="A66" s="367"/>
      <c r="B66" s="472"/>
      <c r="C66" s="465"/>
      <c r="D66" s="465"/>
      <c r="E66" s="465"/>
      <c r="F66" s="465"/>
      <c r="G66" s="465"/>
      <c r="H66" s="465"/>
      <c r="I66" s="465"/>
      <c r="J66" s="465"/>
      <c r="K66" s="465"/>
      <c r="L66" s="465"/>
      <c r="M66" s="466"/>
      <c r="N66" s="877"/>
      <c r="O66" s="877"/>
      <c r="P66" s="1770"/>
      <c r="Q66" s="437"/>
    </row>
    <row r="67" spans="1:17" ht="15.75" thickTop="1">
      <c r="A67" s="367"/>
      <c r="B67" s="475" t="s">
        <v>1689</v>
      </c>
      <c r="C67" s="476" t="str">
        <f>C68&amp;"（含）"&amp;"-"&amp;D68</f>
        <v>0（含）-1</v>
      </c>
      <c r="D67" s="476" t="str">
        <f t="shared" ref="D67:L67" si="20">D68&amp;"（含）"&amp;"-"&amp;E68</f>
        <v>1（含）-1.5</v>
      </c>
      <c r="E67" s="476" t="str">
        <f t="shared" si="20"/>
        <v>1.5（含）-2</v>
      </c>
      <c r="F67" s="476" t="str">
        <f t="shared" si="20"/>
        <v>2（含）-2.5</v>
      </c>
      <c r="G67" s="476" t="str">
        <f t="shared" si="20"/>
        <v>2.5（含）-3</v>
      </c>
      <c r="H67" s="476" t="str">
        <f t="shared" si="20"/>
        <v>3（含）-</v>
      </c>
      <c r="I67" s="476" t="str">
        <f t="shared" si="20"/>
        <v>（含）-</v>
      </c>
      <c r="J67" s="476" t="str">
        <f t="shared" si="20"/>
        <v>（含）-</v>
      </c>
      <c r="K67" s="476" t="str">
        <f>K68&amp;"（含）"&amp;"-"&amp;L68</f>
        <v>（含）-</v>
      </c>
      <c r="L67" s="476" t="str">
        <f t="shared" si="20"/>
        <v>（含）-</v>
      </c>
      <c r="M67" s="387" t="str">
        <f>M68&amp;"（含）"&amp;"-"&amp;P68</f>
        <v>（含）-</v>
      </c>
      <c r="N67" s="877"/>
      <c r="O67" s="877"/>
      <c r="P67" s="1770"/>
      <c r="Q67" s="437"/>
    </row>
    <row r="68" spans="1:17" ht="15">
      <c r="A68" s="367"/>
      <c r="B68" s="477"/>
      <c r="C68" s="478">
        <v>0</v>
      </c>
      <c r="D68" s="478">
        <v>1</v>
      </c>
      <c r="E68" s="478">
        <v>1.5</v>
      </c>
      <c r="F68" s="478">
        <v>2</v>
      </c>
      <c r="G68" s="478">
        <v>2.5</v>
      </c>
      <c r="H68" s="478">
        <v>3</v>
      </c>
      <c r="I68" s="478"/>
      <c r="J68" s="478"/>
      <c r="K68" s="479"/>
      <c r="L68" s="480"/>
      <c r="M68" s="481"/>
      <c r="N68" s="876"/>
      <c r="O68" s="876"/>
      <c r="P68" s="1770"/>
      <c r="Q68" s="437"/>
    </row>
    <row r="69" spans="1:17" ht="15.75" thickBot="1">
      <c r="A69" s="367"/>
      <c r="B69" s="464"/>
      <c r="C69" s="473">
        <v>100</v>
      </c>
      <c r="D69" s="473">
        <f t="shared" ref="D69:M69" si="21">C69-$K11</f>
        <v>97.5</v>
      </c>
      <c r="E69" s="473">
        <f t="shared" si="21"/>
        <v>95</v>
      </c>
      <c r="F69" s="473">
        <f t="shared" si="21"/>
        <v>92.5</v>
      </c>
      <c r="G69" s="473">
        <f t="shared" si="21"/>
        <v>90</v>
      </c>
      <c r="H69" s="473">
        <f t="shared" si="21"/>
        <v>87.5</v>
      </c>
      <c r="I69" s="473">
        <f t="shared" si="21"/>
        <v>85</v>
      </c>
      <c r="J69" s="473">
        <f t="shared" si="21"/>
        <v>82.5</v>
      </c>
      <c r="K69" s="473">
        <f t="shared" si="21"/>
        <v>80</v>
      </c>
      <c r="L69" s="473">
        <f t="shared" si="21"/>
        <v>77.5</v>
      </c>
      <c r="M69" s="474">
        <f t="shared" si="21"/>
        <v>75</v>
      </c>
      <c r="N69" s="877"/>
      <c r="O69" s="877"/>
      <c r="P69" s="1770"/>
      <c r="Q69" s="437"/>
    </row>
    <row r="70" spans="1:17" s="408" customFormat="1" ht="15.75" thickTop="1">
      <c r="A70" s="482"/>
      <c r="B70" s="467">
        <f>B12</f>
        <v>111</v>
      </c>
      <c r="C70" s="483"/>
      <c r="D70" s="483"/>
      <c r="E70" s="483"/>
      <c r="F70" s="483"/>
      <c r="G70" s="483"/>
      <c r="H70" s="484"/>
      <c r="I70" s="484"/>
      <c r="J70" s="484"/>
      <c r="K70" s="484"/>
      <c r="L70" s="485"/>
      <c r="M70" s="486"/>
      <c r="N70" s="878"/>
      <c r="O70" s="878"/>
      <c r="P70" s="1771"/>
      <c r="Q70" s="488"/>
    </row>
    <row r="71" spans="1:17" s="408" customFormat="1" ht="15.75" thickBot="1">
      <c r="A71" s="482"/>
      <c r="B71" s="472"/>
      <c r="C71" s="489"/>
      <c r="D71" s="465"/>
      <c r="E71" s="465"/>
      <c r="F71" s="465"/>
      <c r="G71" s="465"/>
      <c r="H71" s="465"/>
      <c r="I71" s="465"/>
      <c r="J71" s="465"/>
      <c r="K71" s="465"/>
      <c r="L71" s="465"/>
      <c r="M71" s="466"/>
      <c r="N71" s="877"/>
      <c r="O71" s="877"/>
      <c r="P71" s="1771"/>
      <c r="Q71" s="488"/>
    </row>
    <row r="72" spans="1:17" s="408" customFormat="1" ht="15.75" thickTop="1">
      <c r="A72" s="482"/>
      <c r="B72" s="467">
        <f>B13</f>
        <v>111</v>
      </c>
      <c r="C72" s="483"/>
      <c r="D72" s="483"/>
      <c r="E72" s="483"/>
      <c r="F72" s="483"/>
      <c r="G72" s="483"/>
      <c r="H72" s="484"/>
      <c r="I72" s="484"/>
      <c r="J72" s="484"/>
      <c r="K72" s="484"/>
      <c r="L72" s="485"/>
      <c r="M72" s="486"/>
      <c r="N72" s="878"/>
      <c r="O72" s="878"/>
      <c r="P72" s="1772"/>
      <c r="Q72" s="490"/>
    </row>
    <row r="73" spans="1:17" s="408" customFormat="1" ht="15.75" thickBot="1">
      <c r="A73" s="482"/>
      <c r="B73" s="472"/>
      <c r="C73" s="489"/>
      <c r="D73" s="489"/>
      <c r="E73" s="489"/>
      <c r="F73" s="489"/>
      <c r="G73" s="489"/>
      <c r="H73" s="491"/>
      <c r="I73" s="491"/>
      <c r="J73" s="491"/>
      <c r="K73" s="491"/>
      <c r="L73" s="491"/>
      <c r="M73" s="492"/>
      <c r="N73" s="878"/>
      <c r="O73" s="878"/>
      <c r="P73" s="1771"/>
      <c r="Q73" s="488"/>
    </row>
    <row r="74" spans="1:17" s="408" customFormat="1" ht="15.75" thickTop="1">
      <c r="A74" s="482"/>
      <c r="B74" s="475">
        <f>B14</f>
        <v>111</v>
      </c>
      <c r="C74" s="483"/>
      <c r="D74" s="483"/>
      <c r="E74" s="483"/>
      <c r="F74" s="483"/>
      <c r="G74" s="31"/>
      <c r="H74" s="493"/>
      <c r="I74" s="493"/>
      <c r="J74" s="493"/>
      <c r="K74" s="493"/>
      <c r="L74" s="494"/>
      <c r="M74" s="495"/>
      <c r="N74" s="878"/>
      <c r="O74" s="878"/>
      <c r="P74" s="1773"/>
      <c r="Q74" s="488"/>
    </row>
    <row r="75" spans="1:17" s="408" customFormat="1" ht="15.75" thickBot="1">
      <c r="A75" s="497"/>
      <c r="B75" s="498"/>
      <c r="C75" s="499"/>
      <c r="D75" s="499"/>
      <c r="E75" s="499"/>
      <c r="F75" s="499"/>
      <c r="G75" s="499"/>
      <c r="H75" s="500"/>
      <c r="I75" s="500"/>
      <c r="J75" s="500"/>
      <c r="K75" s="500"/>
      <c r="L75" s="500"/>
      <c r="M75" s="501"/>
      <c r="N75" s="878"/>
      <c r="O75" s="878"/>
      <c r="P75" s="1771"/>
      <c r="Q75" s="488"/>
    </row>
    <row r="76" spans="1:17">
      <c r="A76" s="379" t="s">
        <v>1690</v>
      </c>
      <c r="B76" s="458" t="s">
        <v>1720</v>
      </c>
      <c r="C76" s="502" t="s">
        <v>1721</v>
      </c>
      <c r="D76" s="502" t="s">
        <v>1722</v>
      </c>
      <c r="E76" s="502" t="s">
        <v>1723</v>
      </c>
      <c r="F76" s="502" t="s">
        <v>1724</v>
      </c>
      <c r="G76" s="502" t="s">
        <v>1725</v>
      </c>
      <c r="H76" s="459"/>
      <c r="I76" s="459"/>
      <c r="J76" s="459"/>
      <c r="K76" s="503"/>
      <c r="L76" s="504"/>
      <c r="M76" s="505"/>
      <c r="N76" s="876"/>
      <c r="O76" s="876"/>
      <c r="P76" s="1774"/>
      <c r="Q76" s="437"/>
    </row>
    <row r="77" spans="1:17" ht="15.75" thickBot="1">
      <c r="A77" s="367"/>
      <c r="B77" s="472"/>
      <c r="C77" s="473">
        <v>100</v>
      </c>
      <c r="D77" s="473">
        <f>C77-$K15</f>
        <v>97</v>
      </c>
      <c r="E77" s="473">
        <f>D77-$K15</f>
        <v>94</v>
      </c>
      <c r="F77" s="473">
        <f>E77-$K15</f>
        <v>91</v>
      </c>
      <c r="G77" s="473">
        <f>F77-$K15</f>
        <v>88</v>
      </c>
      <c r="H77" s="473"/>
      <c r="I77" s="473"/>
      <c r="J77" s="473"/>
      <c r="K77" s="473"/>
      <c r="L77" s="473"/>
      <c r="M77" s="474"/>
      <c r="N77" s="877"/>
      <c r="O77" s="877"/>
      <c r="P77" s="1770"/>
      <c r="Q77" s="437"/>
    </row>
    <row r="78" spans="1:17" ht="15.75" thickTop="1">
      <c r="A78" s="367"/>
      <c r="B78" s="467" t="s">
        <v>1726</v>
      </c>
      <c r="C78" s="507" t="s">
        <v>1721</v>
      </c>
      <c r="D78" s="507" t="s">
        <v>1722</v>
      </c>
      <c r="E78" s="507" t="s">
        <v>1723</v>
      </c>
      <c r="F78" s="507" t="s">
        <v>1724</v>
      </c>
      <c r="G78" s="507" t="s">
        <v>1725</v>
      </c>
      <c r="H78" s="468"/>
      <c r="I78" s="468"/>
      <c r="J78" s="468"/>
      <c r="K78" s="469"/>
      <c r="L78" s="470"/>
      <c r="M78" s="471"/>
      <c r="N78" s="876"/>
      <c r="O78" s="876"/>
      <c r="P78" s="1770"/>
      <c r="Q78" s="437"/>
    </row>
    <row r="79" spans="1:17" ht="15.75" thickBot="1">
      <c r="A79" s="367"/>
      <c r="B79" s="472"/>
      <c r="C79" s="473">
        <v>100</v>
      </c>
      <c r="D79" s="473">
        <f>C79-$K17</f>
        <v>97</v>
      </c>
      <c r="E79" s="473">
        <f>D79-$K17</f>
        <v>94</v>
      </c>
      <c r="F79" s="473">
        <f>E79-$K17</f>
        <v>91</v>
      </c>
      <c r="G79" s="473">
        <f>F79-$K17</f>
        <v>88</v>
      </c>
      <c r="H79" s="473"/>
      <c r="I79" s="473"/>
      <c r="J79" s="473"/>
      <c r="K79" s="473"/>
      <c r="L79" s="473"/>
      <c r="M79" s="474"/>
      <c r="N79" s="877"/>
      <c r="O79" s="877"/>
      <c r="P79" s="1770"/>
      <c r="Q79" s="437"/>
    </row>
    <row r="80" spans="1:17" ht="15.75" thickTop="1">
      <c r="A80" s="367"/>
      <c r="B80" s="467" t="s">
        <v>1727</v>
      </c>
      <c r="C80" s="507" t="s">
        <v>1721</v>
      </c>
      <c r="D80" s="507" t="s">
        <v>1722</v>
      </c>
      <c r="E80" s="507" t="s">
        <v>1723</v>
      </c>
      <c r="F80" s="507" t="s">
        <v>1724</v>
      </c>
      <c r="G80" s="507" t="s">
        <v>1725</v>
      </c>
      <c r="H80" s="468"/>
      <c r="I80" s="468"/>
      <c r="J80" s="468"/>
      <c r="K80" s="469"/>
      <c r="L80" s="470"/>
      <c r="M80" s="471"/>
      <c r="N80" s="876"/>
      <c r="O80" s="876"/>
      <c r="P80" s="1770"/>
      <c r="Q80" s="437"/>
    </row>
    <row r="81" spans="1:17" ht="15.75" thickBot="1">
      <c r="A81" s="367"/>
      <c r="B81" s="472"/>
      <c r="C81" s="473">
        <v>100</v>
      </c>
      <c r="D81" s="473">
        <f>C81-$K19</f>
        <v>97</v>
      </c>
      <c r="E81" s="473">
        <f>D81-$K19</f>
        <v>94</v>
      </c>
      <c r="F81" s="473">
        <f>E81-$K19</f>
        <v>91</v>
      </c>
      <c r="G81" s="473">
        <f>F81-$K19</f>
        <v>88</v>
      </c>
      <c r="H81" s="473"/>
      <c r="I81" s="473"/>
      <c r="J81" s="473"/>
      <c r="K81" s="473"/>
      <c r="L81" s="473"/>
      <c r="M81" s="474"/>
      <c r="N81" s="877"/>
      <c r="O81" s="877"/>
      <c r="P81" s="1770"/>
      <c r="Q81" s="437"/>
    </row>
    <row r="82" spans="1:17" ht="15.75" thickTop="1">
      <c r="A82" s="367"/>
      <c r="B82" s="475" t="s">
        <v>1260</v>
      </c>
      <c r="C82" s="468" t="s">
        <v>1728</v>
      </c>
      <c r="D82" s="468" t="s">
        <v>1729</v>
      </c>
      <c r="E82" s="468" t="s">
        <v>1730</v>
      </c>
      <c r="F82" s="468" t="s">
        <v>1731</v>
      </c>
      <c r="G82" s="468" t="s">
        <v>1732</v>
      </c>
      <c r="H82" s="468"/>
      <c r="I82" s="468"/>
      <c r="J82" s="468"/>
      <c r="K82" s="468"/>
      <c r="L82" s="468"/>
      <c r="M82" s="1060"/>
      <c r="N82" s="877"/>
      <c r="O82" s="877"/>
      <c r="P82" s="1770"/>
      <c r="Q82" s="437"/>
    </row>
    <row r="83" spans="1:17" ht="15.75" thickBot="1">
      <c r="A83" s="367"/>
      <c r="B83" s="475"/>
      <c r="C83" s="579">
        <v>100</v>
      </c>
      <c r="D83" s="579">
        <f>C83-$K21</f>
        <v>98</v>
      </c>
      <c r="E83" s="579">
        <f t="shared" ref="E83:G83" si="22">D83-$K21</f>
        <v>96</v>
      </c>
      <c r="F83" s="579">
        <f t="shared" si="22"/>
        <v>94</v>
      </c>
      <c r="G83" s="579">
        <f t="shared" si="22"/>
        <v>92</v>
      </c>
      <c r="H83" s="579"/>
      <c r="I83" s="579"/>
      <c r="J83" s="579"/>
      <c r="K83" s="579"/>
      <c r="L83" s="579"/>
      <c r="M83" s="389"/>
      <c r="N83" s="877"/>
      <c r="O83" s="877"/>
      <c r="P83" s="1770"/>
      <c r="Q83" s="437"/>
    </row>
    <row r="84" spans="1:17" ht="15.75" thickTop="1">
      <c r="A84" s="367"/>
      <c r="B84" s="467" t="s">
        <v>1733</v>
      </c>
      <c r="C84" s="507" t="s">
        <v>1721</v>
      </c>
      <c r="D84" s="507" t="s">
        <v>1722</v>
      </c>
      <c r="E84" s="507" t="s">
        <v>1723</v>
      </c>
      <c r="F84" s="507" t="s">
        <v>1724</v>
      </c>
      <c r="G84" s="507" t="s">
        <v>1725</v>
      </c>
      <c r="H84" s="468"/>
      <c r="I84" s="468"/>
      <c r="J84" s="468"/>
      <c r="K84" s="469"/>
      <c r="L84" s="470"/>
      <c r="M84" s="471"/>
      <c r="N84" s="876"/>
      <c r="O84" s="876"/>
      <c r="P84" s="1770"/>
      <c r="Q84" s="437"/>
    </row>
    <row r="85" spans="1:17" ht="15.75" thickBot="1">
      <c r="A85" s="367"/>
      <c r="B85" s="472"/>
      <c r="C85" s="473">
        <v>100</v>
      </c>
      <c r="D85" s="473">
        <f>C85-$K23</f>
        <v>97</v>
      </c>
      <c r="E85" s="473">
        <f>D85-$K23</f>
        <v>94</v>
      </c>
      <c r="F85" s="473">
        <f>E85-$K23</f>
        <v>91</v>
      </c>
      <c r="G85" s="473">
        <f>F85-$K23</f>
        <v>88</v>
      </c>
      <c r="H85" s="473"/>
      <c r="I85" s="473"/>
      <c r="J85" s="473"/>
      <c r="K85" s="473"/>
      <c r="L85" s="473"/>
      <c r="M85" s="474"/>
      <c r="N85" s="877"/>
      <c r="O85" s="877"/>
      <c r="P85" s="1770"/>
      <c r="Q85" s="437"/>
    </row>
    <row r="86" spans="1:17" s="102" customFormat="1" ht="15.75" thickTop="1">
      <c r="A86" s="370"/>
      <c r="B86" s="467" t="s">
        <v>1734</v>
      </c>
      <c r="C86" s="483"/>
      <c r="D86" s="483"/>
      <c r="E86" s="483"/>
      <c r="F86" s="483"/>
      <c r="G86" s="483"/>
      <c r="H86" s="483"/>
      <c r="I86" s="483"/>
      <c r="J86" s="483"/>
      <c r="K86" s="483"/>
      <c r="L86" s="508"/>
      <c r="M86" s="509"/>
      <c r="N86" s="875"/>
      <c r="O86" s="875"/>
      <c r="P86" s="1770"/>
      <c r="Q86" s="437"/>
    </row>
    <row r="87" spans="1:17" s="102" customFormat="1" ht="15.75" thickBot="1">
      <c r="A87" s="370"/>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0"/>
      <c r="Q87" s="437"/>
    </row>
    <row r="88" spans="1:17" s="102" customFormat="1" ht="15.75" thickTop="1">
      <c r="A88" s="370"/>
      <c r="B88" s="467" t="s">
        <v>1735</v>
      </c>
      <c r="C88" s="483"/>
      <c r="D88" s="483"/>
      <c r="E88" s="483"/>
      <c r="F88" s="1775"/>
      <c r="G88" s="483"/>
      <c r="H88" s="483"/>
      <c r="I88" s="483"/>
      <c r="J88" s="483"/>
      <c r="K88" s="483"/>
      <c r="L88" s="483"/>
      <c r="M88" s="509"/>
      <c r="N88" s="875"/>
      <c r="O88" s="875"/>
      <c r="P88" s="1770"/>
      <c r="Q88" s="437"/>
    </row>
    <row r="89" spans="1:17" s="102" customFormat="1" ht="15.75" thickBot="1">
      <c r="A89" s="370"/>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0"/>
      <c r="Q89" s="437"/>
    </row>
    <row r="90" spans="1:17" s="408" customFormat="1" ht="15.75" thickTop="1">
      <c r="A90" s="482"/>
      <c r="B90" s="467">
        <f>B27</f>
        <v>111</v>
      </c>
      <c r="C90" s="483"/>
      <c r="D90" s="483"/>
      <c r="E90" s="483"/>
      <c r="F90" s="483"/>
      <c r="G90" s="483"/>
      <c r="H90" s="484"/>
      <c r="I90" s="484"/>
      <c r="J90" s="484"/>
      <c r="K90" s="484"/>
      <c r="L90" s="485"/>
      <c r="M90" s="486"/>
      <c r="N90" s="878"/>
      <c r="O90" s="878"/>
      <c r="P90" s="1771"/>
      <c r="Q90" s="488"/>
    </row>
    <row r="91" spans="1:17" s="408" customFormat="1" ht="15.75" thickBot="1">
      <c r="A91" s="482"/>
      <c r="B91" s="472"/>
      <c r="C91" s="489"/>
      <c r="D91" s="489"/>
      <c r="E91" s="489"/>
      <c r="F91" s="489"/>
      <c r="G91" s="489"/>
      <c r="H91" s="491"/>
      <c r="I91" s="491"/>
      <c r="J91" s="491"/>
      <c r="K91" s="491"/>
      <c r="L91" s="491"/>
      <c r="M91" s="492"/>
      <c r="N91" s="878"/>
      <c r="O91" s="878"/>
      <c r="P91" s="1771"/>
      <c r="Q91" s="488"/>
    </row>
    <row r="92" spans="1:17" ht="15.75" thickTop="1">
      <c r="A92" s="367"/>
      <c r="B92" s="467">
        <f>B28</f>
        <v>111</v>
      </c>
      <c r="C92" s="483"/>
      <c r="D92" s="483"/>
      <c r="E92" s="483"/>
      <c r="F92" s="483"/>
      <c r="G92" s="511"/>
      <c r="H92" s="511"/>
      <c r="I92" s="511"/>
      <c r="J92" s="511"/>
      <c r="K92" s="512"/>
      <c r="L92" s="513"/>
      <c r="M92" s="514"/>
      <c r="N92" s="876"/>
      <c r="O92" s="876"/>
      <c r="P92" s="1770"/>
      <c r="Q92" s="437"/>
    </row>
    <row r="93" spans="1:17" ht="15.75" thickBot="1">
      <c r="A93" s="367"/>
      <c r="B93" s="472"/>
      <c r="C93" s="489"/>
      <c r="D93" s="465"/>
      <c r="E93" s="465"/>
      <c r="F93" s="465"/>
      <c r="G93" s="465"/>
      <c r="H93" s="465"/>
      <c r="I93" s="465"/>
      <c r="J93" s="465"/>
      <c r="K93" s="465"/>
      <c r="L93" s="465"/>
      <c r="M93" s="466"/>
      <c r="N93" s="877"/>
      <c r="O93" s="877"/>
      <c r="P93" s="1770"/>
      <c r="Q93" s="437"/>
    </row>
    <row r="94" spans="1:17" ht="15.75" thickTop="1">
      <c r="A94" s="367"/>
      <c r="B94" s="467">
        <f>B29</f>
        <v>111</v>
      </c>
      <c r="C94" s="483"/>
      <c r="D94" s="483"/>
      <c r="E94" s="483"/>
      <c r="F94" s="483"/>
      <c r="G94" s="511"/>
      <c r="H94" s="511"/>
      <c r="I94" s="511"/>
      <c r="J94" s="511"/>
      <c r="K94" s="512"/>
      <c r="L94" s="513"/>
      <c r="M94" s="514"/>
      <c r="N94" s="876"/>
      <c r="O94" s="876"/>
      <c r="P94" s="1770"/>
      <c r="Q94" s="437"/>
    </row>
    <row r="95" spans="1:17" ht="15.75" thickBot="1">
      <c r="A95" s="367"/>
      <c r="B95" s="472"/>
      <c r="C95" s="489"/>
      <c r="D95" s="489"/>
      <c r="E95" s="489"/>
      <c r="F95" s="489"/>
      <c r="G95" s="465"/>
      <c r="H95" s="465"/>
      <c r="I95" s="465"/>
      <c r="J95" s="465"/>
      <c r="K95" s="465"/>
      <c r="L95" s="465"/>
      <c r="M95" s="466"/>
      <c r="N95" s="877"/>
      <c r="O95" s="877"/>
      <c r="P95" s="1770"/>
      <c r="Q95" s="437"/>
    </row>
    <row r="96" spans="1:17" ht="15.75" thickTop="1">
      <c r="A96" s="367"/>
      <c r="B96" s="467">
        <f>B30</f>
        <v>111</v>
      </c>
      <c r="C96" s="483"/>
      <c r="D96" s="483"/>
      <c r="E96" s="483"/>
      <c r="F96" s="483"/>
      <c r="G96" s="511"/>
      <c r="H96" s="511"/>
      <c r="I96" s="511"/>
      <c r="J96" s="511"/>
      <c r="K96" s="512"/>
      <c r="L96" s="513"/>
      <c r="M96" s="514"/>
      <c r="N96" s="876"/>
      <c r="O96" s="876"/>
      <c r="P96" s="1770"/>
      <c r="Q96" s="437"/>
    </row>
    <row r="97" spans="1:17" ht="15.75" thickBot="1">
      <c r="A97" s="367"/>
      <c r="B97" s="472"/>
      <c r="C97" s="499"/>
      <c r="D97" s="499"/>
      <c r="E97" s="499"/>
      <c r="F97" s="499"/>
      <c r="G97" s="465"/>
      <c r="H97" s="465"/>
      <c r="I97" s="465"/>
      <c r="J97" s="465"/>
      <c r="K97" s="465"/>
      <c r="L97" s="465"/>
      <c r="M97" s="466"/>
      <c r="N97" s="877"/>
      <c r="O97" s="877"/>
      <c r="P97" s="1770"/>
      <c r="Q97" s="437"/>
    </row>
    <row r="98" spans="1:17" ht="15.75" thickTop="1">
      <c r="A98" s="367"/>
      <c r="B98" s="475">
        <f>B31</f>
        <v>111</v>
      </c>
      <c r="C98" s="515"/>
      <c r="D98" s="515"/>
      <c r="E98" s="515"/>
      <c r="F98" s="515"/>
      <c r="G98" s="515"/>
      <c r="H98" s="515"/>
      <c r="I98" s="515"/>
      <c r="J98" s="515"/>
      <c r="K98" s="516"/>
      <c r="L98" s="517"/>
      <c r="M98" s="518"/>
      <c r="N98" s="876"/>
      <c r="O98" s="876"/>
      <c r="P98" s="1770"/>
      <c r="Q98" s="437"/>
    </row>
    <row r="99" spans="1:17" ht="15.75" thickBot="1">
      <c r="A99" s="375"/>
      <c r="B99" s="498"/>
      <c r="C99" s="519"/>
      <c r="D99" s="519"/>
      <c r="E99" s="519"/>
      <c r="F99" s="519"/>
      <c r="G99" s="519"/>
      <c r="H99" s="519"/>
      <c r="I99" s="519"/>
      <c r="J99" s="519"/>
      <c r="K99" s="519"/>
      <c r="L99" s="519"/>
      <c r="M99" s="520"/>
      <c r="N99" s="877"/>
      <c r="O99" s="877"/>
      <c r="P99" s="1770"/>
      <c r="Q99" s="437"/>
    </row>
    <row r="100" spans="1:17">
      <c r="A100" s="379" t="s">
        <v>1694</v>
      </c>
      <c r="B100" s="458" t="s">
        <v>1736</v>
      </c>
      <c r="C100" s="3182" t="s">
        <v>5815</v>
      </c>
      <c r="D100" s="3182" t="s">
        <v>5813</v>
      </c>
      <c r="E100" s="460"/>
      <c r="F100" s="460"/>
      <c r="G100" s="460"/>
      <c r="H100" s="460"/>
      <c r="I100" s="460"/>
      <c r="J100" s="460"/>
      <c r="K100" s="461"/>
      <c r="L100" s="462"/>
      <c r="M100" s="463"/>
      <c r="N100" s="876"/>
      <c r="O100" s="876"/>
      <c r="P100" s="1770"/>
      <c r="Q100" s="437"/>
    </row>
    <row r="101" spans="1:17" ht="15.75" thickBot="1">
      <c r="A101" s="367"/>
      <c r="B101" s="472"/>
      <c r="C101" s="473">
        <v>100</v>
      </c>
      <c r="D101" s="473">
        <f t="shared" ref="D101:M101" si="25">C101-$K32</f>
        <v>95</v>
      </c>
      <c r="E101" s="473">
        <f t="shared" si="25"/>
        <v>90</v>
      </c>
      <c r="F101" s="473">
        <f t="shared" si="25"/>
        <v>85</v>
      </c>
      <c r="G101" s="473">
        <f t="shared" si="25"/>
        <v>80</v>
      </c>
      <c r="H101" s="473">
        <f t="shared" si="25"/>
        <v>75</v>
      </c>
      <c r="I101" s="473">
        <f t="shared" si="25"/>
        <v>70</v>
      </c>
      <c r="J101" s="473">
        <f t="shared" si="25"/>
        <v>65</v>
      </c>
      <c r="K101" s="473">
        <f t="shared" si="25"/>
        <v>60</v>
      </c>
      <c r="L101" s="473">
        <f t="shared" si="25"/>
        <v>55</v>
      </c>
      <c r="M101" s="473">
        <f t="shared" si="25"/>
        <v>50</v>
      </c>
      <c r="N101" s="877"/>
      <c r="O101" s="877"/>
      <c r="P101" s="1770"/>
      <c r="Q101" s="437"/>
    </row>
    <row r="102" spans="1:17" ht="29.25" thickTop="1">
      <c r="A102" s="367"/>
      <c r="B102" s="467" t="s">
        <v>1737</v>
      </c>
      <c r="C102" s="507" t="str">
        <f>C103&amp;"(含)"&amp;"-"&amp;D103</f>
        <v>0(含)-50000</v>
      </c>
      <c r="D102" s="507" t="str">
        <f t="shared" ref="D102:L102" si="26">D103&amp;"(含)"&amp;"-"&amp;E103</f>
        <v>50000(含)-100000</v>
      </c>
      <c r="E102" s="507" t="str">
        <f t="shared" si="26"/>
        <v>100000(含)-200000</v>
      </c>
      <c r="F102" s="507" t="str">
        <f t="shared" si="26"/>
        <v>200000(含)-500000</v>
      </c>
      <c r="G102" s="507" t="str">
        <f t="shared" si="26"/>
        <v>500000(含)-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0"/>
      <c r="Q102" s="437"/>
    </row>
    <row r="103" spans="1:17" s="408" customFormat="1">
      <c r="A103" s="406"/>
      <c r="B103" s="521"/>
      <c r="C103" s="6">
        <v>0</v>
      </c>
      <c r="D103" s="6">
        <v>50000</v>
      </c>
      <c r="E103" s="6">
        <v>100000</v>
      </c>
      <c r="F103" s="6">
        <v>200000</v>
      </c>
      <c r="G103" s="6">
        <v>500000</v>
      </c>
      <c r="H103" s="6"/>
      <c r="I103" s="6"/>
      <c r="J103" s="522"/>
      <c r="K103" s="522"/>
      <c r="L103" s="523"/>
      <c r="M103" s="524"/>
      <c r="N103" s="878"/>
      <c r="O103" s="878"/>
      <c r="P103" s="1771"/>
      <c r="Q103" s="488"/>
    </row>
    <row r="104" spans="1:17" s="408" customFormat="1" ht="15.75" thickBot="1">
      <c r="A104" s="482"/>
      <c r="B104" s="472"/>
      <c r="C104" s="489">
        <v>100</v>
      </c>
      <c r="D104" s="465">
        <v>101</v>
      </c>
      <c r="E104" s="465">
        <v>102</v>
      </c>
      <c r="F104" s="465">
        <v>103</v>
      </c>
      <c r="G104" s="465">
        <v>104</v>
      </c>
      <c r="H104" s="465"/>
      <c r="I104" s="465"/>
      <c r="J104" s="465"/>
      <c r="K104" s="465"/>
      <c r="L104" s="465"/>
      <c r="M104" s="465"/>
      <c r="N104" s="877"/>
      <c r="O104" s="877"/>
      <c r="P104" s="1771"/>
      <c r="Q104" s="488"/>
    </row>
    <row r="105" spans="1:17" ht="15" thickTop="1">
      <c r="A105" s="409"/>
      <c r="B105" s="467" t="s">
        <v>1738</v>
      </c>
      <c r="C105" s="483"/>
      <c r="D105" s="483"/>
      <c r="E105" s="511"/>
      <c r="F105" s="511"/>
      <c r="G105" s="511"/>
      <c r="H105" s="511"/>
      <c r="I105" s="511"/>
      <c r="J105" s="511"/>
      <c r="K105" s="512"/>
      <c r="L105" s="513"/>
      <c r="M105" s="514"/>
      <c r="N105" s="876"/>
      <c r="O105" s="876"/>
      <c r="P105" s="1770"/>
      <c r="Q105" s="437"/>
    </row>
    <row r="106" spans="1:17" ht="15.75" thickBot="1">
      <c r="A106" s="367"/>
      <c r="B106" s="472"/>
      <c r="C106" s="473">
        <v>100</v>
      </c>
      <c r="D106" s="473">
        <f t="shared" ref="D106:M106" si="27">C106-$K34</f>
        <v>98</v>
      </c>
      <c r="E106" s="473">
        <f t="shared" si="27"/>
        <v>96</v>
      </c>
      <c r="F106" s="473">
        <f t="shared" si="27"/>
        <v>94</v>
      </c>
      <c r="G106" s="473">
        <f t="shared" si="27"/>
        <v>92</v>
      </c>
      <c r="H106" s="473">
        <f t="shared" si="27"/>
        <v>90</v>
      </c>
      <c r="I106" s="473">
        <f t="shared" si="27"/>
        <v>88</v>
      </c>
      <c r="J106" s="473">
        <f t="shared" si="27"/>
        <v>86</v>
      </c>
      <c r="K106" s="473">
        <f t="shared" si="27"/>
        <v>84</v>
      </c>
      <c r="L106" s="473">
        <f t="shared" si="27"/>
        <v>82</v>
      </c>
      <c r="M106" s="473">
        <f t="shared" si="27"/>
        <v>80</v>
      </c>
      <c r="N106" s="877"/>
      <c r="O106" s="877"/>
      <c r="P106" s="1770"/>
      <c r="Q106" s="437"/>
    </row>
    <row r="107" spans="1:17" ht="15" thickTop="1">
      <c r="A107" s="409"/>
      <c r="B107" s="467" t="s">
        <v>1739</v>
      </c>
      <c r="C107" s="3194" t="s">
        <v>5846</v>
      </c>
      <c r="D107" s="3194" t="s">
        <v>5848</v>
      </c>
      <c r="E107" s="511"/>
      <c r="F107" s="511"/>
      <c r="G107" s="511"/>
      <c r="H107" s="511"/>
      <c r="I107" s="511"/>
      <c r="J107" s="511"/>
      <c r="K107" s="512"/>
      <c r="L107" s="513"/>
      <c r="M107" s="514"/>
      <c r="N107" s="876"/>
      <c r="O107" s="876"/>
      <c r="P107" s="1770"/>
      <c r="Q107" s="437"/>
    </row>
    <row r="108" spans="1:17" ht="15.75" thickBot="1">
      <c r="A108" s="367"/>
      <c r="B108" s="472"/>
      <c r="C108" s="473">
        <v>100</v>
      </c>
      <c r="D108" s="473">
        <f t="shared" ref="D108:M108" si="28">C108-$K35</f>
        <v>95</v>
      </c>
      <c r="E108" s="473">
        <f t="shared" si="28"/>
        <v>90</v>
      </c>
      <c r="F108" s="473">
        <f t="shared" si="28"/>
        <v>85</v>
      </c>
      <c r="G108" s="473">
        <f t="shared" si="28"/>
        <v>80</v>
      </c>
      <c r="H108" s="473">
        <f t="shared" si="28"/>
        <v>75</v>
      </c>
      <c r="I108" s="473">
        <f t="shared" si="28"/>
        <v>70</v>
      </c>
      <c r="J108" s="473">
        <f t="shared" si="28"/>
        <v>65</v>
      </c>
      <c r="K108" s="473">
        <f t="shared" si="28"/>
        <v>60</v>
      </c>
      <c r="L108" s="473">
        <f t="shared" si="28"/>
        <v>55</v>
      </c>
      <c r="M108" s="473">
        <f t="shared" si="28"/>
        <v>50</v>
      </c>
      <c r="N108" s="877"/>
      <c r="O108" s="877"/>
      <c r="P108" s="1770"/>
      <c r="Q108" s="437"/>
    </row>
    <row r="109" spans="1:17" ht="15" thickTop="1">
      <c r="A109" s="409"/>
      <c r="B109" s="467" t="s">
        <v>1740</v>
      </c>
      <c r="C109" s="483"/>
      <c r="D109" s="483"/>
      <c r="E109" s="483"/>
      <c r="F109" s="511"/>
      <c r="G109" s="511"/>
      <c r="H109" s="511"/>
      <c r="I109" s="511"/>
      <c r="J109" s="511"/>
      <c r="K109" s="512"/>
      <c r="L109" s="513"/>
      <c r="M109" s="514"/>
      <c r="N109" s="876"/>
      <c r="O109" s="876"/>
      <c r="P109" s="1770"/>
      <c r="Q109" s="437"/>
    </row>
    <row r="110" spans="1:17" ht="15.75" thickBot="1">
      <c r="A110" s="367"/>
      <c r="B110" s="472"/>
      <c r="C110" s="473">
        <v>100</v>
      </c>
      <c r="D110" s="473">
        <f t="shared" ref="D110:M110" si="29">C110-$K36</f>
        <v>98</v>
      </c>
      <c r="E110" s="473">
        <f t="shared" si="29"/>
        <v>96</v>
      </c>
      <c r="F110" s="473">
        <f t="shared" si="29"/>
        <v>94</v>
      </c>
      <c r="G110" s="473">
        <f t="shared" si="29"/>
        <v>92</v>
      </c>
      <c r="H110" s="473">
        <f t="shared" si="29"/>
        <v>90</v>
      </c>
      <c r="I110" s="473">
        <f t="shared" si="29"/>
        <v>88</v>
      </c>
      <c r="J110" s="473">
        <f t="shared" si="29"/>
        <v>86</v>
      </c>
      <c r="K110" s="473">
        <f t="shared" si="29"/>
        <v>84</v>
      </c>
      <c r="L110" s="473">
        <f t="shared" si="29"/>
        <v>82</v>
      </c>
      <c r="M110" s="473">
        <f t="shared" si="29"/>
        <v>80</v>
      </c>
      <c r="N110" s="877"/>
      <c r="O110" s="877"/>
      <c r="P110" s="1770"/>
      <c r="Q110" s="437"/>
    </row>
    <row r="111" spans="1:17" s="408" customFormat="1" ht="15" thickTop="1">
      <c r="A111" s="406"/>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1"/>
      <c r="Q111" s="488"/>
    </row>
    <row r="112" spans="1:17" s="408" customFormat="1">
      <c r="A112" s="406"/>
      <c r="B112" s="475"/>
      <c r="C112" s="528">
        <v>0.5</v>
      </c>
      <c r="D112" s="528">
        <v>0.6</v>
      </c>
      <c r="E112" s="528">
        <v>0.7</v>
      </c>
      <c r="F112" s="528">
        <v>0.8</v>
      </c>
      <c r="G112" s="528">
        <v>0.9</v>
      </c>
      <c r="H112" s="528">
        <v>1.0001</v>
      </c>
      <c r="I112" s="528"/>
      <c r="J112" s="529"/>
      <c r="K112" s="529"/>
      <c r="L112" s="530"/>
      <c r="M112" s="531"/>
      <c r="N112" s="878"/>
      <c r="O112" s="878"/>
      <c r="P112" s="1771"/>
      <c r="Q112" s="488"/>
    </row>
    <row r="113" spans="1:17" s="408" customFormat="1" ht="15.75" thickBot="1">
      <c r="A113" s="482"/>
      <c r="B113" s="472"/>
      <c r="C113" s="510">
        <v>100</v>
      </c>
      <c r="D113" s="473">
        <f>C113+$K37</f>
        <v>102</v>
      </c>
      <c r="E113" s="473">
        <f>D113+$K37</f>
        <v>104</v>
      </c>
      <c r="F113" s="473">
        <f>E113+$K37</f>
        <v>106</v>
      </c>
      <c r="G113" s="473">
        <f>F113+$K37</f>
        <v>108</v>
      </c>
      <c r="H113" s="473">
        <f>G113+$K37</f>
        <v>110</v>
      </c>
      <c r="I113" s="510"/>
      <c r="J113" s="532"/>
      <c r="K113" s="532"/>
      <c r="L113" s="532"/>
      <c r="M113" s="533"/>
      <c r="N113" s="878"/>
      <c r="O113" s="878"/>
      <c r="P113" s="1771"/>
      <c r="Q113" s="488"/>
    </row>
    <row r="114" spans="1:17" ht="15" thickTop="1">
      <c r="A114" s="409"/>
      <c r="B114" s="467" t="s">
        <v>1741</v>
      </c>
      <c r="C114" s="483"/>
      <c r="D114" s="483"/>
      <c r="E114" s="511"/>
      <c r="F114" s="511"/>
      <c r="G114" s="511"/>
      <c r="H114" s="511"/>
      <c r="I114" s="511"/>
      <c r="J114" s="511"/>
      <c r="K114" s="512"/>
      <c r="L114" s="513"/>
      <c r="M114" s="514"/>
      <c r="N114" s="876"/>
      <c r="O114" s="876"/>
      <c r="P114" s="1770"/>
      <c r="Q114" s="437"/>
    </row>
    <row r="115" spans="1:17" ht="15.75" thickBot="1">
      <c r="A115" s="367"/>
      <c r="B115" s="472"/>
      <c r="C115" s="473">
        <v>100</v>
      </c>
      <c r="D115" s="473">
        <f t="shared" ref="D115:M115" si="30">C115-$K38</f>
        <v>98</v>
      </c>
      <c r="E115" s="473">
        <f t="shared" si="30"/>
        <v>96</v>
      </c>
      <c r="F115" s="473">
        <f t="shared" si="30"/>
        <v>94</v>
      </c>
      <c r="G115" s="473">
        <f t="shared" si="30"/>
        <v>92</v>
      </c>
      <c r="H115" s="473">
        <f t="shared" si="30"/>
        <v>90</v>
      </c>
      <c r="I115" s="473">
        <f t="shared" si="30"/>
        <v>88</v>
      </c>
      <c r="J115" s="473">
        <f t="shared" si="30"/>
        <v>86</v>
      </c>
      <c r="K115" s="473">
        <f t="shared" si="30"/>
        <v>84</v>
      </c>
      <c r="L115" s="473">
        <f t="shared" si="30"/>
        <v>82</v>
      </c>
      <c r="M115" s="473">
        <f t="shared" si="30"/>
        <v>80</v>
      </c>
      <c r="N115" s="877"/>
      <c r="O115" s="877"/>
      <c r="P115" s="1770"/>
      <c r="Q115" s="437"/>
    </row>
    <row r="116" spans="1:17" ht="15" thickTop="1">
      <c r="A116" s="409"/>
      <c r="B116" s="467" t="s">
        <v>1742</v>
      </c>
      <c r="C116" s="3191" t="s">
        <v>5843</v>
      </c>
      <c r="D116" s="3191" t="s">
        <v>5844</v>
      </c>
      <c r="E116" s="483"/>
      <c r="F116" s="483"/>
      <c r="G116" s="483"/>
      <c r="H116" s="511"/>
      <c r="I116" s="511"/>
      <c r="J116" s="511"/>
      <c r="K116" s="512"/>
      <c r="L116" s="513"/>
      <c r="M116" s="514"/>
      <c r="N116" s="876"/>
      <c r="O116" s="876"/>
      <c r="P116" s="1770"/>
      <c r="Q116" s="437"/>
    </row>
    <row r="117" spans="1:17" ht="15.75" thickBot="1">
      <c r="A117" s="367"/>
      <c r="B117" s="472"/>
      <c r="C117" s="473">
        <v>100</v>
      </c>
      <c r="D117" s="473">
        <f>C117-$K39</f>
        <v>98</v>
      </c>
      <c r="E117" s="473">
        <f>D117-$K39</f>
        <v>96</v>
      </c>
      <c r="F117" s="473">
        <f>E117-$K39</f>
        <v>94</v>
      </c>
      <c r="G117" s="473">
        <f>F117-$K39</f>
        <v>92</v>
      </c>
      <c r="H117" s="473"/>
      <c r="I117" s="473"/>
      <c r="J117" s="473"/>
      <c r="K117" s="473"/>
      <c r="L117" s="473"/>
      <c r="M117" s="474"/>
      <c r="N117" s="877"/>
      <c r="O117" s="877"/>
      <c r="P117" s="1770"/>
      <c r="Q117" s="437"/>
    </row>
    <row r="118" spans="1:17" ht="15" thickTop="1">
      <c r="A118" s="409"/>
      <c r="B118" s="467" t="s">
        <v>1743</v>
      </c>
      <c r="C118" s="511"/>
      <c r="D118" s="511"/>
      <c r="E118" s="511"/>
      <c r="F118" s="511"/>
      <c r="G118" s="511"/>
      <c r="H118" s="511"/>
      <c r="I118" s="511"/>
      <c r="J118" s="511"/>
      <c r="K118" s="512"/>
      <c r="L118" s="513"/>
      <c r="M118" s="514"/>
      <c r="N118" s="876"/>
      <c r="O118" s="876"/>
      <c r="P118" s="1770"/>
      <c r="Q118" s="437"/>
    </row>
    <row r="119" spans="1:17" ht="15.75" thickBot="1">
      <c r="A119" s="367"/>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0"/>
      <c r="Q119" s="437"/>
    </row>
    <row r="120" spans="1:17" s="408" customFormat="1" ht="28.5" thickTop="1">
      <c r="A120" s="406"/>
      <c r="B120" s="467" t="s">
        <v>1705</v>
      </c>
      <c r="C120" s="483"/>
      <c r="D120" s="483"/>
      <c r="E120" s="483"/>
      <c r="F120" s="483"/>
      <c r="G120" s="483"/>
      <c r="H120" s="483"/>
      <c r="I120" s="483"/>
      <c r="J120" s="483"/>
      <c r="K120" s="483"/>
      <c r="L120" s="508"/>
      <c r="M120" s="509"/>
      <c r="N120" s="878"/>
      <c r="O120" s="878"/>
      <c r="P120" s="1771"/>
      <c r="Q120" s="488"/>
    </row>
    <row r="121" spans="1:17" s="408" customFormat="1" ht="15.75" thickBot="1">
      <c r="A121" s="482"/>
      <c r="B121" s="464"/>
      <c r="C121" s="489"/>
      <c r="D121" s="465"/>
      <c r="E121" s="465"/>
      <c r="F121" s="465"/>
      <c r="G121" s="465"/>
      <c r="H121" s="465"/>
      <c r="I121" s="465"/>
      <c r="J121" s="465"/>
      <c r="K121" s="465"/>
      <c r="L121" s="465"/>
      <c r="M121" s="465"/>
      <c r="N121" s="878"/>
      <c r="O121" s="878"/>
      <c r="P121" s="1771"/>
      <c r="Q121" s="488"/>
    </row>
    <row r="122" spans="1:17" ht="15" thickTop="1">
      <c r="A122" s="409"/>
      <c r="B122" s="467" t="s">
        <v>1744</v>
      </c>
      <c r="C122" s="483"/>
      <c r="D122" s="483"/>
      <c r="E122" s="483"/>
      <c r="F122" s="511"/>
      <c r="G122" s="511"/>
      <c r="H122" s="511"/>
      <c r="I122" s="511"/>
      <c r="J122" s="511"/>
      <c r="K122" s="512"/>
      <c r="L122" s="513"/>
      <c r="M122" s="514"/>
      <c r="N122" s="876"/>
      <c r="O122" s="876"/>
      <c r="P122" s="1770"/>
      <c r="Q122" s="437"/>
    </row>
    <row r="123" spans="1:17" ht="15.75" thickBot="1">
      <c r="A123" s="367"/>
      <c r="B123" s="472"/>
      <c r="C123" s="473">
        <v>100</v>
      </c>
      <c r="D123" s="473">
        <f t="shared" ref="D123:M123" si="32">C123-$K42</f>
        <v>97</v>
      </c>
      <c r="E123" s="473">
        <f t="shared" si="32"/>
        <v>94</v>
      </c>
      <c r="F123" s="473">
        <f t="shared" si="32"/>
        <v>91</v>
      </c>
      <c r="G123" s="473">
        <f t="shared" si="32"/>
        <v>88</v>
      </c>
      <c r="H123" s="473">
        <f t="shared" si="32"/>
        <v>85</v>
      </c>
      <c r="I123" s="473">
        <f t="shared" si="32"/>
        <v>82</v>
      </c>
      <c r="J123" s="473">
        <f t="shared" si="32"/>
        <v>79</v>
      </c>
      <c r="K123" s="473">
        <f t="shared" si="32"/>
        <v>76</v>
      </c>
      <c r="L123" s="473">
        <f t="shared" si="32"/>
        <v>73</v>
      </c>
      <c r="M123" s="473">
        <f t="shared" si="32"/>
        <v>70</v>
      </c>
      <c r="N123" s="877"/>
      <c r="O123" s="877"/>
      <c r="P123" s="1770"/>
      <c r="Q123" s="437"/>
    </row>
    <row r="124" spans="1:17" ht="15" thickTop="1">
      <c r="A124" s="409"/>
      <c r="B124" s="467" t="s">
        <v>1745</v>
      </c>
      <c r="C124" s="507" t="s">
        <v>1721</v>
      </c>
      <c r="D124" s="507" t="s">
        <v>1722</v>
      </c>
      <c r="E124" s="507" t="s">
        <v>1723</v>
      </c>
      <c r="F124" s="507" t="s">
        <v>1724</v>
      </c>
      <c r="G124" s="507" t="s">
        <v>1725</v>
      </c>
      <c r="H124" s="468"/>
      <c r="I124" s="468"/>
      <c r="J124" s="468"/>
      <c r="K124" s="469"/>
      <c r="L124" s="470"/>
      <c r="M124" s="471"/>
      <c r="N124" s="876"/>
      <c r="O124" s="876"/>
      <c r="P124" s="1771"/>
      <c r="Q124" s="437"/>
    </row>
    <row r="125" spans="1:17" ht="15.75" thickBot="1">
      <c r="A125" s="367"/>
      <c r="B125" s="472"/>
      <c r="C125" s="473">
        <v>100</v>
      </c>
      <c r="D125" s="473">
        <f>C125-$K43</f>
        <v>100</v>
      </c>
      <c r="E125" s="473">
        <f>D125-$K43</f>
        <v>100</v>
      </c>
      <c r="F125" s="473">
        <f>E125-$K43</f>
        <v>100</v>
      </c>
      <c r="G125" s="473">
        <f>F125-$K43</f>
        <v>100</v>
      </c>
      <c r="H125" s="473"/>
      <c r="I125" s="473"/>
      <c r="J125" s="473"/>
      <c r="K125" s="473"/>
      <c r="L125" s="473"/>
      <c r="M125" s="474"/>
      <c r="N125" s="877"/>
      <c r="O125" s="877"/>
      <c r="P125" s="1770"/>
      <c r="Q125" s="437"/>
    </row>
    <row r="126" spans="1:17" s="408" customFormat="1" ht="15" thickTop="1">
      <c r="A126" s="406"/>
      <c r="B126" s="467">
        <f>B44</f>
        <v>0</v>
      </c>
      <c r="C126" s="3191"/>
      <c r="D126" s="3191"/>
      <c r="E126" s="483"/>
      <c r="F126" s="483"/>
      <c r="G126" s="483"/>
      <c r="H126" s="484"/>
      <c r="I126" s="484"/>
      <c r="J126" s="484"/>
      <c r="K126" s="484"/>
      <c r="L126" s="485"/>
      <c r="M126" s="486"/>
      <c r="N126" s="878"/>
      <c r="O126" s="878"/>
      <c r="P126" s="1771"/>
      <c r="Q126" s="488"/>
    </row>
    <row r="127" spans="1:17" s="408" customFormat="1" ht="15.75" thickBot="1">
      <c r="A127" s="482"/>
      <c r="B127" s="472"/>
      <c r="C127" s="489"/>
      <c r="D127" s="465"/>
      <c r="E127" s="465"/>
      <c r="F127" s="465"/>
      <c r="G127" s="489"/>
      <c r="H127" s="491"/>
      <c r="I127" s="491"/>
      <c r="J127" s="491"/>
      <c r="K127" s="491"/>
      <c r="L127" s="491"/>
      <c r="M127" s="492"/>
      <c r="N127" s="878"/>
      <c r="O127" s="878"/>
      <c r="P127" s="1771"/>
      <c r="Q127" s="488"/>
    </row>
    <row r="128" spans="1:17" ht="15" thickTop="1">
      <c r="A128" s="409"/>
      <c r="B128" s="467">
        <f>B45</f>
        <v>111</v>
      </c>
      <c r="C128" s="483"/>
      <c r="D128" s="483"/>
      <c r="E128" s="483"/>
      <c r="F128" s="483"/>
      <c r="G128" s="511"/>
      <c r="H128" s="511"/>
      <c r="I128" s="511"/>
      <c r="J128" s="511"/>
      <c r="K128" s="512"/>
      <c r="L128" s="513"/>
      <c r="M128" s="514"/>
      <c r="N128" s="876"/>
      <c r="O128" s="876"/>
      <c r="P128" s="1770"/>
      <c r="Q128" s="437"/>
    </row>
    <row r="129" spans="1:17" ht="15.75" thickBot="1">
      <c r="A129" s="367"/>
      <c r="B129" s="472"/>
      <c r="C129" s="489"/>
      <c r="D129" s="489"/>
      <c r="E129" s="489"/>
      <c r="F129" s="489"/>
      <c r="G129" s="465"/>
      <c r="H129" s="465"/>
      <c r="I129" s="465"/>
      <c r="J129" s="465"/>
      <c r="K129" s="465"/>
      <c r="L129" s="465"/>
      <c r="M129" s="466"/>
      <c r="N129" s="877"/>
      <c r="O129" s="877"/>
      <c r="P129" s="1770"/>
      <c r="Q129" s="437"/>
    </row>
    <row r="130" spans="1:17" ht="15" thickTop="1">
      <c r="A130" s="409"/>
      <c r="B130" s="475">
        <f>B46</f>
        <v>111</v>
      </c>
      <c r="C130" s="483"/>
      <c r="D130" s="483"/>
      <c r="E130" s="483"/>
      <c r="F130" s="483"/>
      <c r="G130" s="515"/>
      <c r="H130" s="515"/>
      <c r="I130" s="515"/>
      <c r="J130" s="515"/>
      <c r="K130" s="31"/>
      <c r="L130" s="455"/>
      <c r="M130" s="518"/>
      <c r="N130" s="876"/>
      <c r="O130" s="876"/>
      <c r="P130" s="1770"/>
      <c r="Q130" s="437"/>
    </row>
    <row r="131" spans="1:17" ht="15.75" thickBot="1">
      <c r="A131" s="375"/>
      <c r="B131" s="498"/>
      <c r="C131" s="499"/>
      <c r="D131" s="499"/>
      <c r="E131" s="499"/>
      <c r="F131" s="499"/>
      <c r="G131" s="519"/>
      <c r="H131" s="519"/>
      <c r="I131" s="519"/>
      <c r="J131" s="519"/>
      <c r="K131" s="519"/>
      <c r="L131" s="519"/>
      <c r="M131" s="520"/>
      <c r="N131" s="877"/>
      <c r="O131" s="877"/>
      <c r="P131" s="1770"/>
      <c r="Q131" s="437"/>
    </row>
    <row r="136" spans="1:17" ht="15" thickBot="1">
      <c r="B136" s="1776" t="s">
        <v>1746</v>
      </c>
    </row>
    <row r="137" spans="1:17" ht="15">
      <c r="B137" s="1777" t="s">
        <v>1747</v>
      </c>
      <c r="C137" s="1778"/>
      <c r="D137" s="1778"/>
      <c r="E137" s="1778"/>
      <c r="F137" s="1778"/>
      <c r="G137" s="1779"/>
      <c r="H137" s="1780"/>
      <c r="I137" s="1781" t="s">
        <v>1748</v>
      </c>
      <c r="J137" s="1778"/>
      <c r="K137" s="1782"/>
    </row>
    <row r="138" spans="1:17" ht="15">
      <c r="B138" s="1783"/>
      <c r="C138" s="129" t="s">
        <v>1749</v>
      </c>
      <c r="D138" s="129" t="s">
        <v>1750</v>
      </c>
      <c r="E138" s="1784" t="s">
        <v>1751</v>
      </c>
      <c r="F138" s="1785" t="s">
        <v>1752</v>
      </c>
      <c r="G138" s="129" t="s">
        <v>1750</v>
      </c>
      <c r="H138" s="130" t="s">
        <v>1751</v>
      </c>
      <c r="I138" s="1786"/>
      <c r="J138" s="129" t="s">
        <v>1753</v>
      </c>
      <c r="K138" s="130" t="s">
        <v>1754</v>
      </c>
    </row>
    <row r="139" spans="1:17" ht="15">
      <c r="B139" s="811">
        <v>6</v>
      </c>
      <c r="C139" s="812">
        <v>96</v>
      </c>
      <c r="D139" s="1787" t="s">
        <v>1755</v>
      </c>
      <c r="E139" s="813">
        <v>100</v>
      </c>
      <c r="F139" s="814">
        <v>102.5</v>
      </c>
      <c r="G139" s="1787" t="s">
        <v>1755</v>
      </c>
      <c r="H139" s="815">
        <v>105</v>
      </c>
      <c r="I139" s="1788" t="s">
        <v>1756</v>
      </c>
      <c r="J139" s="812">
        <v>20</v>
      </c>
      <c r="K139" s="816">
        <f>C145/(J139-2)</f>
        <v>4.0555555555555553E-3</v>
      </c>
    </row>
    <row r="140" spans="1:17" ht="15">
      <c r="B140" s="817">
        <v>5</v>
      </c>
      <c r="C140" s="818">
        <v>100</v>
      </c>
      <c r="D140" s="818"/>
      <c r="E140" s="819"/>
      <c r="F140" s="820">
        <v>102</v>
      </c>
      <c r="G140" s="818"/>
      <c r="H140" s="821"/>
      <c r="I140" s="1789" t="s">
        <v>1757</v>
      </c>
      <c r="J140" s="263">
        <f>ROUNDUP((J139-1)/2,0)</f>
        <v>10</v>
      </c>
      <c r="K140" s="822">
        <v>100</v>
      </c>
    </row>
    <row r="141" spans="1:17" ht="15">
      <c r="B141" s="817">
        <v>4</v>
      </c>
      <c r="C141" s="818">
        <v>102</v>
      </c>
      <c r="D141" s="818"/>
      <c r="E141" s="819"/>
      <c r="F141" s="820">
        <v>101.5</v>
      </c>
      <c r="G141" s="818"/>
      <c r="H141" s="821"/>
      <c r="I141" s="1789" t="s">
        <v>1758</v>
      </c>
      <c r="J141" s="263">
        <v>1</v>
      </c>
      <c r="K141" s="823">
        <f>ROUND(100+(J141-J140)*K139*100,1)</f>
        <v>96.4</v>
      </c>
    </row>
    <row r="142" spans="1:17" ht="15">
      <c r="B142" s="817">
        <v>3</v>
      </c>
      <c r="C142" s="818">
        <v>103</v>
      </c>
      <c r="D142" s="818"/>
      <c r="E142" s="819"/>
      <c r="F142" s="820">
        <v>101</v>
      </c>
      <c r="G142" s="818"/>
      <c r="H142" s="821"/>
      <c r="I142" s="1789" t="s">
        <v>1759</v>
      </c>
      <c r="J142" s="263">
        <f>J139</f>
        <v>20</v>
      </c>
      <c r="K142" s="824">
        <v>95</v>
      </c>
    </row>
    <row r="143" spans="1:17" ht="15">
      <c r="B143" s="817">
        <v>2</v>
      </c>
      <c r="C143" s="818">
        <v>100</v>
      </c>
      <c r="D143" s="818"/>
      <c r="E143" s="819"/>
      <c r="F143" s="820">
        <v>100.5</v>
      </c>
      <c r="G143" s="818"/>
      <c r="H143" s="821"/>
      <c r="I143" s="1789" t="s">
        <v>1760</v>
      </c>
      <c r="J143" s="818">
        <v>15</v>
      </c>
      <c r="K143" s="823">
        <f>ROUND(100+(J143-J140)*K139*100,1)</f>
        <v>102</v>
      </c>
    </row>
    <row r="144" spans="1:17" ht="15">
      <c r="B144" s="817">
        <v>1</v>
      </c>
      <c r="C144" s="818">
        <v>98</v>
      </c>
      <c r="D144" s="1790" t="s">
        <v>1761</v>
      </c>
      <c r="E144" s="819">
        <v>102</v>
      </c>
      <c r="F144" s="825">
        <v>100</v>
      </c>
      <c r="G144" s="1790" t="s">
        <v>1761</v>
      </c>
      <c r="H144" s="821">
        <v>105</v>
      </c>
      <c r="I144" s="1789" t="s">
        <v>1760</v>
      </c>
      <c r="J144" s="818">
        <v>18</v>
      </c>
      <c r="K144" s="823">
        <f>ROUND(100+(J144-J140)*K139*100,1)</f>
        <v>103.2</v>
      </c>
    </row>
    <row r="145" spans="2:11" ht="15.75" thickBot="1">
      <c r="B145" s="1791" t="s">
        <v>1762</v>
      </c>
      <c r="C145" s="826">
        <f>ROUND(MAX(C139:C144)/MIN(C139:C144)-1,3)</f>
        <v>7.2999999999999995E-2</v>
      </c>
      <c r="D145" s="827"/>
      <c r="E145" s="827"/>
      <c r="F145" s="1792" t="s">
        <v>1763</v>
      </c>
      <c r="G145" s="1793"/>
      <c r="H145" s="1794"/>
      <c r="I145" s="1795" t="s">
        <v>1760</v>
      </c>
      <c r="J145" s="828">
        <v>8</v>
      </c>
      <c r="K145" s="829">
        <f>ROUND(100+(J145-J140)*K139*100,1)</f>
        <v>99.2</v>
      </c>
    </row>
    <row r="147" spans="2:11">
      <c r="B147" s="1776" t="s">
        <v>1764</v>
      </c>
    </row>
    <row r="148" spans="2:11">
      <c r="B148" s="177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2600-000000000000}">
      <formula1>环境</formula1>
    </dataValidation>
    <dataValidation type="list" allowBlank="1" showInputMessage="1" showErrorMessage="1" sqref="E16 G16 I16 C16" xr:uid="{00000000-0002-0000-2600-000001000000}">
      <formula1>居住社区成熟度</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E20 I20" xr:uid="{00000000-0002-0000-2600-000003000000}">
      <formula1>公共配套设施</formula1>
    </dataValidation>
    <dataValidation type="list" allowBlank="1" showInputMessage="1" showErrorMessage="1" sqref="E25 G25 I25 C25" xr:uid="{00000000-0002-0000-2600-000004000000}">
      <formula1>住宅楼层</formula1>
    </dataValidation>
    <dataValidation type="list" allowBlank="1" showInputMessage="1" showErrorMessage="1" sqref="E26 G26 I26 C26" xr:uid="{00000000-0002-0000-2600-000005000000}">
      <formula1>住宅朝向</formula1>
    </dataValidation>
    <dataValidation type="list" allowBlank="1" showInputMessage="1" showErrorMessage="1" sqref="E32 G32 I32 C32" xr:uid="{00000000-0002-0000-2600-000006000000}">
      <formula1>住宅建筑类型</formula1>
    </dataValidation>
    <dataValidation type="list" allowBlank="1" showInputMessage="1" showErrorMessage="1" sqref="E34 G34 I34 C34" xr:uid="{00000000-0002-0000-2600-000007000000}">
      <formula1>住宅建筑结构</formula1>
    </dataValidation>
    <dataValidation type="list" allowBlank="1" showInputMessage="1" showErrorMessage="1" sqref="E35 G35 I35 C35" xr:uid="{00000000-0002-0000-2600-000008000000}">
      <formula1>住宅建筑品质</formula1>
    </dataValidation>
    <dataValidation type="list" allowBlank="1" showInputMessage="1" showErrorMessage="1" sqref="E36 G36 I36 C36" xr:uid="{00000000-0002-0000-2600-000009000000}">
      <formula1>住宅公共部分装修</formula1>
    </dataValidation>
    <dataValidation type="list" allowBlank="1" showInputMessage="1" showErrorMessage="1" sqref="E38 G38 I38 C38" xr:uid="{00000000-0002-0000-2600-00000A000000}">
      <formula1>住宅物业管理</formula1>
    </dataValidation>
    <dataValidation type="list" allowBlank="1" showInputMessage="1" showErrorMessage="1" sqref="E39 G39 I39 C39" xr:uid="{00000000-0002-0000-2600-00000B000000}">
      <formula1>住宅基础设施水平</formula1>
    </dataValidation>
    <dataValidation type="list" allowBlank="1" showInputMessage="1" showErrorMessage="1" sqref="E40 G40 I40 C40" xr:uid="{00000000-0002-0000-2600-00000C000000}">
      <formula1>住宅房型</formula1>
    </dataValidation>
    <dataValidation type="list" allowBlank="1" showInputMessage="1" showErrorMessage="1" sqref="E42 G42 I42 C42" xr:uid="{00000000-0002-0000-2600-00000D000000}">
      <formula1>住宅内部装修</formula1>
    </dataValidation>
    <dataValidation type="list" allowBlank="1" showInputMessage="1" showErrorMessage="1" sqref="E43 G43 I43 C43" xr:uid="{00000000-0002-0000-2600-00000E000000}">
      <formula1>内部装修维护情况</formula1>
    </dataValidation>
    <dataValidation type="list" allowBlank="1" showInputMessage="1" showErrorMessage="1" sqref="E8 G8 I8 C8" xr:uid="{00000000-0002-0000-2600-00000F000000}">
      <formula1>住宅交易情况</formula1>
    </dataValidation>
    <dataValidation type="list" allowBlank="1" showInputMessage="1" showErrorMessage="1" sqref="D1" xr:uid="{00000000-0002-0000-2600-000010000000}">
      <formula1>项目类型</formula1>
    </dataValidation>
    <dataValidation type="list" allowBlank="1" showInputMessage="1" showErrorMessage="1" sqref="E9 G9 I9" xr:uid="{00000000-0002-0000-2600-000011000000}">
      <formula1>住宅用途</formula1>
    </dataValidation>
    <dataValidation type="list" allowBlank="1" showInputMessage="1" showErrorMessage="1" sqref="C22 E22 G22 I22" xr:uid="{00000000-0002-0000-2600-000012000000}">
      <formula1>基础设施水平</formula1>
    </dataValidation>
    <dataValidation type="list" allowBlank="1" showInputMessage="1" showErrorMessage="1" sqref="F1" xr:uid="{00000000-0002-0000-2600-000013000000}">
      <formula1>"售价,租金"</formula1>
    </dataValidation>
    <dataValidation type="list" allowBlank="1" showInputMessage="1" showErrorMessage="1" sqref="C2" xr:uid="{00000000-0002-0000-2600-000014000000}">
      <formula1>"需扣减承租人权益,——"</formula1>
    </dataValidation>
    <dataValidation type="list" allowBlank="1" showInputMessage="1" showErrorMessage="1" sqref="F2" xr:uid="{00000000-0002-0000-2600-000015000000}">
      <formula1>估价方法</formula1>
    </dataValidation>
    <dataValidation type="list" allowBlank="1" showInputMessage="1" showErrorMessage="1" sqref="D48" xr:uid="{00000000-0002-0000-2600-000016000000}">
      <formula1>"简单平均,加权平均"</formula1>
    </dataValidation>
    <dataValidation type="list" allowBlank="1" showInputMessage="1" showErrorMessage="1" sqref="E1" xr:uid="{00000000-0002-0000-26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9"/>
      <c r="C2" s="3239"/>
      <c r="D2" s="3239"/>
      <c r="E2" s="3239"/>
    </row>
    <row r="3" spans="1:5" ht="18">
      <c r="A3" s="3240" t="str">
        <f>IF(项目基本情况!B9="房地产市场价值","估价结果一览表（市场价值不需“结果表-1”）","估价结果一览表")</f>
        <v>估价结果一览表</v>
      </c>
      <c r="B3" s="3240"/>
      <c r="C3" s="3240"/>
      <c r="D3" s="3240"/>
      <c r="E3" s="3240"/>
    </row>
    <row r="4" spans="1:5" ht="19.5" thickBot="1">
      <c r="A4" s="1388"/>
      <c r="B4" s="3238" t="s">
        <v>917</v>
      </c>
      <c r="C4" s="3238"/>
      <c r="D4" s="3238"/>
      <c r="E4" s="1388"/>
    </row>
    <row r="5" spans="1:5" ht="16.5" thickTop="1">
      <c r="B5" s="3236" t="s">
        <v>909</v>
      </c>
      <c r="C5" s="1389" t="s">
        <v>910</v>
      </c>
      <c r="D5" s="794">
        <f ca="1">结果表!H101</f>
        <v>470229</v>
      </c>
    </row>
    <row r="6" spans="1:5" ht="15.75">
      <c r="B6" s="3236"/>
      <c r="C6" s="1389" t="s">
        <v>911</v>
      </c>
      <c r="D6" s="794" t="str">
        <f ca="1">NUMBERSTRING(INT(D5*10000),2)&amp;"元整"</f>
        <v>肆拾柒亿零贰佰贰拾玖万元整</v>
      </c>
    </row>
    <row r="7" spans="1:5" ht="15.75">
      <c r="B7" s="3241"/>
      <c r="C7" s="1390" t="s">
        <v>912</v>
      </c>
      <c r="D7" s="795">
        <f ca="1">结果表!H102</f>
        <v>69608</v>
      </c>
    </row>
    <row r="8" spans="1:5" ht="15.75">
      <c r="B8" s="3242" t="str">
        <f>结果表!E103</f>
        <v>2.估价师知悉的法定优先受偿款</v>
      </c>
      <c r="C8" s="1391" t="s">
        <v>913</v>
      </c>
      <c r="D8" s="795">
        <f>结果表!H103</f>
        <v>0</v>
      </c>
    </row>
    <row r="9" spans="1:5" ht="15.75">
      <c r="B9" s="3244"/>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235" t="str">
        <f>结果表!E107</f>
        <v>3.房地产抵押价值</v>
      </c>
      <c r="C13" s="1394" t="s">
        <v>910</v>
      </c>
      <c r="D13" s="797">
        <f ca="1">结果表!H107</f>
        <v>470229</v>
      </c>
    </row>
    <row r="14" spans="1:5" ht="15.75">
      <c r="B14" s="3236"/>
      <c r="C14" s="1389" t="s">
        <v>911</v>
      </c>
      <c r="D14" s="794" t="str">
        <f ca="1">NUMBERSTRING(INT(D13*10000),2)&amp;"元整"</f>
        <v>肆拾柒亿零贰佰贰拾玖万元整</v>
      </c>
    </row>
    <row r="15" spans="1:5" ht="15">
      <c r="B15" s="3241"/>
      <c r="C15" s="1390" t="s">
        <v>921</v>
      </c>
      <c r="D15" s="803">
        <f ca="1">结果表!H108</f>
        <v>69608</v>
      </c>
    </row>
    <row r="16" spans="1:5" ht="15">
      <c r="B16" s="3242" t="str">
        <f>结果表!E109</f>
        <v>——</v>
      </c>
      <c r="C16" s="1394" t="s">
        <v>922</v>
      </c>
      <c r="D16" s="1395" t="str">
        <f>结果表!H109</f>
        <v>——</v>
      </c>
    </row>
    <row r="17" spans="1:5" ht="15.75">
      <c r="B17" s="3243"/>
      <c r="C17" s="1389" t="s">
        <v>923</v>
      </c>
      <c r="D17" s="794" t="e">
        <f>NUMBERSTRING(INT(D16*10000),2)&amp;"元整"</f>
        <v>#VALUE!</v>
      </c>
    </row>
    <row r="18" spans="1:5" ht="15">
      <c r="B18" s="3244"/>
      <c r="C18" s="1390" t="s">
        <v>912</v>
      </c>
      <c r="D18" s="803" t="str">
        <f>结果表!H110</f>
        <v>——</v>
      </c>
    </row>
    <row r="19" spans="1:5" ht="15.75">
      <c r="B19" s="3235" t="str">
        <f>结果表!E111</f>
        <v>——</v>
      </c>
      <c r="C19" s="1394" t="s">
        <v>910</v>
      </c>
      <c r="D19" s="795" t="str">
        <f>结果表!H111</f>
        <v>——</v>
      </c>
    </row>
    <row r="20" spans="1:5" ht="15.75">
      <c r="B20" s="3236"/>
      <c r="C20" s="1389" t="s">
        <v>923</v>
      </c>
      <c r="D20" s="794" t="e">
        <f>NUMBERSTRING(INT(D19*10000),2)&amp;"元整"</f>
        <v>#VALUE!</v>
      </c>
    </row>
    <row r="21" spans="1:5" ht="15.75" thickBot="1">
      <c r="B21" s="3237"/>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1766</v>
      </c>
      <c r="C1" s="1152" t="s">
        <v>1662</v>
      </c>
      <c r="D1" s="1139"/>
      <c r="E1" s="3120"/>
      <c r="F1" s="1732"/>
      <c r="G1" s="1149" t="s">
        <v>1767</v>
      </c>
      <c r="H1" s="1148"/>
      <c r="I1" s="1148"/>
      <c r="J1" s="1148"/>
      <c r="K1" s="1150"/>
      <c r="L1" s="1151"/>
      <c r="M1" s="1152"/>
      <c r="N1" s="1152"/>
      <c r="O1" s="1152"/>
      <c r="P1" s="1796"/>
      <c r="Q1" s="1797"/>
      <c r="R1" s="1797"/>
      <c r="S1" s="1797"/>
      <c r="T1" s="1797"/>
      <c r="U1" s="1797"/>
      <c r="V1" s="1797"/>
      <c r="W1" s="1797"/>
      <c r="X1" s="1797"/>
      <c r="Y1" s="1797"/>
      <c r="Z1" s="1797"/>
      <c r="AA1" s="1797"/>
      <c r="AB1" s="1797"/>
      <c r="AC1" s="1798"/>
    </row>
    <row r="2" spans="1:29" s="342"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9"/>
      <c r="M2" s="2500"/>
      <c r="N2" s="2500"/>
      <c r="O2" s="2500"/>
      <c r="P2" s="1799"/>
      <c r="Q2" s="856"/>
      <c r="R2" s="856"/>
      <c r="S2" s="856"/>
      <c r="T2" s="856"/>
      <c r="U2" s="856"/>
      <c r="V2" s="856"/>
      <c r="W2" s="856"/>
      <c r="X2" s="856"/>
      <c r="Y2" s="856"/>
      <c r="Z2" s="856"/>
      <c r="AA2" s="856"/>
      <c r="AB2" s="856"/>
      <c r="AC2" s="1800"/>
    </row>
    <row r="3" spans="1:29" s="342" customFormat="1" ht="28.5" customHeight="1" thickBot="1">
      <c r="A3" s="195" t="s">
        <v>1464</v>
      </c>
      <c r="B3" s="534">
        <f>IF(C2="——",C49,ROUND(B2*10000/D3,0))</f>
        <v>0</v>
      </c>
      <c r="C3" s="344" t="s">
        <v>1768</v>
      </c>
      <c r="D3" s="343">
        <f>IF(D1="",'数据-汇总表'!E3,SUMIF('数据-汇总表'!$C19:$C33,D1,'数据-汇总表'!$E19:$E33))</f>
        <v>67554.06999999992</v>
      </c>
      <c r="E3" s="1800"/>
      <c r="F3" s="853"/>
      <c r="G3" s="852"/>
      <c r="H3" s="852"/>
      <c r="I3" s="852"/>
      <c r="J3" s="852"/>
      <c r="K3" s="854"/>
      <c r="L3" s="2499"/>
      <c r="M3" s="2500"/>
      <c r="N3" s="2500"/>
      <c r="O3" s="2500"/>
      <c r="P3" s="1799"/>
      <c r="Q3" s="856"/>
      <c r="R3" s="856"/>
      <c r="S3" s="856"/>
      <c r="T3" s="856"/>
      <c r="U3" s="856"/>
      <c r="V3" s="856"/>
      <c r="W3" s="856"/>
      <c r="X3" s="856"/>
      <c r="Y3" s="856"/>
      <c r="Z3" s="856"/>
      <c r="AA3" s="856"/>
      <c r="AB3" s="856"/>
      <c r="AC3" s="1800"/>
    </row>
    <row r="4" spans="1:29" ht="15">
      <c r="A4" s="345" t="s">
        <v>1769</v>
      </c>
      <c r="B4" s="346"/>
      <c r="C4" s="3468" t="s">
        <v>1770</v>
      </c>
      <c r="D4" s="3469"/>
      <c r="E4" s="3470" t="s">
        <v>1771</v>
      </c>
      <c r="F4" s="3471"/>
      <c r="G4" s="3468" t="s">
        <v>1772</v>
      </c>
      <c r="H4" s="3469"/>
      <c r="I4" s="3468" t="s">
        <v>1773</v>
      </c>
      <c r="J4" s="3469"/>
      <c r="K4" s="535" t="s">
        <v>1774</v>
      </c>
      <c r="L4" s="2482"/>
      <c r="M4" s="2483"/>
      <c r="N4" s="2483"/>
      <c r="O4" s="2483"/>
      <c r="P4" s="3472" t="s">
        <v>1775</v>
      </c>
      <c r="Q4" s="3473"/>
      <c r="R4" s="3454" t="s">
        <v>1771</v>
      </c>
      <c r="S4" s="3455"/>
      <c r="T4" s="3454" t="s">
        <v>1772</v>
      </c>
      <c r="U4" s="3455"/>
      <c r="V4" s="3480" t="s">
        <v>1773</v>
      </c>
      <c r="W4" s="3480"/>
      <c r="X4" s="1262"/>
      <c r="Y4" s="3454" t="s">
        <v>1775</v>
      </c>
      <c r="Z4" s="3455"/>
      <c r="AA4" s="3449" t="s">
        <v>1771</v>
      </c>
      <c r="AB4" s="3480" t="s">
        <v>1772</v>
      </c>
      <c r="AC4" s="3449" t="s">
        <v>1773</v>
      </c>
    </row>
    <row r="5" spans="1:29" ht="15">
      <c r="A5" s="348"/>
      <c r="B5" s="349"/>
      <c r="C5" s="3460" t="s">
        <v>1673</v>
      </c>
      <c r="D5" s="3461"/>
      <c r="E5" s="3518" t="s">
        <v>1674</v>
      </c>
      <c r="F5" s="3459"/>
      <c r="G5" s="3460" t="s">
        <v>1675</v>
      </c>
      <c r="H5" s="3461"/>
      <c r="I5" s="3460" t="s">
        <v>1676</v>
      </c>
      <c r="J5" s="3461"/>
      <c r="K5" s="535"/>
      <c r="L5" s="2482"/>
      <c r="M5" s="2483"/>
      <c r="N5" s="2483"/>
      <c r="O5" s="2483"/>
      <c r="P5" s="3474"/>
      <c r="Q5" s="3475"/>
      <c r="R5" s="3456"/>
      <c r="S5" s="3457"/>
      <c r="T5" s="3456"/>
      <c r="U5" s="3457"/>
      <c r="V5" s="3480"/>
      <c r="W5" s="3480"/>
      <c r="X5" s="1262"/>
      <c r="Y5" s="3456"/>
      <c r="Z5" s="3457"/>
      <c r="AA5" s="3450"/>
      <c r="AB5" s="3480"/>
      <c r="AC5" s="3450"/>
    </row>
    <row r="6" spans="1:29" ht="15.75" thickBot="1">
      <c r="A6" s="350"/>
      <c r="B6" s="351"/>
      <c r="C6" s="3462" t="s">
        <v>1677</v>
      </c>
      <c r="D6" s="3463"/>
      <c r="E6" s="3465" t="s">
        <v>1677</v>
      </c>
      <c r="F6" s="3466"/>
      <c r="G6" s="3462" t="s">
        <v>1677</v>
      </c>
      <c r="H6" s="3463"/>
      <c r="I6" s="3462" t="s">
        <v>1677</v>
      </c>
      <c r="J6" s="3463"/>
      <c r="K6" s="535" t="s">
        <v>1678</v>
      </c>
      <c r="L6" s="2482"/>
      <c r="M6" s="2483"/>
      <c r="N6" s="2483"/>
      <c r="O6" s="2483"/>
      <c r="P6" s="3476"/>
      <c r="Q6" s="3477"/>
      <c r="R6" s="3456"/>
      <c r="S6" s="3457"/>
      <c r="T6" s="3478"/>
      <c r="U6" s="3479"/>
      <c r="V6" s="3480"/>
      <c r="W6" s="3480"/>
      <c r="X6" s="1262"/>
      <c r="Y6" s="3478"/>
      <c r="Z6" s="3479"/>
      <c r="AA6" s="3451"/>
      <c r="AB6" s="3480"/>
      <c r="AC6" s="3451"/>
    </row>
    <row r="7" spans="1:29" s="102" customFormat="1" ht="15.75" thickBot="1">
      <c r="A7" s="352" t="s">
        <v>1679</v>
      </c>
      <c r="B7" s="353"/>
      <c r="C7" s="354">
        <f>'数据-取费表'!B2</f>
        <v>45803</v>
      </c>
      <c r="D7" s="355">
        <v>100</v>
      </c>
      <c r="E7" s="356"/>
      <c r="F7" s="357">
        <f>SUMIF(58:58,YEAR(E7)&amp;"-"&amp;MONTH(E7),59:59)</f>
        <v>0</v>
      </c>
      <c r="G7" s="356"/>
      <c r="H7" s="355">
        <f>SUMIF(58:58,YEAR(G7)&amp;"-"&amp;MONTH(G7),59:59)</f>
        <v>0</v>
      </c>
      <c r="I7" s="356"/>
      <c r="J7" s="355">
        <f>SUMIF(58:58,YEAR(I7)&amp;"-"&amp;MONTH(I7),59:59)</f>
        <v>0</v>
      </c>
      <c r="K7" s="38"/>
      <c r="L7" s="2484"/>
      <c r="M7" s="2435"/>
      <c r="N7" s="2435"/>
      <c r="O7" s="2435"/>
      <c r="P7" s="3452" t="s">
        <v>1680</v>
      </c>
      <c r="Q7" s="3481"/>
      <c r="R7" s="662" t="s">
        <v>14</v>
      </c>
      <c r="S7" s="663">
        <f t="shared" ref="S7:S15" si="0">F7</f>
        <v>0</v>
      </c>
      <c r="T7" s="662" t="s">
        <v>14</v>
      </c>
      <c r="U7" s="663">
        <f t="shared" ref="U7:U15" si="1">H7</f>
        <v>0</v>
      </c>
      <c r="V7" s="662" t="s">
        <v>14</v>
      </c>
      <c r="W7" s="663">
        <f t="shared" ref="W7:W15" si="2">J7</f>
        <v>0</v>
      </c>
      <c r="X7" s="664"/>
      <c r="Y7" s="3452" t="s">
        <v>1680</v>
      </c>
      <c r="Z7" s="345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452" t="s">
        <v>1683</v>
      </c>
      <c r="Q8" s="3453"/>
      <c r="R8" s="662" t="s">
        <v>14</v>
      </c>
      <c r="S8" s="663">
        <f t="shared" si="0"/>
        <v>100</v>
      </c>
      <c r="T8" s="662" t="s">
        <v>14</v>
      </c>
      <c r="U8" s="663">
        <f t="shared" si="1"/>
        <v>100</v>
      </c>
      <c r="V8" s="662" t="s">
        <v>14</v>
      </c>
      <c r="W8" s="663">
        <f t="shared" si="2"/>
        <v>100</v>
      </c>
      <c r="X8" s="664"/>
      <c r="Y8" s="3452" t="s">
        <v>1683</v>
      </c>
      <c r="Z8" s="345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491" t="s">
        <v>1686</v>
      </c>
      <c r="Q9" s="528" t="str">
        <f t="shared" ref="Q9:Q15" si="6">B9</f>
        <v>用途</v>
      </c>
      <c r="R9" s="662" t="s">
        <v>14</v>
      </c>
      <c r="S9" s="663">
        <f t="shared" si="0"/>
        <v>100</v>
      </c>
      <c r="T9" s="662" t="s">
        <v>14</v>
      </c>
      <c r="U9" s="663">
        <f t="shared" si="1"/>
        <v>100</v>
      </c>
      <c r="V9" s="662" t="s">
        <v>14</v>
      </c>
      <c r="W9" s="663">
        <f t="shared" si="2"/>
        <v>100</v>
      </c>
      <c r="X9" s="664"/>
      <c r="Y9" s="3422"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38"/>
      <c r="L10" s="2485"/>
      <c r="M10" s="2486"/>
      <c r="N10" s="2486"/>
      <c r="O10" s="2486"/>
      <c r="P10" s="3491"/>
      <c r="Q10" s="528" t="str">
        <f t="shared" si="6"/>
        <v>土地使用年限（年）</v>
      </c>
      <c r="R10" s="662" t="s">
        <v>14</v>
      </c>
      <c r="S10" s="663">
        <f t="shared" si="0"/>
        <v>100</v>
      </c>
      <c r="T10" s="662" t="s">
        <v>14</v>
      </c>
      <c r="U10" s="663">
        <f t="shared" si="1"/>
        <v>100</v>
      </c>
      <c r="V10" s="662" t="s">
        <v>14</v>
      </c>
      <c r="W10" s="663">
        <f t="shared" si="2"/>
        <v>100</v>
      </c>
      <c r="X10" s="664"/>
      <c r="Y10" s="342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6"/>
      <c r="L11" s="2487"/>
      <c r="M11" s="2483"/>
      <c r="N11" s="2483"/>
      <c r="O11" s="2483"/>
      <c r="P11" s="3491"/>
      <c r="Q11" s="528" t="str">
        <f t="shared" si="6"/>
        <v>容积率</v>
      </c>
      <c r="R11" s="662" t="s">
        <v>14</v>
      </c>
      <c r="S11" s="663" t="e">
        <f t="shared" si="0"/>
        <v>#N/A</v>
      </c>
      <c r="T11" s="662" t="s">
        <v>14</v>
      </c>
      <c r="U11" s="663" t="e">
        <f t="shared" si="1"/>
        <v>#N/A</v>
      </c>
      <c r="V11" s="662" t="s">
        <v>14</v>
      </c>
      <c r="W11" s="663" t="e">
        <f t="shared" si="2"/>
        <v>#N/A</v>
      </c>
      <c r="X11" s="664"/>
      <c r="Y11" s="3422"/>
      <c r="Z11" s="50" t="str">
        <f t="shared" si="7"/>
        <v>容积率</v>
      </c>
      <c r="AA11" s="50" t="e">
        <f t="shared" si="3"/>
        <v>#N/A</v>
      </c>
      <c r="AB11" s="50" t="e">
        <f t="shared" si="4"/>
        <v>#N/A</v>
      </c>
      <c r="AC11" s="50" t="e">
        <f t="shared" si="5"/>
        <v>#N/A</v>
      </c>
    </row>
    <row r="12" spans="1:29" s="102" customFormat="1" ht="15">
      <c r="A12" s="370"/>
      <c r="B12" s="445">
        <v>111</v>
      </c>
      <c r="C12" s="371"/>
      <c r="D12" s="372">
        <v>100</v>
      </c>
      <c r="E12" s="373"/>
      <c r="F12" s="364">
        <f>SUMIF(70:70,E12,71:71)-SUMIF(70:70,C12,71:71)+100</f>
        <v>100</v>
      </c>
      <c r="G12" s="373"/>
      <c r="H12" s="119">
        <f>SUMIF(70:70,G12,71:71)-SUMIF(70:70,C12,71:71)+100</f>
        <v>100</v>
      </c>
      <c r="I12" s="373"/>
      <c r="J12" s="119">
        <f>SUMIF(70:70,I12,71:71)-SUMIF(70:70,C12,71:71)+100</f>
        <v>100</v>
      </c>
      <c r="K12" s="537"/>
      <c r="L12" s="2484"/>
      <c r="M12" s="2435"/>
      <c r="N12" s="2435"/>
      <c r="O12" s="2435"/>
      <c r="P12" s="3491"/>
      <c r="Q12" s="528">
        <f t="shared" si="6"/>
        <v>111</v>
      </c>
      <c r="R12" s="662" t="s">
        <v>14</v>
      </c>
      <c r="S12" s="663">
        <f t="shared" si="0"/>
        <v>100</v>
      </c>
      <c r="T12" s="662" t="s">
        <v>14</v>
      </c>
      <c r="U12" s="663">
        <f t="shared" si="1"/>
        <v>100</v>
      </c>
      <c r="V12" s="662" t="s">
        <v>14</v>
      </c>
      <c r="W12" s="663">
        <f t="shared" si="2"/>
        <v>100</v>
      </c>
      <c r="X12" s="664"/>
      <c r="Y12" s="3422"/>
      <c r="Z12" s="50">
        <f t="shared" si="7"/>
        <v>111</v>
      </c>
      <c r="AA12" s="50">
        <f>D12/F12</f>
        <v>1</v>
      </c>
      <c r="AB12" s="50">
        <f>D12/H12</f>
        <v>1</v>
      </c>
      <c r="AC12" s="50">
        <f>D12/J12</f>
        <v>1</v>
      </c>
    </row>
    <row r="13" spans="1:29" ht="15">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537"/>
      <c r="L13" s="2488"/>
      <c r="M13" s="2483"/>
      <c r="N13" s="2483"/>
      <c r="O13" s="2483"/>
      <c r="P13" s="3491"/>
      <c r="Q13" s="528">
        <f t="shared" si="6"/>
        <v>111</v>
      </c>
      <c r="R13" s="662" t="s">
        <v>14</v>
      </c>
      <c r="S13" s="663">
        <f t="shared" si="0"/>
        <v>100</v>
      </c>
      <c r="T13" s="662" t="s">
        <v>14</v>
      </c>
      <c r="U13" s="663">
        <f t="shared" si="1"/>
        <v>100</v>
      </c>
      <c r="V13" s="662" t="s">
        <v>14</v>
      </c>
      <c r="W13" s="663">
        <f t="shared" si="2"/>
        <v>100</v>
      </c>
      <c r="X13" s="664"/>
      <c r="Y13" s="3422"/>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7"/>
      <c r="L14" s="2488"/>
      <c r="M14" s="2483"/>
      <c r="N14" s="2483"/>
      <c r="O14" s="2483"/>
      <c r="P14" s="3491"/>
      <c r="Q14" s="528">
        <f t="shared" si="6"/>
        <v>111</v>
      </c>
      <c r="R14" s="662" t="s">
        <v>14</v>
      </c>
      <c r="S14" s="663">
        <f t="shared" si="0"/>
        <v>100</v>
      </c>
      <c r="T14" s="662" t="s">
        <v>14</v>
      </c>
      <c r="U14" s="663">
        <f t="shared" si="1"/>
        <v>100</v>
      </c>
      <c r="V14" s="662" t="s">
        <v>14</v>
      </c>
      <c r="W14" s="663">
        <f t="shared" si="2"/>
        <v>100</v>
      </c>
      <c r="X14" s="664"/>
      <c r="Y14" s="3422"/>
      <c r="Z14" s="50">
        <f t="shared" si="7"/>
        <v>111</v>
      </c>
      <c r="AA14" s="50">
        <f t="shared" si="3"/>
        <v>1</v>
      </c>
      <c r="AB14" s="50">
        <f t="shared" si="4"/>
        <v>1</v>
      </c>
      <c r="AC14" s="50">
        <f t="shared" si="5"/>
        <v>1</v>
      </c>
    </row>
    <row r="15" spans="1:29" ht="15">
      <c r="A15" s="379" t="s">
        <v>1690</v>
      </c>
      <c r="B15" s="58" t="s">
        <v>1777</v>
      </c>
      <c r="C15" s="1747">
        <f>估价对象房地状况!C4</f>
        <v>0</v>
      </c>
      <c r="D15" s="380">
        <v>100</v>
      </c>
      <c r="E15" s="381"/>
      <c r="F15" s="382">
        <f>SUMIF(76:76,E16,77:77)-SUMIF(76:76,C16,77:77)+100</f>
        <v>100</v>
      </c>
      <c r="G15" s="383"/>
      <c r="H15" s="380">
        <f>SUMIF(76:76,G16,77:77)-SUMIF(76:76,C16,77:77)+100</f>
        <v>100</v>
      </c>
      <c r="I15" s="381"/>
      <c r="J15" s="380">
        <f>SUMIF(76:76,I16,77:77)-SUMIF(76:76,C16,77:77)+100</f>
        <v>100</v>
      </c>
      <c r="K15" s="538"/>
      <c r="L15" s="2488"/>
      <c r="M15" s="2483"/>
      <c r="N15" s="2483"/>
      <c r="O15" s="2483"/>
      <c r="P15" s="3524" t="s">
        <v>1691</v>
      </c>
      <c r="Q15" s="1260" t="str">
        <f t="shared" si="6"/>
        <v>商业繁华度</v>
      </c>
      <c r="R15" s="665" t="s">
        <v>14</v>
      </c>
      <c r="S15" s="666">
        <f t="shared" si="0"/>
        <v>100</v>
      </c>
      <c r="T15" s="665" t="s">
        <v>14</v>
      </c>
      <c r="U15" s="666">
        <f t="shared" si="1"/>
        <v>100</v>
      </c>
      <c r="V15" s="665" t="s">
        <v>14</v>
      </c>
      <c r="W15" s="666">
        <f t="shared" si="2"/>
        <v>100</v>
      </c>
      <c r="X15" s="1262"/>
      <c r="Y15" s="3482" t="s">
        <v>1691</v>
      </c>
      <c r="Z15" s="1261" t="str">
        <f t="shared" si="7"/>
        <v>商业繁华度</v>
      </c>
      <c r="AA15" s="1261">
        <f t="shared" si="3"/>
        <v>1</v>
      </c>
      <c r="AB15" s="1261">
        <f t="shared" si="4"/>
        <v>1</v>
      </c>
      <c r="AC15" s="1261">
        <f t="shared" si="5"/>
        <v>1</v>
      </c>
    </row>
    <row r="16" spans="1:29" ht="15">
      <c r="A16" s="367"/>
      <c r="B16" s="385"/>
      <c r="C16" s="386"/>
      <c r="D16" s="387"/>
      <c r="E16" s="386"/>
      <c r="F16" s="388"/>
      <c r="G16" s="386"/>
      <c r="H16" s="389"/>
      <c r="I16" s="386"/>
      <c r="J16" s="387"/>
      <c r="K16" s="539"/>
      <c r="L16" s="2488"/>
      <c r="M16" s="2483"/>
      <c r="N16" s="2483"/>
      <c r="O16" s="2483"/>
      <c r="P16" s="3525"/>
      <c r="Q16" s="1260"/>
      <c r="R16" s="665"/>
      <c r="S16" s="666"/>
      <c r="T16" s="665"/>
      <c r="U16" s="666"/>
      <c r="V16" s="665"/>
      <c r="W16" s="666"/>
      <c r="X16" s="1262"/>
      <c r="Y16" s="3483"/>
      <c r="Z16" s="1261"/>
      <c r="AA16" s="1261">
        <v>1</v>
      </c>
      <c r="AB16" s="1261">
        <v>1</v>
      </c>
      <c r="AC16" s="1261">
        <v>1</v>
      </c>
    </row>
    <row r="17" spans="1:29" ht="15">
      <c r="A17" s="367"/>
      <c r="B17" s="390" t="s">
        <v>1259</v>
      </c>
      <c r="C17" s="1751">
        <f>估价对象房地状况!C6</f>
        <v>0</v>
      </c>
      <c r="D17" s="389">
        <v>100</v>
      </c>
      <c r="E17" s="391"/>
      <c r="F17" s="392">
        <f>SUMIF(78:78,E18,79:79)-SUMIF(78:78,C18,79:79)+100</f>
        <v>100</v>
      </c>
      <c r="G17" s="393"/>
      <c r="H17" s="394">
        <f>SUMIF(78:78,G18,79:79)-SUMIF(78:78,C18,79:79)+100</f>
        <v>100</v>
      </c>
      <c r="I17" s="391"/>
      <c r="J17" s="394">
        <f>SUMIF(78:78,I18,79:79)-SUMIF(78:78,C18,79:79)+100</f>
        <v>100</v>
      </c>
      <c r="K17" s="538"/>
      <c r="L17" s="2488"/>
      <c r="M17" s="2483"/>
      <c r="N17" s="2483"/>
      <c r="O17" s="2483"/>
      <c r="P17" s="3525"/>
      <c r="Q17" s="1260" t="str">
        <f>B17</f>
        <v>交通便捷度</v>
      </c>
      <c r="R17" s="665" t="s">
        <v>14</v>
      </c>
      <c r="S17" s="666">
        <f>F17</f>
        <v>100</v>
      </c>
      <c r="T17" s="665" t="s">
        <v>14</v>
      </c>
      <c r="U17" s="666">
        <f>H17</f>
        <v>100</v>
      </c>
      <c r="V17" s="665" t="s">
        <v>14</v>
      </c>
      <c r="W17" s="666">
        <f>J17</f>
        <v>100</v>
      </c>
      <c r="X17" s="1262"/>
      <c r="Y17" s="3483"/>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39"/>
      <c r="L18" s="2488"/>
      <c r="M18" s="2483"/>
      <c r="N18" s="2483"/>
      <c r="O18" s="2483"/>
      <c r="P18" s="3525"/>
      <c r="Q18" s="1260"/>
      <c r="R18" s="665"/>
      <c r="S18" s="666"/>
      <c r="T18" s="665"/>
      <c r="U18" s="666"/>
      <c r="V18" s="665"/>
      <c r="W18" s="666"/>
      <c r="X18" s="1262"/>
      <c r="Y18" s="3483"/>
      <c r="Z18" s="1261"/>
      <c r="AA18" s="1261">
        <v>1</v>
      </c>
      <c r="AB18" s="1261">
        <v>1</v>
      </c>
      <c r="AC18" s="1261">
        <v>1</v>
      </c>
    </row>
    <row r="19" spans="1:29" ht="15">
      <c r="A19" s="367"/>
      <c r="B19" s="390" t="s">
        <v>1778</v>
      </c>
      <c r="C19" s="1751">
        <f>估价对象房地状况!C7</f>
        <v>0</v>
      </c>
      <c r="D19" s="394">
        <v>100</v>
      </c>
      <c r="E19" s="396"/>
      <c r="F19" s="397">
        <f>SUMIF(80:80,E20,81:81)-SUMIF(80:80,C20,81:81)+100</f>
        <v>100</v>
      </c>
      <c r="G19" s="398"/>
      <c r="H19" s="389">
        <f>SUMIF(80:80,G20,81:81)-SUMIF(80:80,C20,81:81)+100</f>
        <v>100</v>
      </c>
      <c r="I19" s="396"/>
      <c r="J19" s="389">
        <f>SUMIF(80:80,I20,81:81)-SUMIF(80:80,C20,81:81)+100</f>
        <v>100</v>
      </c>
      <c r="K19" s="538"/>
      <c r="L19" s="2488"/>
      <c r="M19" s="2483"/>
      <c r="N19" s="2483"/>
      <c r="O19" s="2483"/>
      <c r="P19" s="3525"/>
      <c r="Q19" s="1260" t="str">
        <f>B19</f>
        <v>公共配套设施</v>
      </c>
      <c r="R19" s="665" t="s">
        <v>14</v>
      </c>
      <c r="S19" s="666">
        <f>F19</f>
        <v>100</v>
      </c>
      <c r="T19" s="665" t="s">
        <v>14</v>
      </c>
      <c r="U19" s="666">
        <f>H19</f>
        <v>100</v>
      </c>
      <c r="V19" s="665" t="s">
        <v>14</v>
      </c>
      <c r="W19" s="666">
        <f>J19</f>
        <v>100</v>
      </c>
      <c r="X19" s="1262"/>
      <c r="Y19" s="3483"/>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39"/>
      <c r="L20" s="2488"/>
      <c r="M20" s="2483"/>
      <c r="N20" s="2483"/>
      <c r="O20" s="2483"/>
      <c r="P20" s="3525"/>
      <c r="Q20" s="1260"/>
      <c r="R20" s="665"/>
      <c r="S20" s="666"/>
      <c r="T20" s="665"/>
      <c r="U20" s="666"/>
      <c r="V20" s="665"/>
      <c r="W20" s="666"/>
      <c r="X20" s="1262"/>
      <c r="Y20" s="3483"/>
      <c r="Z20" s="1261"/>
      <c r="AA20" s="1261">
        <v>1</v>
      </c>
      <c r="AB20" s="1261">
        <v>1</v>
      </c>
      <c r="AC20" s="1261">
        <v>1</v>
      </c>
    </row>
    <row r="21" spans="1:29" ht="15">
      <c r="A21" s="367"/>
      <c r="B21" s="584" t="s">
        <v>1779</v>
      </c>
      <c r="C21" s="1751">
        <f>估价对象房地状况!C8</f>
        <v>0</v>
      </c>
      <c r="D21" s="394">
        <v>100</v>
      </c>
      <c r="E21" s="396"/>
      <c r="F21" s="397">
        <f>SUMIF(82:82,E22,83:83)-SUMIF(82:82,C22,83:83)+100</f>
        <v>100</v>
      </c>
      <c r="G21" s="398"/>
      <c r="H21" s="389">
        <f>SUMIF(82:82,G22,83:83)-SUMIF(82:82,C22,83:83)+100</f>
        <v>100</v>
      </c>
      <c r="I21" s="396"/>
      <c r="J21" s="389">
        <f>SUMIF(82:82,I22,83:83)-SUMIF(82:82,C22,83:83)+100</f>
        <v>100</v>
      </c>
      <c r="K21" s="538"/>
      <c r="L21" s="2488"/>
      <c r="M21" s="2483"/>
      <c r="N21" s="2483"/>
      <c r="O21" s="2483"/>
      <c r="P21" s="3525"/>
      <c r="Q21" s="1260" t="str">
        <f>B21</f>
        <v>基础设施水平</v>
      </c>
      <c r="R21" s="665" t="s">
        <v>14</v>
      </c>
      <c r="S21" s="666">
        <f>F21</f>
        <v>100</v>
      </c>
      <c r="T21" s="665" t="s">
        <v>14</v>
      </c>
      <c r="U21" s="666">
        <f>H21</f>
        <v>100</v>
      </c>
      <c r="V21" s="665" t="s">
        <v>14</v>
      </c>
      <c r="W21" s="666">
        <f>J21</f>
        <v>100</v>
      </c>
      <c r="X21" s="1262"/>
      <c r="Y21" s="3483"/>
      <c r="Z21" s="1261" t="str">
        <f>Q21</f>
        <v>基础设施水平</v>
      </c>
      <c r="AA21" s="1261">
        <f t="shared" ref="AA21" si="8">D21/F21</f>
        <v>1</v>
      </c>
      <c r="AB21" s="1261">
        <f t="shared" ref="AB21" si="9">D21/H21</f>
        <v>1</v>
      </c>
      <c r="AC21" s="1261">
        <f t="shared" ref="AC21" si="10">D21/J21</f>
        <v>1</v>
      </c>
    </row>
    <row r="22" spans="1:29" ht="15">
      <c r="A22" s="367"/>
      <c r="B22" s="584"/>
      <c r="C22" s="1752"/>
      <c r="D22" s="387"/>
      <c r="E22" s="386"/>
      <c r="F22" s="388"/>
      <c r="G22" s="386"/>
      <c r="H22" s="387"/>
      <c r="I22" s="386"/>
      <c r="J22" s="387"/>
      <c r="K22" s="1061"/>
      <c r="L22" s="2488"/>
      <c r="M22" s="2483"/>
      <c r="N22" s="2483"/>
      <c r="O22" s="2483"/>
      <c r="P22" s="3525"/>
      <c r="Q22" s="1260"/>
      <c r="R22" s="665"/>
      <c r="S22" s="666"/>
      <c r="T22" s="665"/>
      <c r="U22" s="666"/>
      <c r="V22" s="665"/>
      <c r="W22" s="666"/>
      <c r="X22" s="1262"/>
      <c r="Y22" s="3483"/>
      <c r="Z22" s="1261"/>
      <c r="AA22" s="1261">
        <v>1</v>
      </c>
      <c r="AB22" s="1261">
        <v>1</v>
      </c>
      <c r="AC22" s="1261">
        <v>1</v>
      </c>
    </row>
    <row r="23" spans="1:29" ht="15">
      <c r="A23" s="367"/>
      <c r="B23" s="390" t="s">
        <v>1261</v>
      </c>
      <c r="C23" s="1801">
        <f>估价对象房地状况!C9</f>
        <v>0</v>
      </c>
      <c r="D23" s="389">
        <v>100</v>
      </c>
      <c r="E23" s="391"/>
      <c r="F23" s="392">
        <f>SUMIF(84:84,E24,85:85)-SUMIF(84:84,C24,85:85)+100</f>
        <v>100</v>
      </c>
      <c r="G23" s="393"/>
      <c r="H23" s="389">
        <f>SUMIF(84:84,G24,85:85)-SUMIF(84:84,C24,85:85)+100</f>
        <v>100</v>
      </c>
      <c r="I23" s="391"/>
      <c r="J23" s="389">
        <f>SUMIF(84:84,I24,85:85)-SUMIF(84:84,C24,85:85)+100</f>
        <v>100</v>
      </c>
      <c r="K23" s="538"/>
      <c r="L23" s="2488"/>
      <c r="M23" s="2483"/>
      <c r="N23" s="2483"/>
      <c r="O23" s="2483"/>
      <c r="P23" s="3525"/>
      <c r="Q23" s="1260" t="str">
        <f>B23</f>
        <v>自然及人文环境</v>
      </c>
      <c r="R23" s="665" t="s">
        <v>14</v>
      </c>
      <c r="S23" s="666">
        <f>F23</f>
        <v>100</v>
      </c>
      <c r="T23" s="665" t="s">
        <v>14</v>
      </c>
      <c r="U23" s="666">
        <f>H23</f>
        <v>100</v>
      </c>
      <c r="V23" s="665" t="s">
        <v>14</v>
      </c>
      <c r="W23" s="666">
        <f>J23</f>
        <v>100</v>
      </c>
      <c r="X23" s="1262"/>
      <c r="Y23" s="3483"/>
      <c r="Z23" s="1261" t="str">
        <f>Q23</f>
        <v>自然及人文环境</v>
      </c>
      <c r="AA23" s="1261">
        <f t="shared" si="3"/>
        <v>1</v>
      </c>
      <c r="AB23" s="1261">
        <f t="shared" si="4"/>
        <v>1</v>
      </c>
      <c r="AC23" s="1261">
        <f t="shared" si="5"/>
        <v>1</v>
      </c>
    </row>
    <row r="24" spans="1:29" ht="15">
      <c r="A24" s="367"/>
      <c r="B24" s="395"/>
      <c r="C24" s="386"/>
      <c r="D24" s="387"/>
      <c r="E24" s="1749"/>
      <c r="F24" s="388"/>
      <c r="G24" s="1748"/>
      <c r="H24" s="387"/>
      <c r="I24" s="1749"/>
      <c r="J24" s="387"/>
      <c r="K24" s="539"/>
      <c r="L24" s="2488"/>
      <c r="M24" s="2483"/>
      <c r="N24" s="2483"/>
      <c r="O24" s="2483"/>
      <c r="P24" s="3525"/>
      <c r="Q24" s="1260"/>
      <c r="R24" s="665"/>
      <c r="S24" s="666"/>
      <c r="T24" s="665"/>
      <c r="U24" s="666"/>
      <c r="V24" s="665"/>
      <c r="W24" s="666"/>
      <c r="X24" s="1262"/>
      <c r="Y24" s="3483"/>
      <c r="Z24" s="1261"/>
      <c r="AA24" s="1261">
        <v>1</v>
      </c>
      <c r="AB24" s="1261">
        <v>1</v>
      </c>
      <c r="AC24" s="1261">
        <v>1</v>
      </c>
    </row>
    <row r="25" spans="1:29" ht="15">
      <c r="A25" s="367"/>
      <c r="B25" s="364" t="s">
        <v>1780</v>
      </c>
      <c r="C25" s="540"/>
      <c r="D25" s="374">
        <v>100</v>
      </c>
      <c r="E25" s="540"/>
      <c r="F25" s="400">
        <f>SUMIF(86:86,E25,87:87)-SUMIF(86:86,C25,87:87)+100</f>
        <v>100</v>
      </c>
      <c r="G25" s="540"/>
      <c r="H25" s="374">
        <f>SUMIF(86:86,G25,87:87)-SUMIF(86:86,C25,87:87)+100</f>
        <v>100</v>
      </c>
      <c r="I25" s="540"/>
      <c r="J25" s="374">
        <f>SUMIF(86:86,I25,87:87)-SUMIF(86:86,C25,87:87)+100</f>
        <v>100</v>
      </c>
      <c r="K25" s="536"/>
      <c r="L25" s="2488"/>
      <c r="M25" s="2483"/>
      <c r="N25" s="2483"/>
      <c r="O25" s="2483"/>
      <c r="P25" s="3525"/>
      <c r="Q25" s="1260" t="str">
        <f t="shared" ref="Q25:Q46" si="11">B25</f>
        <v>临街状况</v>
      </c>
      <c r="R25" s="665" t="s">
        <v>14</v>
      </c>
      <c r="S25" s="666">
        <f>F25</f>
        <v>100</v>
      </c>
      <c r="T25" s="665" t="s">
        <v>14</v>
      </c>
      <c r="U25" s="666">
        <f>H25</f>
        <v>100</v>
      </c>
      <c r="V25" s="665" t="s">
        <v>14</v>
      </c>
      <c r="W25" s="666">
        <f>J25</f>
        <v>100</v>
      </c>
      <c r="X25" s="1262"/>
      <c r="Y25" s="3483"/>
      <c r="Z25" s="1261" t="str">
        <f>Q25</f>
        <v>临街状况</v>
      </c>
      <c r="AA25" s="1261">
        <f t="shared" si="3"/>
        <v>1</v>
      </c>
      <c r="AB25" s="1261">
        <f t="shared" si="4"/>
        <v>1</v>
      </c>
      <c r="AC25" s="1261">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7"/>
      <c r="L26" s="2488"/>
      <c r="M26" s="2483"/>
      <c r="N26" s="2483"/>
      <c r="O26" s="2483"/>
      <c r="P26" s="3525"/>
      <c r="Q26" s="1260" t="str">
        <f t="shared" si="11"/>
        <v>平面位置/可视性</v>
      </c>
      <c r="R26" s="665" t="s">
        <v>14</v>
      </c>
      <c r="S26" s="666">
        <f>F26</f>
        <v>100</v>
      </c>
      <c r="T26" s="665" t="s">
        <v>14</v>
      </c>
      <c r="U26" s="666">
        <f>H26</f>
        <v>100</v>
      </c>
      <c r="V26" s="665" t="s">
        <v>14</v>
      </c>
      <c r="W26" s="666">
        <f>J26</f>
        <v>100</v>
      </c>
      <c r="X26" s="1262"/>
      <c r="Y26" s="3483"/>
      <c r="Z26" s="1261" t="str">
        <f>Q26</f>
        <v>平面位置/可视性</v>
      </c>
      <c r="AA26" s="1261">
        <f t="shared" si="3"/>
        <v>1</v>
      </c>
      <c r="AB26" s="1261">
        <f t="shared" si="4"/>
        <v>1</v>
      </c>
      <c r="AC26" s="1261">
        <f t="shared" si="5"/>
        <v>1</v>
      </c>
    </row>
    <row r="27" spans="1:29" s="102" customFormat="1" ht="15">
      <c r="A27" s="370"/>
      <c r="B27" s="390" t="s">
        <v>1782</v>
      </c>
      <c r="C27" s="1802"/>
      <c r="D27" s="401">
        <v>100</v>
      </c>
      <c r="E27" s="1802"/>
      <c r="F27" s="395">
        <f>SUMIF(90:90,E27,91:91)-SUMIF(90:90,C27,91:91)+100</f>
        <v>100</v>
      </c>
      <c r="G27" s="1802"/>
      <c r="H27" s="401">
        <f>SUMIF(90:90,G27,91:91)-SUMIF(90:90,C27,91:91)+100</f>
        <v>100</v>
      </c>
      <c r="I27" s="1802"/>
      <c r="J27" s="401">
        <f>SUMIF(90:90,I27,91:91)-SUMIF(90:90,C27,91:91)+100</f>
        <v>100</v>
      </c>
      <c r="K27" s="536"/>
      <c r="L27" s="2484"/>
      <c r="M27" s="2435"/>
      <c r="N27" s="2435"/>
      <c r="O27" s="2435"/>
      <c r="P27" s="3525"/>
      <c r="Q27" s="528" t="str">
        <f t="shared" si="11"/>
        <v>人流量</v>
      </c>
      <c r="R27" s="662" t="s">
        <v>14</v>
      </c>
      <c r="S27" s="663">
        <f>F27</f>
        <v>100</v>
      </c>
      <c r="T27" s="662" t="s">
        <v>14</v>
      </c>
      <c r="U27" s="663">
        <f>H27</f>
        <v>100</v>
      </c>
      <c r="V27" s="662" t="s">
        <v>14</v>
      </c>
      <c r="W27" s="663">
        <f>J27</f>
        <v>100</v>
      </c>
      <c r="X27" s="664"/>
      <c r="Y27" s="3483"/>
      <c r="Z27" s="50" t="str">
        <f>Q27</f>
        <v>人流量</v>
      </c>
      <c r="AA27" s="1261">
        <f>D27/F27</f>
        <v>1</v>
      </c>
      <c r="AB27" s="1261">
        <f>D27/H27</f>
        <v>1</v>
      </c>
      <c r="AC27" s="1261">
        <f>D27/J27</f>
        <v>1</v>
      </c>
    </row>
    <row r="28" spans="1:29" ht="15">
      <c r="A28" s="367"/>
      <c r="B28" s="364" t="s">
        <v>1783</v>
      </c>
      <c r="C28" s="540"/>
      <c r="D28" s="374">
        <v>100</v>
      </c>
      <c r="E28" s="540"/>
      <c r="F28" s="400">
        <f>SUMIF(92:92,E28,93:93)-SUMIF(92:92,C28,93:93)+100</f>
        <v>100</v>
      </c>
      <c r="G28" s="540"/>
      <c r="H28" s="374">
        <f>SUMIF(92:92,G28,93:93)-SUMIF(92:92,C28,93:93)+100</f>
        <v>100</v>
      </c>
      <c r="I28" s="540"/>
      <c r="J28" s="374">
        <f>SUMIF(92:92,I28,93:93)-SUMIF(92:92,C28,93:93)+100</f>
        <v>100</v>
      </c>
      <c r="K28" s="537"/>
      <c r="L28" s="2488"/>
      <c r="M28" s="2483"/>
      <c r="N28" s="2483"/>
      <c r="O28" s="2483"/>
      <c r="P28" s="3525"/>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83"/>
      <c r="Z28" s="1261" t="str">
        <f t="shared" ref="Z28:Z46" si="15">Q28</f>
        <v>楼层</v>
      </c>
      <c r="AA28" s="1261">
        <f t="shared" si="3"/>
        <v>1</v>
      </c>
      <c r="AB28" s="1261">
        <f t="shared" si="4"/>
        <v>1</v>
      </c>
      <c r="AC28" s="1261">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7"/>
      <c r="L29" s="2488"/>
      <c r="M29" s="2483"/>
      <c r="N29" s="2483"/>
      <c r="O29" s="2483"/>
      <c r="P29" s="3525"/>
      <c r="Q29" s="1260">
        <f t="shared" si="11"/>
        <v>111</v>
      </c>
      <c r="R29" s="665" t="s">
        <v>14</v>
      </c>
      <c r="S29" s="666">
        <f t="shared" si="12"/>
        <v>100</v>
      </c>
      <c r="T29" s="665" t="s">
        <v>14</v>
      </c>
      <c r="U29" s="666">
        <f t="shared" si="13"/>
        <v>100</v>
      </c>
      <c r="V29" s="665" t="s">
        <v>14</v>
      </c>
      <c r="W29" s="666">
        <f t="shared" si="14"/>
        <v>100</v>
      </c>
      <c r="X29" s="1262"/>
      <c r="Y29" s="3483"/>
      <c r="Z29" s="1261">
        <f t="shared" si="15"/>
        <v>111</v>
      </c>
      <c r="AA29" s="1261">
        <f t="shared" si="3"/>
        <v>1</v>
      </c>
      <c r="AB29" s="1261">
        <f t="shared" si="4"/>
        <v>1</v>
      </c>
      <c r="AC29" s="1261">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7"/>
      <c r="L30" s="2488"/>
      <c r="M30" s="2483"/>
      <c r="N30" s="2483"/>
      <c r="O30" s="2483"/>
      <c r="P30" s="3525"/>
      <c r="Q30" s="1260">
        <f t="shared" si="11"/>
        <v>111</v>
      </c>
      <c r="R30" s="665" t="s">
        <v>14</v>
      </c>
      <c r="S30" s="666">
        <f t="shared" si="12"/>
        <v>100</v>
      </c>
      <c r="T30" s="665" t="s">
        <v>14</v>
      </c>
      <c r="U30" s="666">
        <f t="shared" si="13"/>
        <v>100</v>
      </c>
      <c r="V30" s="665" t="s">
        <v>14</v>
      </c>
      <c r="W30" s="666">
        <f t="shared" si="14"/>
        <v>100</v>
      </c>
      <c r="X30" s="1262"/>
      <c r="Y30" s="3483"/>
      <c r="Z30" s="1261">
        <f t="shared" si="15"/>
        <v>111</v>
      </c>
      <c r="AA30" s="1261">
        <f t="shared" si="3"/>
        <v>1</v>
      </c>
      <c r="AB30" s="1261">
        <f t="shared" si="4"/>
        <v>1</v>
      </c>
      <c r="AC30" s="1261">
        <f t="shared" si="5"/>
        <v>1</v>
      </c>
    </row>
    <row r="31" spans="1:29" ht="15.75"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7"/>
      <c r="L31" s="2488"/>
      <c r="M31" s="2483"/>
      <c r="N31" s="2483"/>
      <c r="O31" s="2483"/>
      <c r="P31" s="3525"/>
      <c r="Q31" s="1260">
        <f t="shared" si="11"/>
        <v>111</v>
      </c>
      <c r="R31" s="665" t="s">
        <v>14</v>
      </c>
      <c r="S31" s="666">
        <f t="shared" si="12"/>
        <v>100</v>
      </c>
      <c r="T31" s="665" t="s">
        <v>14</v>
      </c>
      <c r="U31" s="666">
        <f t="shared" si="13"/>
        <v>100</v>
      </c>
      <c r="V31" s="665" t="s">
        <v>14</v>
      </c>
      <c r="W31" s="666">
        <f t="shared" si="14"/>
        <v>100</v>
      </c>
      <c r="X31" s="1262"/>
      <c r="Y31" s="3483"/>
      <c r="Z31" s="1261">
        <f t="shared" si="15"/>
        <v>111</v>
      </c>
      <c r="AA31" s="1261">
        <f t="shared" si="3"/>
        <v>1</v>
      </c>
      <c r="AB31" s="1261">
        <f t="shared" si="4"/>
        <v>1</v>
      </c>
      <c r="AC31" s="1261">
        <f t="shared" si="5"/>
        <v>1</v>
      </c>
    </row>
    <row r="32" spans="1:29" ht="15">
      <c r="A32" s="379" t="s">
        <v>1694</v>
      </c>
      <c r="B32" s="60" t="s">
        <v>1784</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6"/>
      <c r="L32" s="2488"/>
      <c r="M32" s="2483"/>
      <c r="N32" s="2483"/>
      <c r="O32" s="2483"/>
      <c r="P32" s="3520" t="s">
        <v>1696</v>
      </c>
      <c r="Q32" s="1260" t="str">
        <f t="shared" si="11"/>
        <v>商业类型</v>
      </c>
      <c r="R32" s="665" t="s">
        <v>14</v>
      </c>
      <c r="S32" s="666">
        <f t="shared" si="12"/>
        <v>100</v>
      </c>
      <c r="T32" s="665" t="s">
        <v>14</v>
      </c>
      <c r="U32" s="666">
        <f t="shared" si="13"/>
        <v>100</v>
      </c>
      <c r="V32" s="665" t="s">
        <v>14</v>
      </c>
      <c r="W32" s="666">
        <f t="shared" si="14"/>
        <v>100</v>
      </c>
      <c r="X32" s="1262"/>
      <c r="Y32" s="3485" t="s">
        <v>1696</v>
      </c>
      <c r="Z32" s="1261" t="str">
        <f t="shared" si="15"/>
        <v>商业类型</v>
      </c>
      <c r="AA32" s="1261">
        <f t="shared" si="3"/>
        <v>1</v>
      </c>
      <c r="AB32" s="1261">
        <f t="shared" si="4"/>
        <v>1</v>
      </c>
      <c r="AC32" s="1261">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7"/>
      <c r="L33" s="2487"/>
      <c r="M33" s="2489"/>
      <c r="N33" s="2489"/>
      <c r="O33" s="2489"/>
      <c r="P33" s="3521"/>
      <c r="Q33" s="529" t="str">
        <f t="shared" si="11"/>
        <v>项目建筑规模</v>
      </c>
      <c r="R33" s="667" t="s">
        <v>14</v>
      </c>
      <c r="S33" s="668" t="e">
        <f t="shared" si="12"/>
        <v>#N/A</v>
      </c>
      <c r="T33" s="667" t="s">
        <v>14</v>
      </c>
      <c r="U33" s="668" t="e">
        <f t="shared" si="13"/>
        <v>#N/A</v>
      </c>
      <c r="V33" s="667" t="s">
        <v>14</v>
      </c>
      <c r="W33" s="668" t="e">
        <f t="shared" si="14"/>
        <v>#N/A</v>
      </c>
      <c r="X33" s="669"/>
      <c r="Y33" s="3485"/>
      <c r="Z33" s="670" t="str">
        <f t="shared" si="15"/>
        <v>项目建筑规模</v>
      </c>
      <c r="AA33" s="1261" t="e">
        <f t="shared" si="3"/>
        <v>#N/A</v>
      </c>
      <c r="AB33" s="1261" t="e">
        <f t="shared" si="4"/>
        <v>#N/A</v>
      </c>
      <c r="AC33" s="1261"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6"/>
      <c r="L34" s="2488"/>
      <c r="M34" s="2483"/>
      <c r="N34" s="2483"/>
      <c r="O34" s="2483"/>
      <c r="P34" s="3521"/>
      <c r="Q34" s="1260" t="str">
        <f t="shared" si="11"/>
        <v>建筑结构</v>
      </c>
      <c r="R34" s="665" t="s">
        <v>14</v>
      </c>
      <c r="S34" s="666">
        <f t="shared" si="12"/>
        <v>100</v>
      </c>
      <c r="T34" s="665" t="s">
        <v>14</v>
      </c>
      <c r="U34" s="666">
        <f t="shared" si="13"/>
        <v>100</v>
      </c>
      <c r="V34" s="665" t="s">
        <v>14</v>
      </c>
      <c r="W34" s="666">
        <f t="shared" si="14"/>
        <v>100</v>
      </c>
      <c r="X34" s="1262"/>
      <c r="Y34" s="3485"/>
      <c r="Z34" s="1261" t="str">
        <f t="shared" si="15"/>
        <v>建筑结构</v>
      </c>
      <c r="AA34" s="1261">
        <f t="shared" si="3"/>
        <v>1</v>
      </c>
      <c r="AB34" s="1261">
        <f t="shared" si="4"/>
        <v>1</v>
      </c>
      <c r="AC34" s="1261">
        <f t="shared" si="5"/>
        <v>1</v>
      </c>
    </row>
    <row r="35" spans="1:29" ht="15">
      <c r="A35" s="409"/>
      <c r="B35" s="364" t="s">
        <v>1785</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6"/>
      <c r="L35" s="2488"/>
      <c r="M35" s="2483"/>
      <c r="N35" s="2483"/>
      <c r="O35" s="2483"/>
      <c r="P35" s="3521"/>
      <c r="Q35" s="1260" t="str">
        <f t="shared" si="11"/>
        <v>公共部分装修</v>
      </c>
      <c r="R35" s="665" t="s">
        <v>14</v>
      </c>
      <c r="S35" s="666">
        <f t="shared" si="12"/>
        <v>100</v>
      </c>
      <c r="T35" s="665" t="s">
        <v>14</v>
      </c>
      <c r="U35" s="666">
        <f t="shared" si="13"/>
        <v>100</v>
      </c>
      <c r="V35" s="665" t="s">
        <v>14</v>
      </c>
      <c r="W35" s="666">
        <f t="shared" si="14"/>
        <v>100</v>
      </c>
      <c r="X35" s="1262"/>
      <c r="Y35" s="3485"/>
      <c r="Z35" s="1261" t="str">
        <f t="shared" si="15"/>
        <v>公共部分装修</v>
      </c>
      <c r="AA35" s="1261">
        <f t="shared" si="3"/>
        <v>1</v>
      </c>
      <c r="AB35" s="1261">
        <f t="shared" si="4"/>
        <v>1</v>
      </c>
      <c r="AC35" s="1261">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6"/>
      <c r="L36" s="2488"/>
      <c r="M36" s="2483"/>
      <c r="N36" s="2483"/>
      <c r="O36" s="2483"/>
      <c r="P36" s="3521"/>
      <c r="Q36" s="1260" t="str">
        <f t="shared" si="11"/>
        <v>成新度</v>
      </c>
      <c r="R36" s="665" t="s">
        <v>14</v>
      </c>
      <c r="S36" s="666" t="e">
        <f t="shared" si="12"/>
        <v>#N/A</v>
      </c>
      <c r="T36" s="665" t="s">
        <v>14</v>
      </c>
      <c r="U36" s="666" t="e">
        <f t="shared" si="13"/>
        <v>#N/A</v>
      </c>
      <c r="V36" s="665" t="s">
        <v>14</v>
      </c>
      <c r="W36" s="666" t="e">
        <f t="shared" si="14"/>
        <v>#N/A</v>
      </c>
      <c r="X36" s="1262"/>
      <c r="Y36" s="3485"/>
      <c r="Z36" s="1261" t="str">
        <f t="shared" si="15"/>
        <v>成新度</v>
      </c>
      <c r="AA36" s="1261" t="e">
        <f t="shared" si="3"/>
        <v>#N/A</v>
      </c>
      <c r="AB36" s="1261" t="e">
        <f t="shared" si="4"/>
        <v>#N/A</v>
      </c>
      <c r="AC36" s="1261" t="e">
        <f t="shared" si="5"/>
        <v>#N/A</v>
      </c>
    </row>
    <row r="37" spans="1:29" s="102" customFormat="1" ht="15">
      <c r="A37" s="410"/>
      <c r="B37" s="364" t="s">
        <v>1787</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6"/>
      <c r="L37" s="2484"/>
      <c r="M37" s="2435"/>
      <c r="N37" s="2435"/>
      <c r="O37" s="2435"/>
      <c r="P37" s="3521"/>
      <c r="Q37" s="528" t="str">
        <f t="shared" si="11"/>
        <v>市政基础设施</v>
      </c>
      <c r="R37" s="662" t="s">
        <v>14</v>
      </c>
      <c r="S37" s="663">
        <f t="shared" si="12"/>
        <v>100</v>
      </c>
      <c r="T37" s="662" t="s">
        <v>14</v>
      </c>
      <c r="U37" s="663">
        <f t="shared" si="13"/>
        <v>100</v>
      </c>
      <c r="V37" s="662" t="s">
        <v>14</v>
      </c>
      <c r="W37" s="663">
        <f t="shared" si="14"/>
        <v>100</v>
      </c>
      <c r="X37" s="664"/>
      <c r="Y37" s="3485"/>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6"/>
      <c r="L38" s="2488"/>
      <c r="M38" s="2483"/>
      <c r="N38" s="2483"/>
      <c r="O38" s="2483"/>
      <c r="P38" s="3521" t="s">
        <v>1696</v>
      </c>
      <c r="Q38" s="1260" t="str">
        <f t="shared" si="11"/>
        <v>业态</v>
      </c>
      <c r="R38" s="665" t="s">
        <v>14</v>
      </c>
      <c r="S38" s="666">
        <f t="shared" si="12"/>
        <v>100</v>
      </c>
      <c r="T38" s="665" t="s">
        <v>14</v>
      </c>
      <c r="U38" s="666">
        <f t="shared" si="13"/>
        <v>100</v>
      </c>
      <c r="V38" s="665" t="s">
        <v>14</v>
      </c>
      <c r="W38" s="666">
        <f t="shared" si="14"/>
        <v>100</v>
      </c>
      <c r="X38" s="1262"/>
      <c r="Y38" s="3485" t="s">
        <v>1696</v>
      </c>
      <c r="Z38" s="1261" t="str">
        <f t="shared" si="15"/>
        <v>业态</v>
      </c>
      <c r="AA38" s="1261">
        <f t="shared" si="3"/>
        <v>1</v>
      </c>
      <c r="AB38" s="1261">
        <f t="shared" si="4"/>
        <v>1</v>
      </c>
      <c r="AC38" s="1261">
        <f t="shared" si="5"/>
        <v>1</v>
      </c>
    </row>
    <row r="39" spans="1:29" ht="1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6"/>
      <c r="L39" s="2488"/>
      <c r="M39" s="2483"/>
      <c r="N39" s="2483"/>
      <c r="O39" s="2483"/>
      <c r="P39" s="3521"/>
      <c r="Q39" s="1260" t="str">
        <f t="shared" si="11"/>
        <v>层高</v>
      </c>
      <c r="R39" s="665" t="s">
        <v>14</v>
      </c>
      <c r="S39" s="666">
        <f t="shared" si="12"/>
        <v>100</v>
      </c>
      <c r="T39" s="665" t="s">
        <v>14</v>
      </c>
      <c r="U39" s="666">
        <f t="shared" si="13"/>
        <v>100</v>
      </c>
      <c r="V39" s="665" t="s">
        <v>14</v>
      </c>
      <c r="W39" s="666">
        <f t="shared" si="14"/>
        <v>100</v>
      </c>
      <c r="X39" s="1262"/>
      <c r="Y39" s="3485"/>
      <c r="Z39" s="1261" t="str">
        <f t="shared" si="15"/>
        <v>层高</v>
      </c>
      <c r="AA39" s="1261">
        <f t="shared" si="3"/>
        <v>1</v>
      </c>
      <c r="AB39" s="1261">
        <f t="shared" si="4"/>
        <v>1</v>
      </c>
      <c r="AC39" s="1261">
        <f t="shared" si="5"/>
        <v>1</v>
      </c>
    </row>
    <row r="40" spans="1:29" ht="15">
      <c r="A40" s="409"/>
      <c r="B40" s="364" t="s">
        <v>1790</v>
      </c>
      <c r="C40" s="541"/>
      <c r="D40" s="374">
        <v>100</v>
      </c>
      <c r="E40" s="542"/>
      <c r="F40" s="400">
        <f>SUMIF(118:118,E40,119:119)-SUMIF(118:118,C40,119:119)+100</f>
        <v>100</v>
      </c>
      <c r="G40" s="542"/>
      <c r="H40" s="374">
        <f>SUMIF(118:118,G40,119:119)-SUMIF(118:118,C40,119:119)+100</f>
        <v>100</v>
      </c>
      <c r="I40" s="542"/>
      <c r="J40" s="374">
        <f>SUMIF(118:118,I40,119:119)-SUMIF(118:118,C40,119:119)+100</f>
        <v>100</v>
      </c>
      <c r="K40" s="537"/>
      <c r="L40" s="2488"/>
      <c r="M40" s="2483"/>
      <c r="N40" s="2483"/>
      <c r="O40" s="2483"/>
      <c r="P40" s="3521"/>
      <c r="Q40" s="1260" t="str">
        <f t="shared" si="11"/>
        <v>单套建筑面积</v>
      </c>
      <c r="R40" s="665" t="s">
        <v>14</v>
      </c>
      <c r="S40" s="666">
        <f t="shared" si="12"/>
        <v>100</v>
      </c>
      <c r="T40" s="665" t="s">
        <v>14</v>
      </c>
      <c r="U40" s="666">
        <f t="shared" si="13"/>
        <v>100</v>
      </c>
      <c r="V40" s="665" t="s">
        <v>14</v>
      </c>
      <c r="W40" s="666">
        <f t="shared" si="14"/>
        <v>100</v>
      </c>
      <c r="X40" s="1262"/>
      <c r="Y40" s="3485"/>
      <c r="Z40" s="1261" t="str">
        <f t="shared" si="15"/>
        <v>单套建筑面积</v>
      </c>
      <c r="AA40" s="1261">
        <f t="shared" si="3"/>
        <v>1</v>
      </c>
      <c r="AB40" s="1261">
        <f t="shared" si="4"/>
        <v>1</v>
      </c>
      <c r="AC40" s="1261">
        <f t="shared" si="5"/>
        <v>1</v>
      </c>
    </row>
    <row r="41" spans="1:29" s="408" customFormat="1" ht="15">
      <c r="A41" s="406"/>
      <c r="B41" s="400" t="s">
        <v>1791</v>
      </c>
      <c r="C41" s="540"/>
      <c r="D41" s="374">
        <v>100</v>
      </c>
      <c r="E41" s="540"/>
      <c r="F41" s="400">
        <f>SUMIF(120:120,E41,121:121)-SUMIF(120:120,C41,121:121)+100</f>
        <v>100</v>
      </c>
      <c r="G41" s="540"/>
      <c r="H41" s="374">
        <f>SUMIF(120:120,G41,121:121)-SUMIF(120:120,C41,121:121)+100</f>
        <v>100</v>
      </c>
      <c r="I41" s="540"/>
      <c r="J41" s="374">
        <f>SUMIF(120:120,I41,121:121)-SUMIF(120:120,C41,121:121)+100</f>
        <v>100</v>
      </c>
      <c r="K41" s="536"/>
      <c r="L41" s="2487"/>
      <c r="M41" s="2489"/>
      <c r="N41" s="2489"/>
      <c r="O41" s="2489"/>
      <c r="P41" s="3521"/>
      <c r="Q41" s="529" t="str">
        <f t="shared" si="11"/>
        <v>进深比</v>
      </c>
      <c r="R41" s="667" t="s">
        <v>14</v>
      </c>
      <c r="S41" s="668">
        <f t="shared" si="12"/>
        <v>100</v>
      </c>
      <c r="T41" s="667" t="s">
        <v>14</v>
      </c>
      <c r="U41" s="668">
        <f t="shared" si="13"/>
        <v>100</v>
      </c>
      <c r="V41" s="667" t="s">
        <v>14</v>
      </c>
      <c r="W41" s="668">
        <f t="shared" si="14"/>
        <v>100</v>
      </c>
      <c r="X41" s="669"/>
      <c r="Y41" s="3485"/>
      <c r="Z41" s="670" t="str">
        <f t="shared" si="15"/>
        <v>进深比</v>
      </c>
      <c r="AA41" s="1261">
        <f t="shared" si="3"/>
        <v>1</v>
      </c>
      <c r="AB41" s="1261">
        <f t="shared" si="4"/>
        <v>1</v>
      </c>
      <c r="AC41" s="1261">
        <f t="shared" si="5"/>
        <v>1</v>
      </c>
    </row>
    <row r="42" spans="1:29" ht="15">
      <c r="A42" s="409"/>
      <c r="B42" s="364" t="s">
        <v>1792</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6"/>
      <c r="L42" s="2488"/>
      <c r="M42" s="2483"/>
      <c r="N42" s="2483"/>
      <c r="O42" s="2483"/>
      <c r="P42" s="3521"/>
      <c r="Q42" s="1260" t="str">
        <f t="shared" si="11"/>
        <v>内部装修</v>
      </c>
      <c r="R42" s="665" t="s">
        <v>14</v>
      </c>
      <c r="S42" s="666">
        <f t="shared" si="12"/>
        <v>100</v>
      </c>
      <c r="T42" s="665" t="s">
        <v>14</v>
      </c>
      <c r="U42" s="666">
        <f t="shared" si="13"/>
        <v>100</v>
      </c>
      <c r="V42" s="665" t="s">
        <v>14</v>
      </c>
      <c r="W42" s="666">
        <f t="shared" si="14"/>
        <v>100</v>
      </c>
      <c r="X42" s="1262"/>
      <c r="Y42" s="3485"/>
      <c r="Z42" s="1261" t="str">
        <f t="shared" si="15"/>
        <v>内部装修</v>
      </c>
      <c r="AA42" s="1261">
        <f t="shared" si="3"/>
        <v>1</v>
      </c>
      <c r="AB42" s="1261">
        <f t="shared" si="4"/>
        <v>1</v>
      </c>
      <c r="AC42" s="1261">
        <f t="shared" si="5"/>
        <v>1</v>
      </c>
    </row>
    <row r="43" spans="1:29" ht="15">
      <c r="A43" s="409"/>
      <c r="B43" s="364" t="s">
        <v>1707</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6"/>
      <c r="L43" s="2488"/>
      <c r="M43" s="2483"/>
      <c r="N43" s="2483"/>
      <c r="O43" s="2483"/>
      <c r="P43" s="3521"/>
      <c r="Q43" s="1260" t="str">
        <f t="shared" si="11"/>
        <v>内部装修维护情况</v>
      </c>
      <c r="R43" s="665" t="s">
        <v>14</v>
      </c>
      <c r="S43" s="666">
        <f t="shared" si="12"/>
        <v>100</v>
      </c>
      <c r="T43" s="665" t="s">
        <v>14</v>
      </c>
      <c r="U43" s="666">
        <f t="shared" si="13"/>
        <v>100</v>
      </c>
      <c r="V43" s="665" t="s">
        <v>14</v>
      </c>
      <c r="W43" s="666">
        <f t="shared" si="14"/>
        <v>100</v>
      </c>
      <c r="X43" s="1262"/>
      <c r="Y43" s="3485"/>
      <c r="Z43" s="1261" t="str">
        <f t="shared" si="15"/>
        <v>内部装修维护情况</v>
      </c>
      <c r="AA43" s="1261">
        <f t="shared" si="3"/>
        <v>1</v>
      </c>
      <c r="AB43" s="1261">
        <f t="shared" si="4"/>
        <v>1</v>
      </c>
      <c r="AC43" s="1261">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7"/>
      <c r="L44" s="2484"/>
      <c r="M44" s="2435"/>
      <c r="N44" s="2435"/>
      <c r="O44" s="2435"/>
      <c r="P44" s="3521"/>
      <c r="Q44" s="528">
        <f t="shared" si="11"/>
        <v>111</v>
      </c>
      <c r="R44" s="662" t="s">
        <v>14</v>
      </c>
      <c r="S44" s="663">
        <f t="shared" si="12"/>
        <v>100</v>
      </c>
      <c r="T44" s="662" t="s">
        <v>14</v>
      </c>
      <c r="U44" s="663">
        <f t="shared" si="13"/>
        <v>100</v>
      </c>
      <c r="V44" s="662" t="s">
        <v>14</v>
      </c>
      <c r="W44" s="663">
        <f t="shared" si="14"/>
        <v>100</v>
      </c>
      <c r="X44" s="664"/>
      <c r="Y44" s="3485"/>
      <c r="Z44" s="50">
        <f t="shared" si="15"/>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7"/>
      <c r="L45" s="2488"/>
      <c r="M45" s="2483"/>
      <c r="N45" s="2483"/>
      <c r="O45" s="2483"/>
      <c r="P45" s="3521"/>
      <c r="Q45" s="1260">
        <f t="shared" si="11"/>
        <v>111</v>
      </c>
      <c r="R45" s="665" t="s">
        <v>14</v>
      </c>
      <c r="S45" s="666">
        <f t="shared" si="12"/>
        <v>100</v>
      </c>
      <c r="T45" s="665" t="s">
        <v>14</v>
      </c>
      <c r="U45" s="666">
        <f t="shared" si="13"/>
        <v>100</v>
      </c>
      <c r="V45" s="665" t="s">
        <v>14</v>
      </c>
      <c r="W45" s="666">
        <f t="shared" si="14"/>
        <v>100</v>
      </c>
      <c r="X45" s="1262"/>
      <c r="Y45" s="3485"/>
      <c r="Z45" s="1261">
        <f t="shared" si="15"/>
        <v>111</v>
      </c>
      <c r="AA45" s="1261">
        <f t="shared" si="3"/>
        <v>1</v>
      </c>
      <c r="AB45" s="1261">
        <f t="shared" si="4"/>
        <v>1</v>
      </c>
      <c r="AC45" s="1261">
        <f t="shared" si="5"/>
        <v>1</v>
      </c>
    </row>
    <row r="46" spans="1:29" ht="15.75" thickBot="1">
      <c r="A46" s="413"/>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7"/>
      <c r="L46" s="2488"/>
      <c r="M46" s="2483"/>
      <c r="N46" s="2483"/>
      <c r="O46" s="2483"/>
      <c r="P46" s="3522"/>
      <c r="Q46" s="1260">
        <f t="shared" si="11"/>
        <v>111</v>
      </c>
      <c r="R46" s="665" t="s">
        <v>14</v>
      </c>
      <c r="S46" s="666">
        <f t="shared" si="12"/>
        <v>100</v>
      </c>
      <c r="T46" s="665" t="s">
        <v>14</v>
      </c>
      <c r="U46" s="666">
        <f t="shared" si="13"/>
        <v>100</v>
      </c>
      <c r="V46" s="665" t="s">
        <v>14</v>
      </c>
      <c r="W46" s="666">
        <f t="shared" si="14"/>
        <v>100</v>
      </c>
      <c r="X46" s="1262"/>
      <c r="Y46" s="3523"/>
      <c r="Z46" s="1261">
        <f t="shared" si="15"/>
        <v>111</v>
      </c>
      <c r="AA46" s="1261">
        <f t="shared" si="3"/>
        <v>1</v>
      </c>
      <c r="AB46" s="1261">
        <f t="shared" si="4"/>
        <v>1</v>
      </c>
      <c r="AC46" s="1261">
        <f t="shared" si="5"/>
        <v>1</v>
      </c>
    </row>
    <row r="47" spans="1:29" ht="15">
      <c r="A47" s="414" t="s">
        <v>1708</v>
      </c>
      <c r="B47" s="415"/>
      <c r="C47" s="1078" t="s">
        <v>0</v>
      </c>
      <c r="D47" s="416"/>
      <c r="E47" s="417"/>
      <c r="F47" s="418"/>
      <c r="G47" s="419"/>
      <c r="H47" s="420"/>
      <c r="I47" s="417"/>
      <c r="J47" s="420"/>
      <c r="K47" s="672"/>
      <c r="L47" s="2490"/>
      <c r="M47" s="2483"/>
      <c r="N47" s="2483"/>
      <c r="O47" s="2483"/>
      <c r="P47" s="3467" t="str">
        <f>A47</f>
        <v>成交单价（元/平方米）</v>
      </c>
      <c r="Q47" s="3467"/>
      <c r="R47" s="3480">
        <f>E47</f>
        <v>0</v>
      </c>
      <c r="S47" s="3480"/>
      <c r="T47" s="3480">
        <f>G47</f>
        <v>0</v>
      </c>
      <c r="U47" s="3480"/>
      <c r="V47" s="3480">
        <f>I47</f>
        <v>0</v>
      </c>
      <c r="W47" s="3480"/>
      <c r="X47" s="385"/>
      <c r="Y47" s="671"/>
      <c r="Z47" s="385"/>
      <c r="AA47" s="385"/>
      <c r="AB47" s="385"/>
      <c r="AC47" s="385"/>
    </row>
    <row r="48" spans="1:29" ht="15.75" thickBot="1">
      <c r="A48" s="421" t="s">
        <v>1793</v>
      </c>
      <c r="B48" s="422"/>
      <c r="C48" s="1079" t="e">
        <f>R49</f>
        <v>#DIV/0!</v>
      </c>
      <c r="D48" s="2136" t="s">
        <v>2137</v>
      </c>
      <c r="E48" s="1080" t="e">
        <f>R48</f>
        <v>#DIV/0!</v>
      </c>
      <c r="F48" s="2137"/>
      <c r="G48" s="1079" t="e">
        <f>T48</f>
        <v>#DIV/0!</v>
      </c>
      <c r="H48" s="2137"/>
      <c r="I48" s="1080" t="e">
        <f>V48</f>
        <v>#DIV/0!</v>
      </c>
      <c r="J48" s="2137"/>
      <c r="K48" s="2139">
        <f>F48+H48+J48</f>
        <v>0</v>
      </c>
      <c r="L48" s="2490"/>
      <c r="M48" s="2483"/>
      <c r="N48" s="2483"/>
      <c r="O48" s="2483"/>
      <c r="P48" s="3467" t="str">
        <f>A48</f>
        <v>比较价值（元/平方米）</v>
      </c>
      <c r="Q48" s="3467"/>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385"/>
      <c r="Y48" s="385"/>
      <c r="Z48" s="385"/>
      <c r="AA48" s="385"/>
      <c r="AB48" s="385"/>
      <c r="AC48" s="385"/>
    </row>
    <row r="49" spans="1:29" ht="15.75" thickBot="1">
      <c r="A49" s="425" t="s">
        <v>1794</v>
      </c>
      <c r="B49" s="426"/>
      <c r="C49" s="351" t="e">
        <f>R49</f>
        <v>#DIV/0!</v>
      </c>
      <c r="D49" s="351"/>
      <c r="E49" s="351"/>
      <c r="F49" s="351"/>
      <c r="G49" s="351"/>
      <c r="H49" s="351"/>
      <c r="I49" s="351"/>
      <c r="J49" s="351"/>
      <c r="K49" s="673"/>
      <c r="L49" s="2490"/>
      <c r="M49" s="2483"/>
      <c r="N49" s="2483"/>
      <c r="O49" s="2483"/>
      <c r="P49" s="3487" t="str">
        <f>A49</f>
        <v>估价对象XX用房的比较价值（楼面单价，元/平方米）</v>
      </c>
      <c r="Q49" s="3488"/>
      <c r="R49" s="3519" t="e">
        <f>IF(F1="售价",ROUND(IF(D48="简单平均",AVERAGE(R48:V48),R48*F48+T48*H48+V48*J48),0),ROUND(IF(D48="简单平均",AVERAGE(R48:V48),R48*F48+T48*H48+V48*J48),1))</f>
        <v>#DIV/0!</v>
      </c>
      <c r="S49" s="3519"/>
      <c r="T49" s="3519"/>
      <c r="U49" s="3519"/>
      <c r="V49" s="3519"/>
      <c r="W49" s="3519"/>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5" customFormat="1" ht="13.5" customHeight="1">
      <c r="A54" s="2493"/>
      <c r="B54" s="2493"/>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5"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6" t="s">
        <v>1798</v>
      </c>
      <c r="B57" s="385"/>
      <c r="C57" s="657"/>
      <c r="D57" s="657"/>
      <c r="E57" s="657"/>
      <c r="F57" s="658"/>
      <c r="G57" s="658"/>
      <c r="H57" s="657"/>
      <c r="I57" s="657"/>
      <c r="J57" s="657"/>
      <c r="K57" s="659"/>
      <c r="L57" s="885"/>
      <c r="M57" s="883"/>
      <c r="N57" s="883"/>
      <c r="O57" s="883"/>
      <c r="P57" s="2503"/>
      <c r="Q57" s="2504"/>
      <c r="R57" s="2483"/>
      <c r="S57" s="2483"/>
      <c r="T57" s="2483"/>
      <c r="U57" s="2483"/>
      <c r="V57" s="2483"/>
      <c r="W57" s="2483"/>
      <c r="X57" s="2483"/>
      <c r="Y57" s="2483"/>
      <c r="Z57" s="2483"/>
      <c r="AA57" s="2483"/>
      <c r="AB57" s="2483"/>
      <c r="AC57" s="2483"/>
    </row>
    <row r="58" spans="1:29" s="440" customFormat="1" ht="15">
      <c r="A58" s="438" t="s">
        <v>1679</v>
      </c>
      <c r="B58" s="439"/>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2505"/>
      <c r="Q58" s="2506"/>
      <c r="R58" s="2506"/>
      <c r="S58" s="2506"/>
      <c r="T58" s="2506"/>
      <c r="U58" s="2506"/>
      <c r="V58" s="2506"/>
      <c r="W58" s="2506"/>
      <c r="X58" s="2506"/>
      <c r="Y58" s="2506"/>
      <c r="Z58" s="2506"/>
      <c r="AA58" s="2506"/>
      <c r="AB58" s="2506"/>
      <c r="AC58" s="2506"/>
    </row>
    <row r="59" spans="1:29" s="102" customFormat="1" ht="15">
      <c r="A59" s="441"/>
      <c r="B59" s="442"/>
      <c r="C59" s="1099">
        <v>100</v>
      </c>
      <c r="D59" s="444"/>
      <c r="E59" s="444"/>
      <c r="F59" s="444"/>
      <c r="G59" s="444"/>
      <c r="H59" s="444"/>
      <c r="I59" s="444"/>
      <c r="J59" s="444"/>
      <c r="K59" s="444"/>
      <c r="L59" s="444"/>
      <c r="M59" s="445"/>
      <c r="N59" s="444"/>
      <c r="O59" s="445"/>
      <c r="P59" s="2507"/>
      <c r="Q59" s="2435"/>
      <c r="R59" s="2435"/>
      <c r="S59" s="2435"/>
      <c r="T59" s="2435"/>
      <c r="U59" s="2435"/>
      <c r="V59" s="2435"/>
      <c r="W59" s="2435"/>
      <c r="X59" s="2435"/>
      <c r="Y59" s="2435"/>
      <c r="Z59" s="2435"/>
      <c r="AA59" s="2435"/>
      <c r="AB59" s="2435"/>
      <c r="AC59" s="2435"/>
    </row>
    <row r="60" spans="1:29" s="102" customFormat="1" ht="15.75" thickBot="1">
      <c r="A60" s="447" t="s">
        <v>1716</v>
      </c>
      <c r="B60" s="448"/>
      <c r="C60" s="449"/>
      <c r="D60" s="450"/>
      <c r="E60" s="450"/>
      <c r="F60" s="450"/>
      <c r="G60" s="450"/>
      <c r="H60" s="450"/>
      <c r="I60" s="450"/>
      <c r="J60" s="450"/>
      <c r="K60" s="450"/>
      <c r="L60" s="450"/>
      <c r="M60" s="451"/>
      <c r="N60" s="450"/>
      <c r="O60" s="451"/>
      <c r="P60" s="2507"/>
      <c r="Q60" s="2504"/>
      <c r="R60" s="2435"/>
      <c r="S60" s="2435"/>
      <c r="T60" s="2435"/>
      <c r="U60" s="2435"/>
      <c r="V60" s="2435"/>
      <c r="W60" s="2435"/>
      <c r="X60" s="2435"/>
      <c r="Y60" s="2435"/>
      <c r="Z60" s="2435"/>
      <c r="AA60" s="2435"/>
      <c r="AB60" s="2435"/>
      <c r="AC60" s="2435"/>
    </row>
    <row r="61" spans="1:29" s="102" customFormat="1" ht="15">
      <c r="A61" s="453" t="s">
        <v>1681</v>
      </c>
      <c r="B61" s="442"/>
      <c r="C61" s="454" t="s">
        <v>1776</v>
      </c>
      <c r="D61" s="31"/>
      <c r="E61" s="31"/>
      <c r="F61" s="31"/>
      <c r="G61" s="31"/>
      <c r="H61" s="31"/>
      <c r="I61" s="31"/>
      <c r="J61" s="31"/>
      <c r="K61" s="31"/>
      <c r="L61" s="455"/>
      <c r="M61" s="456"/>
      <c r="N61" s="2516"/>
      <c r="O61" s="2516"/>
      <c r="P61" s="2508"/>
      <c r="Q61" s="2504"/>
      <c r="R61" s="2435"/>
      <c r="S61" s="2435"/>
      <c r="T61" s="2435"/>
      <c r="U61" s="2435"/>
      <c r="V61" s="2435"/>
      <c r="W61" s="2435"/>
      <c r="X61" s="2435"/>
      <c r="Y61" s="2435"/>
      <c r="Z61" s="2435"/>
      <c r="AA61" s="2435"/>
      <c r="AB61" s="2435"/>
      <c r="AC61" s="2435"/>
    </row>
    <row r="62" spans="1:29" s="102" customFormat="1" ht="15.75" thickBot="1">
      <c r="A62" s="453"/>
      <c r="B62" s="442"/>
      <c r="C62" s="443">
        <v>100</v>
      </c>
      <c r="D62" s="444"/>
      <c r="E62" s="444"/>
      <c r="F62" s="444"/>
      <c r="G62" s="444"/>
      <c r="H62" s="444"/>
      <c r="I62" s="444"/>
      <c r="J62" s="444"/>
      <c r="K62" s="444"/>
      <c r="L62" s="444"/>
      <c r="M62" s="446"/>
      <c r="N62" s="2516"/>
      <c r="O62" s="2516"/>
      <c r="P62" s="2507"/>
      <c r="Q62" s="2504"/>
      <c r="R62" s="2435"/>
      <c r="S62" s="2435"/>
      <c r="T62" s="2435"/>
      <c r="U62" s="2435"/>
      <c r="V62" s="2435"/>
      <c r="W62" s="2435"/>
      <c r="X62" s="2435"/>
      <c r="Y62" s="2435"/>
      <c r="Z62" s="2435"/>
      <c r="AA62" s="2435"/>
      <c r="AB62" s="2435"/>
      <c r="AC62" s="2435"/>
    </row>
    <row r="63" spans="1:29">
      <c r="A63" s="379" t="s">
        <v>1719</v>
      </c>
      <c r="B63" s="458" t="s">
        <v>1685</v>
      </c>
      <c r="C63" s="459">
        <f>C9</f>
        <v>0</v>
      </c>
      <c r="D63" s="460"/>
      <c r="E63" s="460"/>
      <c r="F63" s="460"/>
      <c r="G63" s="460"/>
      <c r="H63" s="460"/>
      <c r="I63" s="460"/>
      <c r="J63" s="460"/>
      <c r="K63" s="461"/>
      <c r="L63" s="462"/>
      <c r="M63" s="463"/>
      <c r="N63" s="2517"/>
      <c r="O63" s="2517"/>
      <c r="P63" s="2509"/>
      <c r="Q63" s="2504"/>
      <c r="R63" s="2483"/>
      <c r="S63" s="2483"/>
      <c r="T63" s="2483"/>
      <c r="U63" s="2483"/>
      <c r="V63" s="2483"/>
      <c r="W63" s="2483"/>
      <c r="X63" s="2483"/>
      <c r="Y63" s="2483"/>
      <c r="Z63" s="2483"/>
      <c r="AA63" s="2483"/>
      <c r="AB63" s="2483"/>
      <c r="AC63" s="2483"/>
    </row>
    <row r="64" spans="1:29" ht="15.75" thickBot="1">
      <c r="A64" s="367"/>
      <c r="B64" s="464"/>
      <c r="C64" s="465">
        <v>100</v>
      </c>
      <c r="D64" s="465"/>
      <c r="E64" s="465"/>
      <c r="F64" s="465"/>
      <c r="G64" s="465"/>
      <c r="H64" s="465"/>
      <c r="I64" s="465"/>
      <c r="J64" s="465"/>
      <c r="K64" s="465"/>
      <c r="L64" s="465"/>
      <c r="M64" s="466"/>
      <c r="N64" s="2518"/>
      <c r="O64" s="2518"/>
      <c r="P64" s="2509"/>
      <c r="Q64" s="2504"/>
      <c r="R64" s="2483"/>
      <c r="S64" s="2483"/>
      <c r="T64" s="2483"/>
      <c r="U64" s="2483"/>
      <c r="V64" s="2483"/>
      <c r="W64" s="2483"/>
      <c r="X64" s="2483"/>
      <c r="Y64" s="2483"/>
      <c r="Z64" s="2483"/>
      <c r="AA64" s="2483"/>
      <c r="AB64" s="2483"/>
      <c r="AC64" s="2483"/>
    </row>
    <row r="65" spans="1:29" ht="27.75" thickTop="1">
      <c r="A65" s="367"/>
      <c r="B65" s="467" t="s">
        <v>1688</v>
      </c>
      <c r="C65" s="511"/>
      <c r="D65" s="511"/>
      <c r="E65" s="511"/>
      <c r="F65" s="511"/>
      <c r="G65" s="511"/>
      <c r="H65" s="511"/>
      <c r="I65" s="511"/>
      <c r="J65" s="511"/>
      <c r="K65" s="512"/>
      <c r="L65" s="513"/>
      <c r="M65" s="514"/>
      <c r="N65" s="2517"/>
      <c r="O65" s="2517"/>
      <c r="P65" s="2509"/>
      <c r="Q65" s="2504"/>
      <c r="R65" s="2483"/>
      <c r="S65" s="2483"/>
      <c r="T65" s="2483"/>
      <c r="U65" s="2483"/>
      <c r="V65" s="2483"/>
      <c r="W65" s="2483"/>
      <c r="X65" s="2483"/>
      <c r="Y65" s="2483"/>
      <c r="Z65" s="2483"/>
      <c r="AA65" s="2483"/>
      <c r="AB65" s="2483"/>
      <c r="AC65" s="2483"/>
    </row>
    <row r="66" spans="1:29" ht="15.75" thickBot="1">
      <c r="A66" s="367"/>
      <c r="B66" s="472"/>
      <c r="C66" s="465"/>
      <c r="D66" s="465"/>
      <c r="E66" s="465"/>
      <c r="F66" s="465"/>
      <c r="G66" s="465"/>
      <c r="H66" s="465"/>
      <c r="I66" s="465"/>
      <c r="J66" s="465"/>
      <c r="K66" s="465"/>
      <c r="L66" s="465"/>
      <c r="M66" s="466"/>
      <c r="N66" s="2518"/>
      <c r="O66" s="2518"/>
      <c r="P66" s="2509"/>
      <c r="Q66" s="2504"/>
      <c r="R66" s="2483"/>
      <c r="S66" s="2483"/>
      <c r="T66" s="2483"/>
      <c r="U66" s="2483"/>
      <c r="V66" s="2483"/>
      <c r="W66" s="2483"/>
      <c r="X66" s="2483"/>
      <c r="Y66" s="2483"/>
      <c r="Z66" s="2483"/>
      <c r="AA66" s="2483"/>
      <c r="AB66" s="2483"/>
      <c r="AC66" s="2483"/>
    </row>
    <row r="67" spans="1:29" ht="15.75" thickTop="1">
      <c r="A67" s="367"/>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7"/>
      <c r="C68" s="478"/>
      <c r="D68" s="478"/>
      <c r="E68" s="478"/>
      <c r="F68" s="478"/>
      <c r="G68" s="478"/>
      <c r="H68" s="478"/>
      <c r="I68" s="478"/>
      <c r="J68" s="478"/>
      <c r="K68" s="479"/>
      <c r="L68" s="480"/>
      <c r="M68" s="481"/>
      <c r="N68" s="2517"/>
      <c r="O68" s="2517"/>
      <c r="P68" s="2509"/>
      <c r="Q68" s="2504"/>
      <c r="R68" s="2483"/>
      <c r="S68" s="2483"/>
      <c r="T68" s="2483"/>
      <c r="U68" s="2483"/>
      <c r="V68" s="2483"/>
      <c r="W68" s="2483"/>
      <c r="X68" s="2483"/>
      <c r="Y68" s="2483"/>
      <c r="Z68" s="2483"/>
      <c r="AA68" s="2483"/>
      <c r="AB68" s="2483"/>
      <c r="AC68" s="2483"/>
    </row>
    <row r="69" spans="1:29" ht="15.75" thickBot="1">
      <c r="A69" s="367"/>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2"/>
      <c r="B70" s="467">
        <f>B12</f>
        <v>111</v>
      </c>
      <c r="C70" s="483"/>
      <c r="D70" s="483"/>
      <c r="E70" s="483"/>
      <c r="F70" s="483"/>
      <c r="G70" s="483"/>
      <c r="H70" s="484"/>
      <c r="I70" s="484"/>
      <c r="J70" s="484"/>
      <c r="K70" s="484"/>
      <c r="L70" s="485"/>
      <c r="M70" s="486"/>
      <c r="N70" s="2519"/>
      <c r="O70" s="2519"/>
      <c r="P70" s="2510"/>
      <c r="Q70" s="2511"/>
      <c r="R70" s="2489"/>
      <c r="S70" s="2489"/>
      <c r="T70" s="2489"/>
      <c r="U70" s="2489"/>
      <c r="V70" s="2489"/>
      <c r="W70" s="2489"/>
      <c r="X70" s="2489"/>
      <c r="Y70" s="2489"/>
      <c r="Z70" s="2489"/>
      <c r="AA70" s="2489"/>
      <c r="AB70" s="2489"/>
      <c r="AC70" s="2489"/>
    </row>
    <row r="71" spans="1:29" s="408" customFormat="1" ht="15.75" thickBot="1">
      <c r="A71" s="482"/>
      <c r="B71" s="472"/>
      <c r="C71" s="489"/>
      <c r="D71" s="465"/>
      <c r="E71" s="465"/>
      <c r="F71" s="465"/>
      <c r="G71" s="465"/>
      <c r="H71" s="465"/>
      <c r="I71" s="465"/>
      <c r="J71" s="465"/>
      <c r="K71" s="465"/>
      <c r="L71" s="465"/>
      <c r="M71" s="466"/>
      <c r="N71" s="2518"/>
      <c r="O71" s="2518"/>
      <c r="P71" s="2510"/>
      <c r="Q71" s="2511"/>
      <c r="R71" s="2489"/>
      <c r="S71" s="2489"/>
      <c r="T71" s="2489"/>
      <c r="U71" s="2489"/>
      <c r="V71" s="2489"/>
      <c r="W71" s="2489"/>
      <c r="X71" s="2489"/>
      <c r="Y71" s="2489"/>
      <c r="Z71" s="2489"/>
      <c r="AA71" s="2489"/>
      <c r="AB71" s="2489"/>
      <c r="AC71" s="2489"/>
    </row>
    <row r="72" spans="1:29" s="408" customFormat="1" ht="15.75" thickTop="1">
      <c r="A72" s="482"/>
      <c r="B72" s="467">
        <f>B13</f>
        <v>111</v>
      </c>
      <c r="C72" s="483"/>
      <c r="D72" s="483"/>
      <c r="E72" s="483"/>
      <c r="F72" s="483"/>
      <c r="G72" s="483"/>
      <c r="H72" s="484"/>
      <c r="I72" s="484"/>
      <c r="J72" s="484"/>
      <c r="K72" s="484"/>
      <c r="L72" s="485"/>
      <c r="M72" s="486"/>
      <c r="N72" s="2519"/>
      <c r="O72" s="2519"/>
      <c r="P72" s="2512"/>
      <c r="Q72" s="2513"/>
      <c r="R72" s="2489"/>
      <c r="S72" s="2489"/>
      <c r="T72" s="2489"/>
      <c r="U72" s="2489"/>
      <c r="V72" s="2489"/>
      <c r="W72" s="2489"/>
      <c r="X72" s="2489"/>
      <c r="Y72" s="2489"/>
      <c r="Z72" s="2489"/>
      <c r="AA72" s="2489"/>
      <c r="AB72" s="2489"/>
      <c r="AC72" s="2489"/>
    </row>
    <row r="73" spans="1:29" s="408" customFormat="1" ht="15.75" thickBot="1">
      <c r="A73" s="482"/>
      <c r="B73" s="472"/>
      <c r="C73" s="489"/>
      <c r="D73" s="465"/>
      <c r="E73" s="465"/>
      <c r="F73" s="465"/>
      <c r="G73" s="489"/>
      <c r="H73" s="491"/>
      <c r="I73" s="491"/>
      <c r="J73" s="491"/>
      <c r="K73" s="491"/>
      <c r="L73" s="491"/>
      <c r="M73" s="492"/>
      <c r="N73" s="2519"/>
      <c r="O73" s="2519"/>
      <c r="P73" s="2510"/>
      <c r="Q73" s="2511"/>
      <c r="R73" s="2489"/>
      <c r="S73" s="2489"/>
      <c r="T73" s="2489"/>
      <c r="U73" s="2489"/>
      <c r="V73" s="2489"/>
      <c r="W73" s="2489"/>
      <c r="X73" s="2489"/>
      <c r="Y73" s="2489"/>
      <c r="Z73" s="2489"/>
      <c r="AA73" s="2489"/>
      <c r="AB73" s="2489"/>
      <c r="AC73" s="2489"/>
    </row>
    <row r="74" spans="1:29" s="408" customFormat="1" ht="15.75" thickTop="1">
      <c r="A74" s="482"/>
      <c r="B74" s="475">
        <f>B14</f>
        <v>111</v>
      </c>
      <c r="C74" s="483"/>
      <c r="D74" s="483"/>
      <c r="E74" s="483"/>
      <c r="F74" s="483"/>
      <c r="G74" s="31"/>
      <c r="H74" s="493"/>
      <c r="I74" s="493"/>
      <c r="J74" s="493"/>
      <c r="K74" s="493"/>
      <c r="L74" s="494"/>
      <c r="M74" s="495"/>
      <c r="N74" s="2519"/>
      <c r="O74" s="2519"/>
      <c r="P74" s="2514"/>
      <c r="Q74" s="2511"/>
      <c r="R74" s="2489"/>
      <c r="S74" s="2489"/>
      <c r="T74" s="2489"/>
      <c r="U74" s="2489"/>
      <c r="V74" s="2489"/>
      <c r="W74" s="2489"/>
      <c r="X74" s="2489"/>
      <c r="Y74" s="2489"/>
      <c r="Z74" s="2489"/>
      <c r="AA74" s="2489"/>
      <c r="AB74" s="2489"/>
      <c r="AC74" s="2489"/>
    </row>
    <row r="75" spans="1:29" s="408" customFormat="1" ht="15.75" thickBot="1">
      <c r="A75" s="497"/>
      <c r="B75" s="498"/>
      <c r="C75" s="499"/>
      <c r="D75" s="499"/>
      <c r="E75" s="499"/>
      <c r="F75" s="499"/>
      <c r="G75" s="499"/>
      <c r="H75" s="500"/>
      <c r="I75" s="500"/>
      <c r="J75" s="500"/>
      <c r="K75" s="500"/>
      <c r="L75" s="500"/>
      <c r="M75" s="501"/>
      <c r="N75" s="2519"/>
      <c r="O75" s="2519"/>
      <c r="P75" s="2510"/>
      <c r="Q75" s="2511"/>
      <c r="R75" s="2489"/>
      <c r="S75" s="2489"/>
      <c r="T75" s="2489"/>
      <c r="U75" s="2489"/>
      <c r="V75" s="2489"/>
      <c r="W75" s="2489"/>
      <c r="X75" s="2489"/>
      <c r="Y75" s="2489"/>
      <c r="Z75" s="2489"/>
      <c r="AA75" s="2489"/>
      <c r="AB75" s="2489"/>
      <c r="AC75" s="2489"/>
    </row>
    <row r="76" spans="1:29">
      <c r="A76" s="379" t="s">
        <v>1690</v>
      </c>
      <c r="B76" s="458" t="s">
        <v>1720</v>
      </c>
      <c r="C76" s="502" t="s">
        <v>1721</v>
      </c>
      <c r="D76" s="502" t="s">
        <v>1722</v>
      </c>
      <c r="E76" s="502" t="s">
        <v>1723</v>
      </c>
      <c r="F76" s="502" t="s">
        <v>1724</v>
      </c>
      <c r="G76" s="502" t="s">
        <v>1725</v>
      </c>
      <c r="H76" s="459"/>
      <c r="I76" s="459"/>
      <c r="J76" s="459"/>
      <c r="K76" s="503"/>
      <c r="L76" s="504"/>
      <c r="M76" s="505"/>
      <c r="N76" s="2517"/>
      <c r="O76" s="2517"/>
      <c r="P76" s="2515"/>
      <c r="Q76" s="2504"/>
      <c r="R76" s="2483"/>
      <c r="S76" s="2483"/>
      <c r="T76" s="2483"/>
      <c r="U76" s="2483"/>
      <c r="V76" s="2483"/>
      <c r="W76" s="2483"/>
      <c r="X76" s="2483"/>
      <c r="Y76" s="2483"/>
      <c r="Z76" s="2483"/>
      <c r="AA76" s="2483"/>
      <c r="AB76" s="2483"/>
      <c r="AC76" s="2483"/>
    </row>
    <row r="77" spans="1:29" ht="15.75" thickBot="1">
      <c r="A77" s="367"/>
      <c r="B77" s="472"/>
      <c r="C77" s="473">
        <v>100</v>
      </c>
      <c r="D77" s="473">
        <f>C77-$K15</f>
        <v>100</v>
      </c>
      <c r="E77" s="473">
        <f>D77-$K15</f>
        <v>100</v>
      </c>
      <c r="F77" s="473">
        <f>E77-$K15</f>
        <v>100</v>
      </c>
      <c r="G77" s="473">
        <f>F77-$K15</f>
        <v>100</v>
      </c>
      <c r="H77" s="473"/>
      <c r="I77" s="473"/>
      <c r="J77" s="473"/>
      <c r="K77" s="473"/>
      <c r="L77" s="473"/>
      <c r="M77" s="474"/>
      <c r="N77" s="2518"/>
      <c r="O77" s="2518"/>
      <c r="P77" s="2509"/>
      <c r="Q77" s="2504"/>
      <c r="R77" s="2483"/>
      <c r="S77" s="2483"/>
      <c r="T77" s="2483"/>
      <c r="U77" s="2483"/>
      <c r="V77" s="2483"/>
      <c r="W77" s="2483"/>
      <c r="X77" s="2483"/>
      <c r="Y77" s="2483"/>
      <c r="Z77" s="2483"/>
      <c r="AA77" s="2483"/>
      <c r="AB77" s="2483"/>
      <c r="AC77" s="2483"/>
    </row>
    <row r="78" spans="1:29" ht="15.75" thickTop="1">
      <c r="A78" s="367"/>
      <c r="B78" s="467" t="s">
        <v>1726</v>
      </c>
      <c r="C78" s="507" t="s">
        <v>1721</v>
      </c>
      <c r="D78" s="507" t="s">
        <v>1722</v>
      </c>
      <c r="E78" s="507" t="s">
        <v>1723</v>
      </c>
      <c r="F78" s="507" t="s">
        <v>1724</v>
      </c>
      <c r="G78" s="507" t="s">
        <v>1725</v>
      </c>
      <c r="H78" s="468"/>
      <c r="I78" s="468"/>
      <c r="J78" s="468"/>
      <c r="K78" s="469"/>
      <c r="L78" s="470"/>
      <c r="M78" s="471"/>
      <c r="N78" s="2517"/>
      <c r="O78" s="2517"/>
      <c r="P78" s="2509"/>
      <c r="Q78" s="2504"/>
      <c r="R78" s="2483"/>
      <c r="S78" s="2483"/>
      <c r="T78" s="2483"/>
      <c r="U78" s="2483"/>
      <c r="V78" s="2483"/>
      <c r="W78" s="2483"/>
      <c r="X78" s="2483"/>
      <c r="Y78" s="2483"/>
      <c r="Z78" s="2483"/>
      <c r="AA78" s="2483"/>
      <c r="AB78" s="2483"/>
      <c r="AC78" s="2483"/>
    </row>
    <row r="79" spans="1:29" ht="15.75" thickBot="1">
      <c r="A79" s="367"/>
      <c r="B79" s="472"/>
      <c r="C79" s="473">
        <v>100</v>
      </c>
      <c r="D79" s="473">
        <f>C79-$K17</f>
        <v>100</v>
      </c>
      <c r="E79" s="473">
        <f>D79-$K17</f>
        <v>100</v>
      </c>
      <c r="F79" s="473">
        <f>E79-$K17</f>
        <v>100</v>
      </c>
      <c r="G79" s="473">
        <f>F79-$K17</f>
        <v>100</v>
      </c>
      <c r="H79" s="473"/>
      <c r="I79" s="473"/>
      <c r="J79" s="473"/>
      <c r="K79" s="473"/>
      <c r="L79" s="473"/>
      <c r="M79" s="474"/>
      <c r="N79" s="2518"/>
      <c r="O79" s="2518"/>
      <c r="P79" s="2509"/>
      <c r="Q79" s="2504"/>
      <c r="R79" s="2483"/>
      <c r="S79" s="2483"/>
      <c r="T79" s="2483"/>
      <c r="U79" s="2483"/>
      <c r="V79" s="2483"/>
      <c r="W79" s="2483"/>
      <c r="X79" s="2483"/>
      <c r="Y79" s="2483"/>
      <c r="Z79" s="2483"/>
      <c r="AA79" s="2483"/>
      <c r="AB79" s="2483"/>
      <c r="AC79" s="2483"/>
    </row>
    <row r="80" spans="1:29" ht="15.75" thickTop="1">
      <c r="A80" s="367"/>
      <c r="B80" s="467" t="s">
        <v>1727</v>
      </c>
      <c r="C80" s="507" t="s">
        <v>1721</v>
      </c>
      <c r="D80" s="507" t="s">
        <v>1722</v>
      </c>
      <c r="E80" s="507" t="s">
        <v>1723</v>
      </c>
      <c r="F80" s="507" t="s">
        <v>1724</v>
      </c>
      <c r="G80" s="507" t="s">
        <v>1725</v>
      </c>
      <c r="H80" s="468"/>
      <c r="I80" s="468"/>
      <c r="J80" s="468"/>
      <c r="K80" s="469"/>
      <c r="L80" s="470"/>
      <c r="M80" s="471"/>
      <c r="N80" s="2517"/>
      <c r="O80" s="2517"/>
      <c r="P80" s="2509"/>
      <c r="Q80" s="2504"/>
      <c r="R80" s="2483"/>
      <c r="S80" s="2483"/>
      <c r="T80" s="2483"/>
      <c r="U80" s="2483"/>
      <c r="V80" s="2483"/>
      <c r="W80" s="2483"/>
      <c r="X80" s="2483"/>
      <c r="Y80" s="2483"/>
      <c r="Z80" s="2483"/>
      <c r="AA80" s="2483"/>
      <c r="AB80" s="2483"/>
      <c r="AC80" s="2483"/>
    </row>
    <row r="81" spans="1:29" ht="15.75" thickBot="1">
      <c r="A81" s="367"/>
      <c r="B81" s="472"/>
      <c r="C81" s="473">
        <v>100</v>
      </c>
      <c r="D81" s="473">
        <f>C81-$K19</f>
        <v>100</v>
      </c>
      <c r="E81" s="473">
        <f>D81-$K19</f>
        <v>100</v>
      </c>
      <c r="F81" s="473">
        <f>E81-$K19</f>
        <v>100</v>
      </c>
      <c r="G81" s="473">
        <f>F81-$K19</f>
        <v>100</v>
      </c>
      <c r="H81" s="473"/>
      <c r="I81" s="473"/>
      <c r="J81" s="473"/>
      <c r="K81" s="473"/>
      <c r="L81" s="473"/>
      <c r="M81" s="474"/>
      <c r="N81" s="2518"/>
      <c r="O81" s="2518"/>
      <c r="P81" s="2509"/>
      <c r="Q81" s="2504"/>
      <c r="R81" s="2483"/>
      <c r="S81" s="2483"/>
      <c r="T81" s="2483"/>
      <c r="U81" s="2483"/>
      <c r="V81" s="2483"/>
      <c r="W81" s="2483"/>
      <c r="X81" s="2483"/>
      <c r="Y81" s="2483"/>
      <c r="Z81" s="2483"/>
      <c r="AA81" s="2483"/>
      <c r="AB81" s="2483"/>
      <c r="AC81" s="2483"/>
    </row>
    <row r="82" spans="1:29" ht="15.75" thickTop="1">
      <c r="A82" s="367"/>
      <c r="B82" s="475" t="s">
        <v>1779</v>
      </c>
      <c r="C82" s="579" t="s">
        <v>1799</v>
      </c>
      <c r="D82" s="579" t="s">
        <v>1800</v>
      </c>
      <c r="E82" s="579" t="s">
        <v>1801</v>
      </c>
      <c r="F82" s="579" t="s">
        <v>1802</v>
      </c>
      <c r="G82" s="579" t="s">
        <v>1803</v>
      </c>
      <c r="H82" s="468"/>
      <c r="I82" s="468"/>
      <c r="J82" s="468"/>
      <c r="K82" s="468"/>
      <c r="L82" s="468"/>
      <c r="M82" s="1060"/>
      <c r="N82" s="2518"/>
      <c r="O82" s="2518"/>
      <c r="P82" s="2509"/>
      <c r="Q82" s="2504"/>
      <c r="R82" s="2483"/>
      <c r="S82" s="2483"/>
      <c r="T82" s="2483"/>
      <c r="U82" s="2483"/>
      <c r="V82" s="2483"/>
      <c r="W82" s="2483"/>
      <c r="X82" s="2483"/>
      <c r="Y82" s="2483"/>
      <c r="Z82" s="2483"/>
      <c r="AA82" s="2483"/>
      <c r="AB82" s="2483"/>
      <c r="AC82" s="2483"/>
    </row>
    <row r="83" spans="1:29" ht="15.75" thickBot="1">
      <c r="A83" s="367"/>
      <c r="B83" s="475"/>
      <c r="C83" s="473">
        <v>100</v>
      </c>
      <c r="D83" s="473">
        <f>C83-$K21</f>
        <v>100</v>
      </c>
      <c r="E83" s="473">
        <f t="shared" ref="E83:G83" si="19">D83-$K21</f>
        <v>100</v>
      </c>
      <c r="F83" s="473">
        <f t="shared" si="19"/>
        <v>100</v>
      </c>
      <c r="G83" s="473">
        <f t="shared" si="19"/>
        <v>100</v>
      </c>
      <c r="H83" s="579"/>
      <c r="I83" s="579"/>
      <c r="J83" s="579"/>
      <c r="K83" s="579"/>
      <c r="L83" s="579"/>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7" t="s">
        <v>1733</v>
      </c>
      <c r="C84" s="507" t="s">
        <v>1721</v>
      </c>
      <c r="D84" s="507" t="s">
        <v>1722</v>
      </c>
      <c r="E84" s="507" t="s">
        <v>1723</v>
      </c>
      <c r="F84" s="507" t="s">
        <v>1724</v>
      </c>
      <c r="G84" s="507" t="s">
        <v>1725</v>
      </c>
      <c r="H84" s="468"/>
      <c r="I84" s="468"/>
      <c r="J84" s="468"/>
      <c r="K84" s="469"/>
      <c r="L84" s="470"/>
      <c r="M84" s="471"/>
      <c r="N84" s="2517"/>
      <c r="O84" s="2517"/>
      <c r="P84" s="2509"/>
      <c r="Q84" s="2504"/>
      <c r="R84" s="2483"/>
      <c r="S84" s="2483"/>
      <c r="T84" s="2483"/>
      <c r="U84" s="2483"/>
      <c r="V84" s="2483"/>
      <c r="W84" s="2483"/>
      <c r="X84" s="2483"/>
      <c r="Y84" s="2483"/>
      <c r="Z84" s="2483"/>
      <c r="AA84" s="2483"/>
      <c r="AB84" s="2483"/>
      <c r="AC84" s="2483"/>
    </row>
    <row r="85" spans="1:29" ht="15.75" thickBot="1">
      <c r="A85" s="367"/>
      <c r="B85" s="472"/>
      <c r="C85" s="473">
        <v>100</v>
      </c>
      <c r="D85" s="473">
        <f>C85-$K23</f>
        <v>100</v>
      </c>
      <c r="E85" s="473">
        <f>D85-$K23</f>
        <v>100</v>
      </c>
      <c r="F85" s="473">
        <f>E85-$K23</f>
        <v>100</v>
      </c>
      <c r="G85" s="473">
        <f>F85-$K23</f>
        <v>100</v>
      </c>
      <c r="H85" s="473"/>
      <c r="I85" s="473"/>
      <c r="J85" s="473"/>
      <c r="K85" s="473"/>
      <c r="L85" s="473"/>
      <c r="M85" s="474"/>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7" t="s">
        <v>1804</v>
      </c>
      <c r="C86" s="483"/>
      <c r="D86" s="483"/>
      <c r="E86" s="483"/>
      <c r="F86" s="483"/>
      <c r="G86" s="483"/>
      <c r="H86" s="483"/>
      <c r="I86" s="483"/>
      <c r="J86" s="483"/>
      <c r="K86" s="483"/>
      <c r="L86" s="508"/>
      <c r="M86" s="509"/>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7" t="str">
        <f>B26</f>
        <v>平面位置/可视性</v>
      </c>
      <c r="C88" s="483"/>
      <c r="D88" s="483"/>
      <c r="E88" s="483"/>
      <c r="F88" s="1775"/>
      <c r="G88" s="483"/>
      <c r="H88" s="483"/>
      <c r="I88" s="483"/>
      <c r="J88" s="483"/>
      <c r="K88" s="483"/>
      <c r="L88" s="483"/>
      <c r="M88" s="509"/>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2"/>
      <c r="C89" s="489"/>
      <c r="D89" s="465"/>
      <c r="E89" s="465"/>
      <c r="F89" s="465"/>
      <c r="G89" s="465"/>
      <c r="H89" s="465"/>
      <c r="I89" s="465"/>
      <c r="J89" s="465"/>
      <c r="K89" s="465"/>
      <c r="L89" s="465"/>
      <c r="M89" s="465"/>
      <c r="N89" s="2518"/>
      <c r="O89" s="2518"/>
      <c r="P89" s="2509"/>
      <c r="Q89" s="2504"/>
      <c r="R89" s="2435"/>
      <c r="S89" s="2435"/>
      <c r="T89" s="2435"/>
      <c r="U89" s="2435"/>
      <c r="V89" s="2435"/>
      <c r="W89" s="2435"/>
      <c r="X89" s="2435"/>
      <c r="Y89" s="2435"/>
      <c r="Z89" s="2435"/>
      <c r="AA89" s="2435"/>
      <c r="AB89" s="2435"/>
      <c r="AC89" s="2435"/>
    </row>
    <row r="90" spans="1:29" s="408" customFormat="1" ht="15.75" thickTop="1">
      <c r="A90" s="482"/>
      <c r="B90" s="467" t="str">
        <f>B27</f>
        <v>人流量</v>
      </c>
      <c r="C90" s="483"/>
      <c r="D90" s="483"/>
      <c r="E90" s="483"/>
      <c r="F90" s="483"/>
      <c r="G90" s="483"/>
      <c r="H90" s="484"/>
      <c r="I90" s="484"/>
      <c r="J90" s="484"/>
      <c r="K90" s="484"/>
      <c r="L90" s="485"/>
      <c r="M90" s="486"/>
      <c r="N90" s="2519"/>
      <c r="O90" s="2519"/>
      <c r="P90" s="2510"/>
      <c r="Q90" s="2511"/>
      <c r="R90" s="2489"/>
      <c r="S90" s="2489"/>
      <c r="T90" s="2489"/>
      <c r="U90" s="2489"/>
      <c r="V90" s="2489"/>
      <c r="W90" s="2489"/>
      <c r="X90" s="2489"/>
      <c r="Y90" s="2489"/>
      <c r="Z90" s="2489"/>
      <c r="AA90" s="2489"/>
      <c r="AB90" s="2489"/>
      <c r="AC90" s="2489"/>
    </row>
    <row r="91" spans="1:29" s="408"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7" t="str">
        <f>B28</f>
        <v>楼层</v>
      </c>
      <c r="C92" s="483"/>
      <c r="D92" s="483"/>
      <c r="E92" s="483"/>
      <c r="F92" s="483"/>
      <c r="G92" s="483"/>
      <c r="H92" s="483"/>
      <c r="I92" s="483"/>
      <c r="J92" s="483"/>
      <c r="K92" s="483"/>
      <c r="L92" s="508"/>
      <c r="M92" s="509"/>
      <c r="N92" s="2517"/>
      <c r="O92" s="2517"/>
      <c r="P92" s="2509"/>
      <c r="Q92" s="2504"/>
      <c r="R92" s="2483"/>
      <c r="S92" s="2483"/>
      <c r="T92" s="2483"/>
      <c r="U92" s="2483"/>
      <c r="V92" s="2483"/>
      <c r="W92" s="2483"/>
      <c r="X92" s="2483"/>
      <c r="Y92" s="2483"/>
      <c r="Z92" s="2483"/>
      <c r="AA92" s="2483"/>
      <c r="AB92" s="2483"/>
      <c r="AC92" s="2483"/>
    </row>
    <row r="93" spans="1:29" ht="15.75" thickBot="1">
      <c r="A93" s="367"/>
      <c r="B93" s="472"/>
      <c r="C93" s="465"/>
      <c r="D93" s="465"/>
      <c r="E93" s="465"/>
      <c r="F93" s="465"/>
      <c r="G93" s="465"/>
      <c r="H93" s="465"/>
      <c r="I93" s="465"/>
      <c r="J93" s="465"/>
      <c r="K93" s="465"/>
      <c r="L93" s="465"/>
      <c r="M93" s="466"/>
      <c r="N93" s="2518"/>
      <c r="O93" s="2518"/>
      <c r="P93" s="2509"/>
      <c r="Q93" s="2504"/>
      <c r="R93" s="2483"/>
      <c r="S93" s="2483"/>
      <c r="T93" s="2483"/>
      <c r="U93" s="2483"/>
      <c r="V93" s="2483"/>
      <c r="W93" s="2483"/>
      <c r="X93" s="2483"/>
      <c r="Y93" s="2483"/>
      <c r="Z93" s="2483"/>
      <c r="AA93" s="2483"/>
      <c r="AB93" s="2483"/>
      <c r="AC93" s="2483"/>
    </row>
    <row r="94" spans="1:29" ht="15.75" thickTop="1">
      <c r="A94" s="367"/>
      <c r="B94" s="467">
        <f>B29</f>
        <v>111</v>
      </c>
      <c r="C94" s="483"/>
      <c r="D94" s="483"/>
      <c r="E94" s="483"/>
      <c r="F94" s="483"/>
      <c r="G94" s="511"/>
      <c r="H94" s="511"/>
      <c r="I94" s="511"/>
      <c r="J94" s="511"/>
      <c r="K94" s="512"/>
      <c r="L94" s="513"/>
      <c r="M94" s="514"/>
      <c r="N94" s="2517"/>
      <c r="O94" s="2517"/>
      <c r="P94" s="2509"/>
      <c r="Q94" s="2504"/>
      <c r="R94" s="2483"/>
      <c r="S94" s="2483"/>
      <c r="T94" s="2483"/>
      <c r="U94" s="2483"/>
      <c r="V94" s="2483"/>
      <c r="W94" s="2483"/>
      <c r="X94" s="2483"/>
      <c r="Y94" s="2483"/>
      <c r="Z94" s="2483"/>
      <c r="AA94" s="2483"/>
      <c r="AB94" s="2483"/>
      <c r="AC94" s="2483"/>
    </row>
    <row r="95" spans="1:29" ht="15.75" thickBot="1">
      <c r="A95" s="367"/>
      <c r="B95" s="472"/>
      <c r="C95" s="489"/>
      <c r="D95" s="465"/>
      <c r="E95" s="465"/>
      <c r="F95" s="465"/>
      <c r="G95" s="465"/>
      <c r="H95" s="465"/>
      <c r="I95" s="465"/>
      <c r="J95" s="465"/>
      <c r="K95" s="465"/>
      <c r="L95" s="465"/>
      <c r="M95" s="466"/>
      <c r="N95" s="2518"/>
      <c r="O95" s="2518"/>
      <c r="P95" s="2509"/>
      <c r="Q95" s="2504"/>
      <c r="R95" s="2483"/>
      <c r="S95" s="2483"/>
      <c r="T95" s="2483"/>
      <c r="U95" s="2483"/>
      <c r="V95" s="2483"/>
      <c r="W95" s="2483"/>
      <c r="X95" s="2483"/>
      <c r="Y95" s="2483"/>
      <c r="Z95" s="2483"/>
      <c r="AA95" s="2483"/>
      <c r="AB95" s="2483"/>
      <c r="AC95" s="2483"/>
    </row>
    <row r="96" spans="1:29" ht="15.75" thickTop="1">
      <c r="A96" s="367"/>
      <c r="B96" s="467">
        <f>B30</f>
        <v>111</v>
      </c>
      <c r="C96" s="483"/>
      <c r="D96" s="483"/>
      <c r="E96" s="483"/>
      <c r="F96" s="483"/>
      <c r="G96" s="511"/>
      <c r="H96" s="511"/>
      <c r="I96" s="511"/>
      <c r="J96" s="511"/>
      <c r="K96" s="512"/>
      <c r="L96" s="513"/>
      <c r="M96" s="514"/>
      <c r="N96" s="2517"/>
      <c r="O96" s="2517"/>
      <c r="P96" s="2509"/>
      <c r="Q96" s="2504"/>
      <c r="R96" s="2483"/>
      <c r="S96" s="2483"/>
      <c r="T96" s="2483"/>
      <c r="U96" s="2483"/>
      <c r="V96" s="2483"/>
      <c r="W96" s="2483"/>
      <c r="X96" s="2483"/>
      <c r="Y96" s="2483"/>
      <c r="Z96" s="2483"/>
      <c r="AA96" s="2483"/>
      <c r="AB96" s="2483"/>
      <c r="AC96" s="2483"/>
    </row>
    <row r="97" spans="1:29" ht="15.75" thickBot="1">
      <c r="A97" s="367"/>
      <c r="B97" s="472"/>
      <c r="C97" s="489"/>
      <c r="D97" s="465"/>
      <c r="E97" s="465"/>
      <c r="F97" s="465"/>
      <c r="G97" s="465"/>
      <c r="H97" s="465"/>
      <c r="I97" s="465"/>
      <c r="J97" s="465"/>
      <c r="K97" s="465"/>
      <c r="L97" s="465"/>
      <c r="M97" s="466"/>
      <c r="N97" s="2518"/>
      <c r="O97" s="2518"/>
      <c r="P97" s="2509"/>
      <c r="Q97" s="2504"/>
      <c r="R97" s="2483"/>
      <c r="S97" s="2483"/>
      <c r="T97" s="2483"/>
      <c r="U97" s="2483"/>
      <c r="V97" s="2483"/>
      <c r="W97" s="2483"/>
      <c r="X97" s="2483"/>
      <c r="Y97" s="2483"/>
      <c r="Z97" s="2483"/>
      <c r="AA97" s="2483"/>
      <c r="AB97" s="2483"/>
      <c r="AC97" s="2483"/>
    </row>
    <row r="98" spans="1:29" ht="15.75" thickTop="1">
      <c r="A98" s="367"/>
      <c r="B98" s="475">
        <f>B31</f>
        <v>111</v>
      </c>
      <c r="C98" s="483"/>
      <c r="D98" s="483"/>
      <c r="E98" s="483"/>
      <c r="F98" s="483"/>
      <c r="G98" s="515"/>
      <c r="H98" s="515"/>
      <c r="I98" s="515"/>
      <c r="J98" s="515"/>
      <c r="K98" s="516"/>
      <c r="L98" s="517"/>
      <c r="M98" s="518"/>
      <c r="N98" s="2517"/>
      <c r="O98" s="2517"/>
      <c r="P98" s="2509"/>
      <c r="Q98" s="2504"/>
      <c r="R98" s="2483"/>
      <c r="S98" s="2483"/>
      <c r="T98" s="2483"/>
      <c r="U98" s="2483"/>
      <c r="V98" s="2483"/>
      <c r="W98" s="2483"/>
      <c r="X98" s="2483"/>
      <c r="Y98" s="2483"/>
      <c r="Z98" s="2483"/>
      <c r="AA98" s="2483"/>
      <c r="AB98" s="2483"/>
      <c r="AC98" s="2483"/>
    </row>
    <row r="99" spans="1:29" ht="15.75" thickBot="1">
      <c r="A99" s="375"/>
      <c r="B99" s="498"/>
      <c r="C99" s="499"/>
      <c r="D99" s="499"/>
      <c r="E99" s="499"/>
      <c r="F99" s="499"/>
      <c r="G99" s="519"/>
      <c r="H99" s="519"/>
      <c r="I99" s="519"/>
      <c r="J99" s="519"/>
      <c r="K99" s="519"/>
      <c r="L99" s="519"/>
      <c r="M99" s="520"/>
      <c r="N99" s="2518"/>
      <c r="O99" s="2518"/>
      <c r="P99" s="2509"/>
      <c r="Q99" s="2504"/>
      <c r="R99" s="2483"/>
      <c r="S99" s="2483"/>
      <c r="T99" s="2483"/>
      <c r="U99" s="2483"/>
      <c r="V99" s="2483"/>
      <c r="W99" s="2483"/>
      <c r="X99" s="2483"/>
      <c r="Y99" s="2483"/>
      <c r="Z99" s="2483"/>
      <c r="AA99" s="2483"/>
      <c r="AB99" s="2483"/>
      <c r="AC99" s="2483"/>
    </row>
    <row r="100" spans="1:29">
      <c r="A100" s="379" t="s">
        <v>1694</v>
      </c>
      <c r="B100" s="458" t="s">
        <v>1805</v>
      </c>
      <c r="C100" s="460"/>
      <c r="D100" s="460"/>
      <c r="E100" s="460"/>
      <c r="F100" s="460"/>
      <c r="G100" s="460"/>
      <c r="H100" s="460"/>
      <c r="I100" s="460"/>
      <c r="J100" s="460"/>
      <c r="K100" s="461"/>
      <c r="L100" s="462"/>
      <c r="M100" s="463"/>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1"/>
      <c r="C103" s="6"/>
      <c r="D103" s="6"/>
      <c r="E103" s="6"/>
      <c r="F103" s="6"/>
      <c r="G103" s="6"/>
      <c r="H103" s="6"/>
      <c r="I103" s="6"/>
      <c r="J103" s="522"/>
      <c r="K103" s="522"/>
      <c r="L103" s="523"/>
      <c r="M103" s="524"/>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2"/>
      <c r="B104" s="472"/>
      <c r="C104" s="489"/>
      <c r="D104" s="465"/>
      <c r="E104" s="465"/>
      <c r="F104" s="465"/>
      <c r="G104" s="465"/>
      <c r="H104" s="465"/>
      <c r="I104" s="465"/>
      <c r="J104" s="465"/>
      <c r="K104" s="465"/>
      <c r="L104" s="465"/>
      <c r="M104" s="466"/>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7" t="s">
        <v>1738</v>
      </c>
      <c r="C105" s="483"/>
      <c r="D105" s="483"/>
      <c r="E105" s="511"/>
      <c r="F105" s="511"/>
      <c r="G105" s="511"/>
      <c r="H105" s="511"/>
      <c r="I105" s="511"/>
      <c r="J105" s="511"/>
      <c r="K105" s="512"/>
      <c r="L105" s="513"/>
      <c r="M105" s="514"/>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7" t="s">
        <v>1740</v>
      </c>
      <c r="C107" s="483"/>
      <c r="D107" s="483"/>
      <c r="E107" s="483"/>
      <c r="F107" s="511"/>
      <c r="G107" s="511"/>
      <c r="H107" s="511"/>
      <c r="I107" s="511"/>
      <c r="J107" s="511"/>
      <c r="K107" s="512"/>
      <c r="L107" s="513"/>
      <c r="M107" s="514"/>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7"/>
      <c r="O109" s="2517"/>
      <c r="P109" s="2509"/>
      <c r="Q109" s="2504"/>
      <c r="R109" s="2483"/>
      <c r="S109" s="2483"/>
      <c r="T109" s="2483"/>
      <c r="U109" s="2483"/>
      <c r="V109" s="2483"/>
      <c r="W109" s="2483"/>
      <c r="X109" s="2483"/>
      <c r="Y109" s="2483"/>
      <c r="Z109" s="2483"/>
      <c r="AA109" s="2483"/>
      <c r="AB109" s="2483"/>
      <c r="AC109" s="2483"/>
    </row>
    <row r="110" spans="1:29">
      <c r="A110" s="409"/>
      <c r="B110" s="475"/>
      <c r="C110" s="528">
        <v>0.5</v>
      </c>
      <c r="D110" s="528">
        <v>0.6</v>
      </c>
      <c r="E110" s="528">
        <v>0.7</v>
      </c>
      <c r="F110" s="528">
        <v>0.8</v>
      </c>
      <c r="G110" s="528">
        <v>0.9</v>
      </c>
      <c r="H110" s="528">
        <v>1.0001</v>
      </c>
      <c r="I110" s="546"/>
      <c r="J110" s="546"/>
      <c r="K110" s="547"/>
      <c r="L110" s="548"/>
      <c r="M110" s="549"/>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7" t="s">
        <v>1742</v>
      </c>
      <c r="C112" s="483"/>
      <c r="D112" s="483"/>
      <c r="E112" s="483"/>
      <c r="F112" s="483"/>
      <c r="G112" s="483"/>
      <c r="H112" s="511"/>
      <c r="I112" s="511"/>
      <c r="J112" s="511"/>
      <c r="K112" s="512"/>
      <c r="L112" s="513"/>
      <c r="M112" s="514"/>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7" t="s">
        <v>1806</v>
      </c>
      <c r="C114" s="483"/>
      <c r="D114" s="483"/>
      <c r="E114" s="511"/>
      <c r="F114" s="511"/>
      <c r="G114" s="511"/>
      <c r="H114" s="511"/>
      <c r="I114" s="511"/>
      <c r="J114" s="511"/>
      <c r="K114" s="512"/>
      <c r="L114" s="513"/>
      <c r="M114" s="514"/>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7" t="s">
        <v>1807</v>
      </c>
      <c r="C116" s="483"/>
      <c r="D116" s="483"/>
      <c r="E116" s="483"/>
      <c r="F116" s="483"/>
      <c r="G116" s="483"/>
      <c r="H116" s="511"/>
      <c r="I116" s="511"/>
      <c r="J116" s="511"/>
      <c r="K116" s="512"/>
      <c r="L116" s="513"/>
      <c r="M116" s="514"/>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2"/>
      <c r="C117" s="473">
        <v>100</v>
      </c>
      <c r="D117" s="473">
        <f>C117-$K39</f>
        <v>100</v>
      </c>
      <c r="E117" s="473">
        <f>D117-$K39</f>
        <v>100</v>
      </c>
      <c r="F117" s="473">
        <f>E117-$K39</f>
        <v>100</v>
      </c>
      <c r="G117" s="473">
        <f>F117-$K39</f>
        <v>100</v>
      </c>
      <c r="H117" s="473"/>
      <c r="I117" s="473"/>
      <c r="J117" s="473"/>
      <c r="K117" s="473"/>
      <c r="L117" s="473"/>
      <c r="M117" s="474"/>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7" t="s">
        <v>1808</v>
      </c>
      <c r="C118" s="550"/>
      <c r="D118" s="550"/>
      <c r="E118" s="550"/>
      <c r="F118" s="550"/>
      <c r="G118" s="550"/>
      <c r="H118" s="484"/>
      <c r="I118" s="484"/>
      <c r="J118" s="484"/>
      <c r="K118" s="484"/>
      <c r="L118" s="485"/>
      <c r="M118" s="486"/>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2"/>
      <c r="C119" s="489"/>
      <c r="D119" s="465"/>
      <c r="E119" s="465"/>
      <c r="F119" s="465"/>
      <c r="G119" s="465"/>
      <c r="H119" s="465"/>
      <c r="I119" s="465"/>
      <c r="J119" s="465"/>
      <c r="K119" s="465"/>
      <c r="L119" s="465"/>
      <c r="M119" s="466"/>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7" t="s">
        <v>1809</v>
      </c>
      <c r="C120" s="511"/>
      <c r="D120" s="511"/>
      <c r="E120" s="511"/>
      <c r="F120" s="511"/>
      <c r="G120" s="484"/>
      <c r="H120" s="484"/>
      <c r="I120" s="484"/>
      <c r="J120" s="484"/>
      <c r="K120" s="484"/>
      <c r="L120" s="485"/>
      <c r="M120" s="486"/>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7" t="s">
        <v>1744</v>
      </c>
      <c r="C122" s="483"/>
      <c r="D122" s="483"/>
      <c r="E122" s="483"/>
      <c r="F122" s="511"/>
      <c r="G122" s="511"/>
      <c r="H122" s="511"/>
      <c r="I122" s="511"/>
      <c r="J122" s="511"/>
      <c r="K122" s="512"/>
      <c r="L122" s="513"/>
      <c r="M122" s="514"/>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7" t="s">
        <v>1745</v>
      </c>
      <c r="C124" s="507" t="s">
        <v>1721</v>
      </c>
      <c r="D124" s="507" t="s">
        <v>1722</v>
      </c>
      <c r="E124" s="507" t="s">
        <v>1723</v>
      </c>
      <c r="F124" s="507" t="s">
        <v>1724</v>
      </c>
      <c r="G124" s="507" t="s">
        <v>1725</v>
      </c>
      <c r="H124" s="468"/>
      <c r="I124" s="468"/>
      <c r="J124" s="468"/>
      <c r="K124" s="469"/>
      <c r="L124" s="470"/>
      <c r="M124" s="471"/>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2"/>
      <c r="C125" s="473">
        <v>100</v>
      </c>
      <c r="D125" s="473">
        <f>C125-$K43</f>
        <v>100</v>
      </c>
      <c r="E125" s="473">
        <f>D125-$K43</f>
        <v>100</v>
      </c>
      <c r="F125" s="473">
        <f>E125-$K43</f>
        <v>100</v>
      </c>
      <c r="G125" s="473">
        <f>F125-$K43</f>
        <v>100</v>
      </c>
      <c r="H125" s="473"/>
      <c r="I125" s="473"/>
      <c r="J125" s="473"/>
      <c r="K125" s="473"/>
      <c r="L125" s="473"/>
      <c r="M125" s="474"/>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7">
        <f>B44</f>
        <v>111</v>
      </c>
      <c r="C126" s="483"/>
      <c r="D126" s="483"/>
      <c r="E126" s="483"/>
      <c r="F126" s="483"/>
      <c r="G126" s="483"/>
      <c r="H126" s="484"/>
      <c r="I126" s="484"/>
      <c r="J126" s="484"/>
      <c r="K126" s="484"/>
      <c r="L126" s="485"/>
      <c r="M126" s="486"/>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2"/>
      <c r="B127" s="472"/>
      <c r="C127" s="489"/>
      <c r="D127" s="465"/>
      <c r="E127" s="465"/>
      <c r="F127" s="465"/>
      <c r="G127" s="489"/>
      <c r="H127" s="491"/>
      <c r="I127" s="491"/>
      <c r="J127" s="491"/>
      <c r="K127" s="491"/>
      <c r="L127" s="491"/>
      <c r="M127" s="492"/>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7">
        <f>B45</f>
        <v>111</v>
      </c>
      <c r="C128" s="483"/>
      <c r="D128" s="483"/>
      <c r="E128" s="483"/>
      <c r="F128" s="483"/>
      <c r="G128" s="511"/>
      <c r="H128" s="511"/>
      <c r="I128" s="511"/>
      <c r="J128" s="511"/>
      <c r="K128" s="512"/>
      <c r="L128" s="513"/>
      <c r="M128" s="514"/>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2"/>
      <c r="C129" s="489"/>
      <c r="D129" s="465"/>
      <c r="E129" s="465"/>
      <c r="F129" s="465"/>
      <c r="G129" s="465"/>
      <c r="H129" s="465"/>
      <c r="I129" s="465"/>
      <c r="J129" s="465"/>
      <c r="K129" s="465"/>
      <c r="L129" s="465"/>
      <c r="M129" s="466"/>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5">
        <f>B46</f>
        <v>111</v>
      </c>
      <c r="C130" s="483"/>
      <c r="D130" s="483"/>
      <c r="E130" s="483"/>
      <c r="F130" s="483"/>
      <c r="G130" s="515"/>
      <c r="H130" s="515"/>
      <c r="I130" s="515"/>
      <c r="J130" s="515"/>
      <c r="K130" s="31"/>
      <c r="L130" s="455"/>
      <c r="M130" s="518"/>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498"/>
      <c r="C131" s="499"/>
      <c r="D131" s="499"/>
      <c r="E131" s="499"/>
      <c r="F131" s="499"/>
      <c r="G131" s="519"/>
      <c r="H131" s="519"/>
      <c r="I131" s="519"/>
      <c r="J131" s="519"/>
      <c r="K131" s="519"/>
      <c r="L131" s="519"/>
      <c r="M131" s="520"/>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2700-000000000000}">
      <formula1>项目类型</formula1>
    </dataValidation>
    <dataValidation type="list" allowBlank="1" showInputMessage="1" showErrorMessage="1" sqref="C43 E43 G43 I43" xr:uid="{00000000-0002-0000-2700-000001000000}">
      <formula1>内部装修维护情况</formula1>
    </dataValidation>
    <dataValidation type="list" allowBlank="1" showInputMessage="1" showErrorMessage="1" sqref="E20 I20 G20 C20" xr:uid="{00000000-0002-0000-2700-000002000000}">
      <formula1>公共配套设施</formula1>
    </dataValidation>
    <dataValidation type="list" allowBlank="1" showInputMessage="1" showErrorMessage="1" sqref="E18 G18 I18 C18" xr:uid="{00000000-0002-0000-2700-000003000000}">
      <formula1>交通便捷度</formula1>
    </dataValidation>
    <dataValidation type="list" allowBlank="1" showInputMessage="1" showErrorMessage="1" sqref="E24 G24 I24 C24" xr:uid="{00000000-0002-0000-2700-000004000000}">
      <formula1>环境</formula1>
    </dataValidation>
    <dataValidation type="list" allowBlank="1" showInputMessage="1" showErrorMessage="1" sqref="C25 E25 G25 I25" xr:uid="{00000000-0002-0000-2700-000005000000}">
      <formula1>商业临街状况</formula1>
    </dataValidation>
    <dataValidation type="list" allowBlank="1" showInputMessage="1" showErrorMessage="1" sqref="C27 E27 G27 I27" xr:uid="{00000000-0002-0000-2700-000006000000}">
      <formula1>商业人流量</formula1>
    </dataValidation>
    <dataValidation type="list" allowBlank="1" showInputMessage="1" showErrorMessage="1" sqref="C28 E28 G28 I28" xr:uid="{00000000-0002-0000-2700-000007000000}">
      <formula1>商业楼层</formula1>
    </dataValidation>
    <dataValidation type="list" allowBlank="1" showInputMessage="1" showErrorMessage="1" sqref="C32 E32 G32 I32" xr:uid="{00000000-0002-0000-2700-000008000000}">
      <formula1>商业类型</formula1>
    </dataValidation>
    <dataValidation type="list" allowBlank="1" showInputMessage="1" showErrorMessage="1" sqref="C34 E34 G34 I34" xr:uid="{00000000-0002-0000-2700-000009000000}">
      <formula1>商业建筑结构</formula1>
    </dataValidation>
    <dataValidation type="list" allowBlank="1" showInputMessage="1" showErrorMessage="1" sqref="C35 E35 G35 I35" xr:uid="{00000000-0002-0000-2700-00000A000000}">
      <formula1>商业公共部分装修</formula1>
    </dataValidation>
    <dataValidation type="list" allowBlank="1" showInputMessage="1" showErrorMessage="1" sqref="C37 E37 G37 I37" xr:uid="{00000000-0002-0000-2700-00000B000000}">
      <formula1>商业基础设施水平</formula1>
    </dataValidation>
    <dataValidation type="list" allowBlank="1" showInputMessage="1" showErrorMessage="1" sqref="C41 E41 G41 I41" xr:uid="{00000000-0002-0000-2700-00000C000000}">
      <formula1>商业进深比</formula1>
    </dataValidation>
    <dataValidation type="list" allowBlank="1" showInputMessage="1" showErrorMessage="1" sqref="C42 E42 G42 I42" xr:uid="{00000000-0002-0000-2700-00000D000000}">
      <formula1>商业内部装修</formula1>
    </dataValidation>
    <dataValidation type="list" allowBlank="1" showInputMessage="1" showErrorMessage="1" sqref="E9 G9 I9" xr:uid="{00000000-0002-0000-2700-00000E000000}">
      <formula1>商业用途</formula1>
    </dataValidation>
    <dataValidation type="list" allowBlank="1" showInputMessage="1" showErrorMessage="1" sqref="C38 E38 G38 I38" xr:uid="{00000000-0002-0000-2700-00000F000000}">
      <formula1>商业业态</formula1>
    </dataValidation>
    <dataValidation type="list" allowBlank="1" showInputMessage="1" showErrorMessage="1" sqref="C39 E39 G39 I39" xr:uid="{00000000-0002-0000-2700-000010000000}">
      <formula1>商业层高</formula1>
    </dataValidation>
    <dataValidation type="list" allowBlank="1" showInputMessage="1" showErrorMessage="1" sqref="C8 E8 G8 I8" xr:uid="{00000000-0002-0000-2700-000011000000}">
      <formula1>商业交易情况</formula1>
    </dataValidation>
    <dataValidation type="list" allowBlank="1" showInputMessage="1" showErrorMessage="1" sqref="C16 E16 G16 I16" xr:uid="{00000000-0002-0000-2700-000012000000}">
      <formula1>商业繁华度</formula1>
    </dataValidation>
    <dataValidation type="list" allowBlank="1" showInputMessage="1" showErrorMessage="1" sqref="C22 E22 G22 I22" xr:uid="{00000000-0002-0000-2700-000013000000}">
      <formula1>基础设施水平</formula1>
    </dataValidation>
    <dataValidation type="list" allowBlank="1" showInputMessage="1" showErrorMessage="1" sqref="F1" xr:uid="{00000000-0002-0000-2700-000014000000}">
      <formula1>"售价,租金"</formula1>
    </dataValidation>
    <dataValidation type="list" allowBlank="1" showInputMessage="1" showErrorMessage="1" sqref="C2" xr:uid="{00000000-0002-0000-2700-000015000000}">
      <formula1>"需扣减承租人权益,——"</formula1>
    </dataValidation>
    <dataValidation type="list" allowBlank="1" showInputMessage="1" showErrorMessage="1" sqref="F2" xr:uid="{00000000-0002-0000-2700-000016000000}">
      <formula1>估价方法</formula1>
    </dataValidation>
    <dataValidation type="list" allowBlank="1" showInputMessage="1" showErrorMessage="1" sqref="D48" xr:uid="{00000000-0002-0000-2700-000017000000}">
      <formula1>"简单平均,加权平均"</formula1>
    </dataValidation>
    <dataValidation type="list" allowBlank="1" showInputMessage="1" showErrorMessage="1" sqref="E1" xr:uid="{00000000-0002-0000-27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3" t="s">
        <v>1810</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9"/>
      <c r="M2" s="2500"/>
      <c r="N2" s="2500"/>
      <c r="O2" s="2500"/>
      <c r="P2" s="341"/>
      <c r="Q2" s="341"/>
      <c r="R2" s="341"/>
      <c r="S2" s="341"/>
      <c r="T2" s="341"/>
      <c r="U2" s="341"/>
      <c r="V2" s="341"/>
      <c r="W2" s="341"/>
      <c r="X2" s="341"/>
      <c r="Y2" s="341"/>
      <c r="Z2" s="341"/>
      <c r="AA2" s="341"/>
      <c r="AB2" s="341"/>
      <c r="AC2" s="661"/>
    </row>
    <row r="3" spans="1:29" s="342" customFormat="1" ht="28.5" customHeight="1" thickBot="1">
      <c r="A3" s="195" t="s">
        <v>1464</v>
      </c>
      <c r="B3" s="534">
        <f>IF(C2="——",C50,ROUND(B2*10000/D3,0))</f>
        <v>0</v>
      </c>
      <c r="C3" s="344" t="s">
        <v>1768</v>
      </c>
      <c r="D3" s="343">
        <f>IF(D1="",'数据-汇总表'!E3,SUMIF('数据-汇总表'!$C19:$C33,D1,'数据-汇总表'!$E19:$E33))</f>
        <v>67554.06999999992</v>
      </c>
      <c r="E3" s="1800"/>
      <c r="F3" s="853"/>
      <c r="G3" s="852"/>
      <c r="H3" s="852"/>
      <c r="I3" s="852"/>
      <c r="J3" s="852"/>
      <c r="K3" s="854"/>
      <c r="L3" s="2499"/>
      <c r="M3" s="2500"/>
      <c r="N3" s="2500"/>
      <c r="O3" s="2500"/>
      <c r="P3" s="341"/>
      <c r="Q3" s="341"/>
      <c r="R3" s="341"/>
      <c r="S3" s="341"/>
      <c r="T3" s="341"/>
      <c r="U3" s="341"/>
      <c r="V3" s="341"/>
      <c r="W3" s="341"/>
      <c r="X3" s="341"/>
      <c r="Y3" s="341"/>
      <c r="Z3" s="341"/>
      <c r="AA3" s="341"/>
      <c r="AB3" s="341"/>
      <c r="AC3" s="661"/>
    </row>
    <row r="4" spans="1:29" ht="15">
      <c r="A4" s="345" t="s">
        <v>1769</v>
      </c>
      <c r="B4" s="346"/>
      <c r="C4" s="3468" t="s">
        <v>1770</v>
      </c>
      <c r="D4" s="3469"/>
      <c r="E4" s="3470" t="s">
        <v>1771</v>
      </c>
      <c r="F4" s="3471"/>
      <c r="G4" s="3468" t="s">
        <v>1772</v>
      </c>
      <c r="H4" s="3469"/>
      <c r="I4" s="3468" t="s">
        <v>1773</v>
      </c>
      <c r="J4" s="3469"/>
      <c r="K4" s="535" t="s">
        <v>1774</v>
      </c>
      <c r="L4" s="2482"/>
      <c r="M4" s="2483"/>
      <c r="N4" s="2483"/>
      <c r="O4" s="2483"/>
      <c r="P4" s="3532" t="s">
        <v>1775</v>
      </c>
      <c r="Q4" s="3533"/>
      <c r="R4" s="3527" t="s">
        <v>1771</v>
      </c>
      <c r="S4" s="3528"/>
      <c r="T4" s="3527" t="s">
        <v>1772</v>
      </c>
      <c r="U4" s="3528"/>
      <c r="V4" s="3536" t="s">
        <v>1773</v>
      </c>
      <c r="W4" s="3536"/>
      <c r="X4" s="1804"/>
      <c r="Y4" s="3527" t="s">
        <v>1775</v>
      </c>
      <c r="Z4" s="3528"/>
      <c r="AA4" s="3526" t="s">
        <v>1771</v>
      </c>
      <c r="AB4" s="3526" t="s">
        <v>1772</v>
      </c>
      <c r="AC4" s="3529" t="s">
        <v>1773</v>
      </c>
    </row>
    <row r="5" spans="1:29" ht="15">
      <c r="A5" s="348"/>
      <c r="B5" s="349"/>
      <c r="C5" s="3460" t="s">
        <v>1673</v>
      </c>
      <c r="D5" s="3461"/>
      <c r="E5" s="3518" t="s">
        <v>1674</v>
      </c>
      <c r="F5" s="3459"/>
      <c r="G5" s="3460" t="s">
        <v>1675</v>
      </c>
      <c r="H5" s="3461"/>
      <c r="I5" s="3460" t="s">
        <v>1676</v>
      </c>
      <c r="J5" s="3461"/>
      <c r="K5" s="535"/>
      <c r="L5" s="2482"/>
      <c r="M5" s="2483"/>
      <c r="N5" s="2483"/>
      <c r="O5" s="2483"/>
      <c r="P5" s="3534"/>
      <c r="Q5" s="3475"/>
      <c r="R5" s="3456"/>
      <c r="S5" s="3457"/>
      <c r="T5" s="3456"/>
      <c r="U5" s="3457"/>
      <c r="V5" s="3480"/>
      <c r="W5" s="3480"/>
      <c r="X5" s="1262"/>
      <c r="Y5" s="3456"/>
      <c r="Z5" s="3457"/>
      <c r="AA5" s="3450"/>
      <c r="AB5" s="3450"/>
      <c r="AC5" s="3530"/>
    </row>
    <row r="6" spans="1:29" ht="15.75" thickBot="1">
      <c r="A6" s="350"/>
      <c r="B6" s="351"/>
      <c r="C6" s="3462" t="s">
        <v>1677</v>
      </c>
      <c r="D6" s="3463"/>
      <c r="E6" s="3465" t="s">
        <v>1677</v>
      </c>
      <c r="F6" s="3466"/>
      <c r="G6" s="3462" t="s">
        <v>1677</v>
      </c>
      <c r="H6" s="3463"/>
      <c r="I6" s="3462" t="s">
        <v>1677</v>
      </c>
      <c r="J6" s="3463"/>
      <c r="K6" s="535" t="s">
        <v>1678</v>
      </c>
      <c r="L6" s="2482"/>
      <c r="M6" s="2483"/>
      <c r="N6" s="2483"/>
      <c r="O6" s="2483"/>
      <c r="P6" s="3535"/>
      <c r="Q6" s="3477"/>
      <c r="R6" s="3456"/>
      <c r="S6" s="3457"/>
      <c r="T6" s="3478"/>
      <c r="U6" s="3479"/>
      <c r="V6" s="3480"/>
      <c r="W6" s="3480"/>
      <c r="X6" s="1262"/>
      <c r="Y6" s="3478"/>
      <c r="Z6" s="3479"/>
      <c r="AA6" s="3451"/>
      <c r="AB6" s="3451"/>
      <c r="AC6" s="3531"/>
    </row>
    <row r="7" spans="1:29" s="102" customFormat="1" ht="15.75" thickBot="1">
      <c r="A7" s="352" t="s">
        <v>1679</v>
      </c>
      <c r="B7" s="353"/>
      <c r="C7" s="354">
        <f>'数据-取费表'!B2</f>
        <v>45803</v>
      </c>
      <c r="D7" s="355">
        <v>100</v>
      </c>
      <c r="E7" s="356"/>
      <c r="F7" s="357">
        <f>SUMIF(59:59,YEAR(E7)&amp;"-"&amp;MONTH(E7),60:60)</f>
        <v>0</v>
      </c>
      <c r="G7" s="356"/>
      <c r="H7" s="355">
        <f>SUMIF(59:59,YEAR(G7)&amp;"-"&amp;MONTH(G7),60:60)</f>
        <v>0</v>
      </c>
      <c r="I7" s="356"/>
      <c r="J7" s="355">
        <f>SUMIF(59:59,YEAR(I7)&amp;"-"&amp;MONTH(I7),60:60)</f>
        <v>0</v>
      </c>
      <c r="K7" s="38"/>
      <c r="L7" s="2484"/>
      <c r="M7" s="2435"/>
      <c r="N7" s="2435"/>
      <c r="O7" s="2435"/>
      <c r="P7" s="3537" t="s">
        <v>1680</v>
      </c>
      <c r="Q7" s="3481"/>
      <c r="R7" s="662" t="s">
        <v>14</v>
      </c>
      <c r="S7" s="663">
        <f t="shared" ref="S7:S15" si="0">F7</f>
        <v>0</v>
      </c>
      <c r="T7" s="662" t="s">
        <v>14</v>
      </c>
      <c r="U7" s="663">
        <f t="shared" ref="U7:U15" si="1">H7</f>
        <v>0</v>
      </c>
      <c r="V7" s="662" t="s">
        <v>14</v>
      </c>
      <c r="W7" s="663">
        <f t="shared" ref="W7:W15" si="2">J7</f>
        <v>0</v>
      </c>
      <c r="X7" s="664"/>
      <c r="Y7" s="3452" t="s">
        <v>1680</v>
      </c>
      <c r="Z7" s="3453"/>
      <c r="AA7" s="50" t="e">
        <f>D7/F7</f>
        <v>#DIV/0!</v>
      </c>
      <c r="AB7" s="50" t="e">
        <f>D7/H7</f>
        <v>#DIV/0!</v>
      </c>
      <c r="AC7" s="799"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537" t="s">
        <v>1683</v>
      </c>
      <c r="Q8" s="3453"/>
      <c r="R8" s="662" t="s">
        <v>14</v>
      </c>
      <c r="S8" s="663">
        <f t="shared" si="0"/>
        <v>100</v>
      </c>
      <c r="T8" s="662" t="s">
        <v>14</v>
      </c>
      <c r="U8" s="663">
        <f t="shared" si="1"/>
        <v>100</v>
      </c>
      <c r="V8" s="662" t="s">
        <v>14</v>
      </c>
      <c r="W8" s="663">
        <f t="shared" si="2"/>
        <v>100</v>
      </c>
      <c r="X8" s="664"/>
      <c r="Y8" s="3452" t="s">
        <v>1683</v>
      </c>
      <c r="Z8" s="3453"/>
      <c r="AA8" s="50">
        <f t="shared" ref="AA8:AA47" si="3">D8/F8</f>
        <v>1</v>
      </c>
      <c r="AB8" s="50">
        <f t="shared" ref="AB8:AB47" si="4">D8/H8</f>
        <v>1</v>
      </c>
      <c r="AC8" s="799">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491" t="s">
        <v>1686</v>
      </c>
      <c r="Q9" s="528" t="str">
        <f t="shared" ref="Q9:Q15" si="6">B9</f>
        <v>用途</v>
      </c>
      <c r="R9" s="662" t="s">
        <v>14</v>
      </c>
      <c r="S9" s="663">
        <f t="shared" si="0"/>
        <v>100</v>
      </c>
      <c r="T9" s="662" t="s">
        <v>14</v>
      </c>
      <c r="U9" s="663">
        <f t="shared" si="1"/>
        <v>100</v>
      </c>
      <c r="V9" s="662" t="s">
        <v>14</v>
      </c>
      <c r="W9" s="663">
        <f t="shared" si="2"/>
        <v>100</v>
      </c>
      <c r="X9" s="664"/>
      <c r="Y9" s="3422" t="s">
        <v>1687</v>
      </c>
      <c r="Z9" s="50" t="str">
        <f t="shared" ref="Z9:Z15" si="7">Q9</f>
        <v>用途</v>
      </c>
      <c r="AA9" s="50">
        <f t="shared" si="3"/>
        <v>1</v>
      </c>
      <c r="AB9" s="50">
        <f t="shared" si="4"/>
        <v>1</v>
      </c>
      <c r="AC9" s="799">
        <f t="shared" si="5"/>
        <v>1</v>
      </c>
    </row>
    <row r="10" spans="1:29" s="366" customFormat="1" ht="27">
      <c r="A10" s="363"/>
      <c r="B10" s="364" t="s">
        <v>1688</v>
      </c>
      <c r="C10" s="3127"/>
      <c r="D10" s="119">
        <v>100</v>
      </c>
      <c r="E10" s="3127"/>
      <c r="F10" s="119">
        <f>SUMIF(66:66,E10,67:67)-SUMIF(66:66,C10,67:67)+100</f>
        <v>100</v>
      </c>
      <c r="G10" s="3128"/>
      <c r="H10" s="119">
        <f>SUMIF(66:66,G10,67:67)-SUMIF(66:66,C10,67:67)+100</f>
        <v>100</v>
      </c>
      <c r="I10" s="3127"/>
      <c r="J10" s="119">
        <f>SUMIF(66:66,I10,67:67)-SUMIF(66:66,C10,67:67)+100</f>
        <v>100</v>
      </c>
      <c r="K10" s="38"/>
      <c r="L10" s="2485"/>
      <c r="M10" s="2486"/>
      <c r="N10" s="2486"/>
      <c r="O10" s="2486"/>
      <c r="P10" s="3491"/>
      <c r="Q10" s="528" t="str">
        <f t="shared" si="6"/>
        <v>土地使用年限（年）</v>
      </c>
      <c r="R10" s="662" t="s">
        <v>14</v>
      </c>
      <c r="S10" s="663">
        <f t="shared" si="0"/>
        <v>100</v>
      </c>
      <c r="T10" s="662" t="s">
        <v>14</v>
      </c>
      <c r="U10" s="663">
        <f t="shared" si="1"/>
        <v>100</v>
      </c>
      <c r="V10" s="662" t="s">
        <v>14</v>
      </c>
      <c r="W10" s="663">
        <f t="shared" si="2"/>
        <v>100</v>
      </c>
      <c r="X10" s="664"/>
      <c r="Y10" s="3422"/>
      <c r="Z10" s="50" t="str">
        <f t="shared" si="7"/>
        <v>土地使用年限（年）</v>
      </c>
      <c r="AA10" s="50">
        <f t="shared" si="3"/>
        <v>1</v>
      </c>
      <c r="AB10" s="50">
        <f t="shared" si="4"/>
        <v>1</v>
      </c>
      <c r="AC10" s="799">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6"/>
      <c r="L11" s="2487"/>
      <c r="M11" s="2483"/>
      <c r="N11" s="2483"/>
      <c r="O11" s="2483"/>
      <c r="P11" s="3491"/>
      <c r="Q11" s="528" t="str">
        <f t="shared" si="6"/>
        <v>容积率</v>
      </c>
      <c r="R11" s="662" t="s">
        <v>14</v>
      </c>
      <c r="S11" s="663">
        <f t="shared" si="0"/>
        <v>100</v>
      </c>
      <c r="T11" s="662" t="s">
        <v>14</v>
      </c>
      <c r="U11" s="663">
        <f t="shared" si="1"/>
        <v>100</v>
      </c>
      <c r="V11" s="662" t="s">
        <v>14</v>
      </c>
      <c r="W11" s="663">
        <f t="shared" si="2"/>
        <v>100</v>
      </c>
      <c r="X11" s="664"/>
      <c r="Y11" s="3422"/>
      <c r="Z11" s="50" t="str">
        <f t="shared" si="7"/>
        <v>容积率</v>
      </c>
      <c r="AA11" s="50">
        <f t="shared" si="3"/>
        <v>1</v>
      </c>
      <c r="AB11" s="50">
        <f t="shared" si="4"/>
        <v>1</v>
      </c>
      <c r="AC11" s="799">
        <f t="shared" si="5"/>
        <v>1</v>
      </c>
    </row>
    <row r="12" spans="1:29" s="102" customFormat="1" ht="15">
      <c r="A12" s="370"/>
      <c r="B12" s="445">
        <v>111</v>
      </c>
      <c r="C12" s="371"/>
      <c r="D12" s="372">
        <v>100</v>
      </c>
      <c r="E12" s="371"/>
      <c r="F12" s="119">
        <f>SUMIF(71:71,E12,72:72)-SUMIF(71:71,C12,72:72)+100</f>
        <v>100</v>
      </c>
      <c r="G12" s="1805"/>
      <c r="H12" s="119">
        <f>SUMIF(71:71,G12,72:72)-SUMIF(71:71,C12,72:72)+100</f>
        <v>100</v>
      </c>
      <c r="I12" s="371"/>
      <c r="J12" s="119">
        <f>SUMIF(71:71,I12,72:72)-SUMIF(71:71,C12,72:72)+100</f>
        <v>100</v>
      </c>
      <c r="K12" s="537"/>
      <c r="L12" s="2484"/>
      <c r="M12" s="2435"/>
      <c r="N12" s="2435"/>
      <c r="O12" s="2435"/>
      <c r="P12" s="3491"/>
      <c r="Q12" s="528">
        <f t="shared" si="6"/>
        <v>111</v>
      </c>
      <c r="R12" s="662" t="s">
        <v>14</v>
      </c>
      <c r="S12" s="663">
        <f t="shared" si="0"/>
        <v>100</v>
      </c>
      <c r="T12" s="662" t="s">
        <v>14</v>
      </c>
      <c r="U12" s="663">
        <f t="shared" si="1"/>
        <v>100</v>
      </c>
      <c r="V12" s="662" t="s">
        <v>14</v>
      </c>
      <c r="W12" s="663">
        <f t="shared" si="2"/>
        <v>100</v>
      </c>
      <c r="X12" s="664"/>
      <c r="Y12" s="3422"/>
      <c r="Z12" s="50">
        <f t="shared" si="7"/>
        <v>111</v>
      </c>
      <c r="AA12" s="50">
        <f>D12/F12</f>
        <v>1</v>
      </c>
      <c r="AB12" s="50">
        <f>D12/H12</f>
        <v>1</v>
      </c>
      <c r="AC12" s="799">
        <f>D12/J12</f>
        <v>1</v>
      </c>
    </row>
    <row r="13" spans="1:29" ht="15">
      <c r="A13" s="367"/>
      <c r="B13" s="445">
        <v>111</v>
      </c>
      <c r="C13" s="373"/>
      <c r="D13" s="374">
        <v>100</v>
      </c>
      <c r="E13" s="371"/>
      <c r="F13" s="119">
        <f>SUMIF(73:73,E13,74:74)-SUMIF(73:73,C13,74:74)+100</f>
        <v>100</v>
      </c>
      <c r="G13" s="1805"/>
      <c r="H13" s="374">
        <f>SUMIF(73:73,G13,74:74)-SUMIF(73:73,C13,74:74)+100</f>
        <v>100</v>
      </c>
      <c r="I13" s="371"/>
      <c r="J13" s="374">
        <f>SUMIF(73:73,I13,74:74)-SUMIF(73:73,C13,74:74)+100</f>
        <v>100</v>
      </c>
      <c r="K13" s="537"/>
      <c r="L13" s="2488"/>
      <c r="M13" s="2483"/>
      <c r="N13" s="2483"/>
      <c r="O13" s="2483"/>
      <c r="P13" s="3491"/>
      <c r="Q13" s="528">
        <f t="shared" si="6"/>
        <v>111</v>
      </c>
      <c r="R13" s="662" t="s">
        <v>14</v>
      </c>
      <c r="S13" s="663">
        <f t="shared" si="0"/>
        <v>100</v>
      </c>
      <c r="T13" s="662" t="s">
        <v>14</v>
      </c>
      <c r="U13" s="663">
        <f t="shared" si="1"/>
        <v>100</v>
      </c>
      <c r="V13" s="662" t="s">
        <v>14</v>
      </c>
      <c r="W13" s="663">
        <f t="shared" si="2"/>
        <v>100</v>
      </c>
      <c r="X13" s="664"/>
      <c r="Y13" s="3422"/>
      <c r="Z13" s="50">
        <f t="shared" si="7"/>
        <v>111</v>
      </c>
      <c r="AA13" s="50">
        <f t="shared" si="3"/>
        <v>1</v>
      </c>
      <c r="AB13" s="50">
        <f t="shared" si="4"/>
        <v>1</v>
      </c>
      <c r="AC13" s="799">
        <f t="shared" si="5"/>
        <v>1</v>
      </c>
    </row>
    <row r="14" spans="1:29" ht="15.75" thickBot="1">
      <c r="A14" s="375"/>
      <c r="B14" s="1746">
        <v>111</v>
      </c>
      <c r="C14" s="376"/>
      <c r="D14" s="377">
        <v>100</v>
      </c>
      <c r="E14" s="551"/>
      <c r="F14" s="377">
        <f>SUMIF(75:75,E14,76:76)-SUMIF(75:75,C14,76:76)+100</f>
        <v>100</v>
      </c>
      <c r="G14" s="1805"/>
      <c r="H14" s="377">
        <f>SUMIF(75:75,G14,76:76)-SUMIF(75:75,C14,76:76)+100</f>
        <v>100</v>
      </c>
      <c r="I14" s="371"/>
      <c r="J14" s="377">
        <f>SUMIF(75:75,I14,76:76)-SUMIF(75:75,C14,76:76)+100</f>
        <v>100</v>
      </c>
      <c r="K14" s="537"/>
      <c r="L14" s="2488"/>
      <c r="M14" s="2483"/>
      <c r="N14" s="2483"/>
      <c r="O14" s="2483"/>
      <c r="P14" s="3491"/>
      <c r="Q14" s="528">
        <f t="shared" si="6"/>
        <v>111</v>
      </c>
      <c r="R14" s="662" t="s">
        <v>14</v>
      </c>
      <c r="S14" s="663">
        <f t="shared" si="0"/>
        <v>100</v>
      </c>
      <c r="T14" s="662" t="s">
        <v>14</v>
      </c>
      <c r="U14" s="663">
        <f t="shared" si="1"/>
        <v>100</v>
      </c>
      <c r="V14" s="662" t="s">
        <v>14</v>
      </c>
      <c r="W14" s="663">
        <f t="shared" si="2"/>
        <v>100</v>
      </c>
      <c r="X14" s="664"/>
      <c r="Y14" s="3422"/>
      <c r="Z14" s="50">
        <f t="shared" si="7"/>
        <v>111</v>
      </c>
      <c r="AA14" s="50">
        <f t="shared" si="3"/>
        <v>1</v>
      </c>
      <c r="AB14" s="50">
        <f t="shared" si="4"/>
        <v>1</v>
      </c>
      <c r="AC14" s="799">
        <f t="shared" si="5"/>
        <v>1</v>
      </c>
    </row>
    <row r="15" spans="1:29" ht="15">
      <c r="A15" s="379" t="s">
        <v>1690</v>
      </c>
      <c r="B15" s="552" t="s">
        <v>1811</v>
      </c>
      <c r="C15" s="1806">
        <f>估价对象房地状况!C5</f>
        <v>0</v>
      </c>
      <c r="D15" s="380">
        <v>100</v>
      </c>
      <c r="E15" s="383"/>
      <c r="F15" s="380">
        <f>SUMIF(77:77,E16,78:78)-SUMIF(77:77,C16,78:78)+100</f>
        <v>100</v>
      </c>
      <c r="G15" s="381"/>
      <c r="H15" s="380">
        <f>SUMIF(77:77,G16,78:78)-SUMIF(77:77,C16,78:78)+100</f>
        <v>100</v>
      </c>
      <c r="I15" s="381"/>
      <c r="J15" s="380">
        <f>SUMIF(77:77,I16,78:78)-SUMIF(77:77,C16,78:78)+100</f>
        <v>100</v>
      </c>
      <c r="K15" s="538"/>
      <c r="L15" s="2488"/>
      <c r="M15" s="2483"/>
      <c r="N15" s="2483"/>
      <c r="O15" s="2483"/>
      <c r="P15" s="3524" t="s">
        <v>1691</v>
      </c>
      <c r="Q15" s="1260" t="str">
        <f t="shared" si="6"/>
        <v>办公集聚程度</v>
      </c>
      <c r="R15" s="665" t="s">
        <v>14</v>
      </c>
      <c r="S15" s="666">
        <f t="shared" si="0"/>
        <v>100</v>
      </c>
      <c r="T15" s="665" t="s">
        <v>14</v>
      </c>
      <c r="U15" s="666">
        <f t="shared" si="1"/>
        <v>100</v>
      </c>
      <c r="V15" s="665" t="s">
        <v>14</v>
      </c>
      <c r="W15" s="666">
        <f t="shared" si="2"/>
        <v>100</v>
      </c>
      <c r="X15" s="1262"/>
      <c r="Y15" s="3482" t="s">
        <v>1691</v>
      </c>
      <c r="Z15" s="1261" t="str">
        <f t="shared" si="7"/>
        <v>办公集聚程度</v>
      </c>
      <c r="AA15" s="1261">
        <f t="shared" si="3"/>
        <v>1</v>
      </c>
      <c r="AB15" s="1261">
        <f t="shared" si="4"/>
        <v>1</v>
      </c>
      <c r="AC15" s="1807">
        <f t="shared" si="5"/>
        <v>1</v>
      </c>
    </row>
    <row r="16" spans="1:29" ht="15">
      <c r="A16" s="367"/>
      <c r="B16" s="553"/>
      <c r="C16" s="1755"/>
      <c r="D16" s="387"/>
      <c r="E16" s="386"/>
      <c r="F16" s="387"/>
      <c r="G16" s="1755"/>
      <c r="H16" s="389"/>
      <c r="I16" s="386"/>
      <c r="J16" s="387"/>
      <c r="K16" s="539"/>
      <c r="L16" s="2488"/>
      <c r="M16" s="2483"/>
      <c r="N16" s="2483"/>
      <c r="O16" s="2483"/>
      <c r="P16" s="3525"/>
      <c r="Q16" s="1260"/>
      <c r="R16" s="665"/>
      <c r="S16" s="666"/>
      <c r="T16" s="665"/>
      <c r="U16" s="666"/>
      <c r="V16" s="665"/>
      <c r="W16" s="666"/>
      <c r="X16" s="1262"/>
      <c r="Y16" s="3483"/>
      <c r="Z16" s="1261"/>
      <c r="AA16" s="1261">
        <v>1</v>
      </c>
      <c r="AB16" s="1261">
        <v>1</v>
      </c>
      <c r="AC16" s="1807">
        <v>1</v>
      </c>
    </row>
    <row r="17" spans="1:29" ht="15">
      <c r="A17" s="367"/>
      <c r="B17" s="554" t="s">
        <v>1259</v>
      </c>
      <c r="C17" s="1808">
        <f>估价对象房地状况!C6</f>
        <v>0</v>
      </c>
      <c r="D17" s="389">
        <v>100</v>
      </c>
      <c r="E17" s="393"/>
      <c r="F17" s="389">
        <f>SUMIF(79:79,E18,80:80)-SUMIF(79:79,C18,80:80)+100</f>
        <v>100</v>
      </c>
      <c r="G17" s="391"/>
      <c r="H17" s="394">
        <f>SUMIF(79:79,G18,80:80)-SUMIF(79:79,C18,80:80)+100</f>
        <v>100</v>
      </c>
      <c r="I17" s="391"/>
      <c r="J17" s="394">
        <f>SUMIF(79:79,I18,80:80)-SUMIF(79:79,C18,80:80)+100</f>
        <v>100</v>
      </c>
      <c r="K17" s="538"/>
      <c r="L17" s="2488"/>
      <c r="M17" s="2483"/>
      <c r="N17" s="2483"/>
      <c r="O17" s="2483"/>
      <c r="P17" s="3525"/>
      <c r="Q17" s="1260" t="str">
        <f>B17</f>
        <v>交通便捷度</v>
      </c>
      <c r="R17" s="665" t="s">
        <v>14</v>
      </c>
      <c r="S17" s="666">
        <f>F17</f>
        <v>100</v>
      </c>
      <c r="T17" s="665" t="s">
        <v>14</v>
      </c>
      <c r="U17" s="666">
        <f>H17</f>
        <v>100</v>
      </c>
      <c r="V17" s="665" t="s">
        <v>14</v>
      </c>
      <c r="W17" s="666">
        <f>J17</f>
        <v>100</v>
      </c>
      <c r="X17" s="1262"/>
      <c r="Y17" s="3483"/>
      <c r="Z17" s="1261" t="str">
        <f>Q17</f>
        <v>交通便捷度</v>
      </c>
      <c r="AA17" s="1261">
        <f t="shared" si="3"/>
        <v>1</v>
      </c>
      <c r="AB17" s="1261">
        <f t="shared" si="4"/>
        <v>1</v>
      </c>
      <c r="AC17" s="1807">
        <f t="shared" si="5"/>
        <v>1</v>
      </c>
    </row>
    <row r="18" spans="1:29" ht="15">
      <c r="A18" s="367"/>
      <c r="B18" s="401"/>
      <c r="C18" s="1809"/>
      <c r="D18" s="389"/>
      <c r="E18" s="1753"/>
      <c r="F18" s="389"/>
      <c r="G18" s="1754"/>
      <c r="H18" s="387"/>
      <c r="I18" s="1754"/>
      <c r="J18" s="387"/>
      <c r="K18" s="539"/>
      <c r="L18" s="2488"/>
      <c r="M18" s="2483"/>
      <c r="N18" s="2483"/>
      <c r="O18" s="2483"/>
      <c r="P18" s="3525"/>
      <c r="Q18" s="1260"/>
      <c r="R18" s="665"/>
      <c r="S18" s="666"/>
      <c r="T18" s="665"/>
      <c r="U18" s="666"/>
      <c r="V18" s="665"/>
      <c r="W18" s="666"/>
      <c r="X18" s="1262"/>
      <c r="Y18" s="3483"/>
      <c r="Z18" s="1261"/>
      <c r="AA18" s="1261">
        <v>1</v>
      </c>
      <c r="AB18" s="1261">
        <v>1</v>
      </c>
      <c r="AC18" s="1807">
        <v>1</v>
      </c>
    </row>
    <row r="19" spans="1:29" ht="15">
      <c r="A19" s="367"/>
      <c r="B19" s="554" t="s">
        <v>1812</v>
      </c>
      <c r="C19" s="1808">
        <f>估价对象房地状况!C7</f>
        <v>0</v>
      </c>
      <c r="D19" s="394">
        <v>100</v>
      </c>
      <c r="E19" s="398"/>
      <c r="F19" s="394">
        <f>SUMIF(81:81,E20,82:82)-SUMIF(81:81,C20,82:82)+100</f>
        <v>100</v>
      </c>
      <c r="G19" s="396"/>
      <c r="H19" s="389">
        <f>SUMIF(81:81,G20,82:82)-SUMIF(81:81,C20,82:82)+100</f>
        <v>100</v>
      </c>
      <c r="I19" s="396"/>
      <c r="J19" s="389">
        <f>SUMIF(81:81,I20,82:82)-SUMIF(81:81,C20,82:82)+100</f>
        <v>100</v>
      </c>
      <c r="K19" s="538"/>
      <c r="L19" s="2488"/>
      <c r="M19" s="2483"/>
      <c r="N19" s="2483"/>
      <c r="O19" s="2483"/>
      <c r="P19" s="3525"/>
      <c r="Q19" s="1260" t="str">
        <f>B19</f>
        <v>公共配套设施</v>
      </c>
      <c r="R19" s="665" t="s">
        <v>14</v>
      </c>
      <c r="S19" s="666">
        <f>F19</f>
        <v>100</v>
      </c>
      <c r="T19" s="665" t="s">
        <v>14</v>
      </c>
      <c r="U19" s="666">
        <f>H19</f>
        <v>100</v>
      </c>
      <c r="V19" s="665" t="s">
        <v>14</v>
      </c>
      <c r="W19" s="666">
        <f>J19</f>
        <v>100</v>
      </c>
      <c r="X19" s="1262"/>
      <c r="Y19" s="3483"/>
      <c r="Z19" s="1261" t="str">
        <f>Q19</f>
        <v>公共配套设施</v>
      </c>
      <c r="AA19" s="1261">
        <f t="shared" si="3"/>
        <v>1</v>
      </c>
      <c r="AB19" s="1261">
        <f t="shared" si="4"/>
        <v>1</v>
      </c>
      <c r="AC19" s="1807">
        <f t="shared" si="5"/>
        <v>1</v>
      </c>
    </row>
    <row r="20" spans="1:29" ht="15">
      <c r="A20" s="367"/>
      <c r="B20" s="401"/>
      <c r="C20" s="1755"/>
      <c r="D20" s="387"/>
      <c r="E20" s="1748"/>
      <c r="F20" s="387"/>
      <c r="G20" s="1749"/>
      <c r="H20" s="387"/>
      <c r="I20" s="1749"/>
      <c r="J20" s="387"/>
      <c r="K20" s="539"/>
      <c r="L20" s="2488"/>
      <c r="M20" s="2483"/>
      <c r="N20" s="2483"/>
      <c r="O20" s="2483"/>
      <c r="P20" s="3525"/>
      <c r="Q20" s="1260"/>
      <c r="R20" s="665"/>
      <c r="S20" s="666"/>
      <c r="T20" s="665"/>
      <c r="U20" s="666"/>
      <c r="V20" s="665"/>
      <c r="W20" s="666"/>
      <c r="X20" s="1262"/>
      <c r="Y20" s="3483"/>
      <c r="Z20" s="1261"/>
      <c r="AA20" s="1261">
        <v>1</v>
      </c>
      <c r="AB20" s="1261">
        <v>1</v>
      </c>
      <c r="AC20" s="1807">
        <v>1</v>
      </c>
    </row>
    <row r="21" spans="1:29" ht="15">
      <c r="A21" s="367"/>
      <c r="B21" s="555" t="s">
        <v>1813</v>
      </c>
      <c r="C21" s="1808">
        <f>估价对象房地状况!C8</f>
        <v>0</v>
      </c>
      <c r="D21" s="389">
        <v>100</v>
      </c>
      <c r="E21" s="398"/>
      <c r="F21" s="394">
        <f>SUMIF(83:83,E22,84:84)-SUMIF(83:83,C22,84:84)+100</f>
        <v>100</v>
      </c>
      <c r="G21" s="396"/>
      <c r="H21" s="389">
        <f>SUMIF(83:83,G22,84:84)-SUMIF(83:83,C22,84:84)+100</f>
        <v>100</v>
      </c>
      <c r="I21" s="396"/>
      <c r="J21" s="389">
        <f>SUMIF(83:83,I22,84:84)-SUMIF(83:83,C22,84:84)+100</f>
        <v>100</v>
      </c>
      <c r="K21" s="538"/>
      <c r="L21" s="2488"/>
      <c r="M21" s="2483"/>
      <c r="N21" s="2483"/>
      <c r="O21" s="2483"/>
      <c r="P21" s="3525"/>
      <c r="Q21" s="1260" t="str">
        <f>B21</f>
        <v>基础设施水平</v>
      </c>
      <c r="R21" s="665" t="s">
        <v>14</v>
      </c>
      <c r="S21" s="666">
        <f>F21</f>
        <v>100</v>
      </c>
      <c r="T21" s="665" t="s">
        <v>14</v>
      </c>
      <c r="U21" s="666">
        <f>H21</f>
        <v>100</v>
      </c>
      <c r="V21" s="665" t="s">
        <v>14</v>
      </c>
      <c r="W21" s="666">
        <f>J21</f>
        <v>100</v>
      </c>
      <c r="X21" s="1262"/>
      <c r="Y21" s="3483"/>
      <c r="Z21" s="1261" t="str">
        <f>Q21</f>
        <v>基础设施水平</v>
      </c>
      <c r="AA21" s="1261">
        <f t="shared" ref="AA21" si="8">D21/F21</f>
        <v>1</v>
      </c>
      <c r="AB21" s="1261">
        <f t="shared" ref="AB21" si="9">D21/H21</f>
        <v>1</v>
      </c>
      <c r="AC21" s="1807">
        <f t="shared" ref="AC21" si="10">D21/J21</f>
        <v>1</v>
      </c>
    </row>
    <row r="22" spans="1:29" ht="15">
      <c r="A22" s="367"/>
      <c r="B22" s="555"/>
      <c r="C22" s="1809"/>
      <c r="D22" s="387"/>
      <c r="E22" s="386"/>
      <c r="F22" s="387"/>
      <c r="G22" s="1755"/>
      <c r="H22" s="387"/>
      <c r="I22" s="1755"/>
      <c r="J22" s="387"/>
      <c r="K22" s="1061"/>
      <c r="L22" s="2488"/>
      <c r="M22" s="2483"/>
      <c r="N22" s="2483"/>
      <c r="O22" s="2483"/>
      <c r="P22" s="3525"/>
      <c r="Q22" s="1260"/>
      <c r="R22" s="665"/>
      <c r="S22" s="666"/>
      <c r="T22" s="665"/>
      <c r="U22" s="666"/>
      <c r="V22" s="665"/>
      <c r="W22" s="666"/>
      <c r="X22" s="1262"/>
      <c r="Y22" s="3483"/>
      <c r="Z22" s="1261"/>
      <c r="AA22" s="1261">
        <v>1</v>
      </c>
      <c r="AB22" s="1261">
        <v>1</v>
      </c>
      <c r="AC22" s="1807">
        <v>1</v>
      </c>
    </row>
    <row r="23" spans="1:29" ht="15">
      <c r="A23" s="367"/>
      <c r="B23" s="554" t="s">
        <v>1814</v>
      </c>
      <c r="C23" s="1808">
        <f>估价对象房地状况!C9</f>
        <v>0</v>
      </c>
      <c r="D23" s="389">
        <v>100</v>
      </c>
      <c r="E23" s="393"/>
      <c r="F23" s="389">
        <f>SUMIF(85:85,E24,86:86)-SUMIF(85:85,C24,86:86)+100</f>
        <v>100</v>
      </c>
      <c r="G23" s="391"/>
      <c r="H23" s="389">
        <f>SUMIF(85:85,G24,86:86)-SUMIF(85:85,C24,86:86)+100</f>
        <v>100</v>
      </c>
      <c r="I23" s="391"/>
      <c r="J23" s="389">
        <f>SUMIF(85:85,I24,86:86)-SUMIF(85:85,C24,86:86)+100</f>
        <v>100</v>
      </c>
      <c r="K23" s="538"/>
      <c r="L23" s="2488"/>
      <c r="M23" s="2483"/>
      <c r="N23" s="2483"/>
      <c r="O23" s="2483"/>
      <c r="P23" s="3525"/>
      <c r="Q23" s="1260" t="str">
        <f>B23</f>
        <v>环境质量</v>
      </c>
      <c r="R23" s="665" t="s">
        <v>14</v>
      </c>
      <c r="S23" s="666">
        <f>F23</f>
        <v>100</v>
      </c>
      <c r="T23" s="665" t="s">
        <v>14</v>
      </c>
      <c r="U23" s="666">
        <f>H23</f>
        <v>100</v>
      </c>
      <c r="V23" s="665" t="s">
        <v>14</v>
      </c>
      <c r="W23" s="666">
        <f>J23</f>
        <v>100</v>
      </c>
      <c r="X23" s="1262"/>
      <c r="Y23" s="3483"/>
      <c r="Z23" s="1261" t="str">
        <f>Q23</f>
        <v>环境质量</v>
      </c>
      <c r="AA23" s="1261">
        <f t="shared" si="3"/>
        <v>1</v>
      </c>
      <c r="AB23" s="1261">
        <f t="shared" si="4"/>
        <v>1</v>
      </c>
      <c r="AC23" s="1807">
        <f t="shared" si="5"/>
        <v>1</v>
      </c>
    </row>
    <row r="24" spans="1:29" ht="15">
      <c r="A24" s="367"/>
      <c r="B24" s="555"/>
      <c r="C24" s="1755"/>
      <c r="D24" s="387"/>
      <c r="E24" s="1748"/>
      <c r="F24" s="387"/>
      <c r="G24" s="1749"/>
      <c r="H24" s="387"/>
      <c r="I24" s="1749"/>
      <c r="J24" s="387"/>
      <c r="K24" s="539"/>
      <c r="L24" s="2488"/>
      <c r="M24" s="2483"/>
      <c r="N24" s="2483"/>
      <c r="O24" s="2483"/>
      <c r="P24" s="3525"/>
      <c r="Q24" s="1260"/>
      <c r="R24" s="665"/>
      <c r="S24" s="666"/>
      <c r="T24" s="665"/>
      <c r="U24" s="666"/>
      <c r="V24" s="665"/>
      <c r="W24" s="666"/>
      <c r="X24" s="1262"/>
      <c r="Y24" s="3483"/>
      <c r="Z24" s="1261"/>
      <c r="AA24" s="1261">
        <v>1</v>
      </c>
      <c r="AB24" s="1261">
        <v>1</v>
      </c>
      <c r="AC24" s="1807">
        <v>1</v>
      </c>
    </row>
    <row r="25" spans="1:29" ht="27">
      <c r="A25" s="348"/>
      <c r="B25" s="554" t="s">
        <v>1815</v>
      </c>
      <c r="C25" s="1759"/>
      <c r="D25" s="374">
        <v>100</v>
      </c>
      <c r="E25" s="373"/>
      <c r="F25" s="374">
        <f>SUMIF(87:87,E26,88:88)-SUMIF(87:87,C26,88:88)+100</f>
        <v>100</v>
      </c>
      <c r="G25" s="1759"/>
      <c r="H25" s="374">
        <f>SUMIF(87:87,G26,88:88)-SUMIF(87:87,C26,88:88)+100</f>
        <v>100</v>
      </c>
      <c r="I25" s="373"/>
      <c r="J25" s="374">
        <f>SUMIF(87:87,I26,88:88)-SUMIF(87:87,C26,88:88)+100</f>
        <v>100</v>
      </c>
      <c r="K25" s="538"/>
      <c r="L25" s="2488"/>
      <c r="M25" s="2483"/>
      <c r="N25" s="2483"/>
      <c r="O25" s="2483"/>
      <c r="P25" s="3525"/>
      <c r="Q25" s="1260" t="str">
        <f>B25</f>
        <v>毗邻道路的类型与等级</v>
      </c>
      <c r="R25" s="665" t="s">
        <v>14</v>
      </c>
      <c r="S25" s="666">
        <f>F25</f>
        <v>100</v>
      </c>
      <c r="T25" s="665" t="s">
        <v>14</v>
      </c>
      <c r="U25" s="666">
        <f>H25</f>
        <v>100</v>
      </c>
      <c r="V25" s="665" t="s">
        <v>14</v>
      </c>
      <c r="W25" s="666">
        <f>J25</f>
        <v>100</v>
      </c>
      <c r="X25" s="1262"/>
      <c r="Y25" s="3483"/>
      <c r="Z25" s="1261" t="str">
        <f>Q25</f>
        <v>毗邻道路的类型与等级</v>
      </c>
      <c r="AA25" s="1261">
        <f t="shared" si="3"/>
        <v>1</v>
      </c>
      <c r="AB25" s="1261">
        <f t="shared" si="4"/>
        <v>1</v>
      </c>
      <c r="AC25" s="1807">
        <f t="shared" si="5"/>
        <v>1</v>
      </c>
    </row>
    <row r="26" spans="1:29" ht="15">
      <c r="A26" s="348"/>
      <c r="B26" s="401"/>
      <c r="C26" s="556"/>
      <c r="D26" s="374"/>
      <c r="E26" s="540"/>
      <c r="F26" s="374"/>
      <c r="G26" s="556"/>
      <c r="H26" s="374"/>
      <c r="I26" s="540"/>
      <c r="J26" s="374"/>
      <c r="K26" s="539"/>
      <c r="L26" s="2488"/>
      <c r="M26" s="2483"/>
      <c r="N26" s="2483"/>
      <c r="O26" s="2483"/>
      <c r="P26" s="3525"/>
      <c r="Q26" s="1260"/>
      <c r="R26" s="665"/>
      <c r="S26" s="666"/>
      <c r="T26" s="665"/>
      <c r="U26" s="666"/>
      <c r="V26" s="665"/>
      <c r="W26" s="666"/>
      <c r="X26" s="1262"/>
      <c r="Y26" s="3483"/>
      <c r="Z26" s="1261"/>
      <c r="AA26" s="1261">
        <v>1</v>
      </c>
      <c r="AB26" s="1261">
        <v>1</v>
      </c>
      <c r="AC26" s="1807">
        <v>1</v>
      </c>
    </row>
    <row r="27" spans="1:29" ht="15">
      <c r="A27" s="367"/>
      <c r="B27" s="401" t="s">
        <v>1783</v>
      </c>
      <c r="C27" s="556"/>
      <c r="D27" s="374">
        <v>100</v>
      </c>
      <c r="E27" s="540"/>
      <c r="F27" s="374">
        <f>SUMIF(89:89,E27,90:90)-SUMIF(89:89,C27,90:90)+100</f>
        <v>100</v>
      </c>
      <c r="G27" s="556"/>
      <c r="H27" s="374">
        <f>SUMIF(89:89,G27,90:90)-SUMIF(89:89,C27,90:90)+100</f>
        <v>100</v>
      </c>
      <c r="I27" s="540"/>
      <c r="J27" s="374">
        <f>SUMIF(89:89,I27,90:90)-SUMIF(89:89,C27,90:90)+100</f>
        <v>100</v>
      </c>
      <c r="K27" s="536"/>
      <c r="L27" s="2488"/>
      <c r="M27" s="2483"/>
      <c r="N27" s="2483"/>
      <c r="O27" s="2483"/>
      <c r="P27" s="3525"/>
      <c r="Q27" s="1260" t="str">
        <f t="shared" ref="Q27:Q47" si="11">B27</f>
        <v>楼层</v>
      </c>
      <c r="R27" s="665" t="s">
        <v>14</v>
      </c>
      <c r="S27" s="666">
        <f>F27</f>
        <v>100</v>
      </c>
      <c r="T27" s="665" t="s">
        <v>14</v>
      </c>
      <c r="U27" s="666">
        <f>H27</f>
        <v>100</v>
      </c>
      <c r="V27" s="665" t="s">
        <v>14</v>
      </c>
      <c r="W27" s="666">
        <f>J27</f>
        <v>100</v>
      </c>
      <c r="X27" s="1262"/>
      <c r="Y27" s="3483"/>
      <c r="Z27" s="1261" t="str">
        <f>Q27</f>
        <v>楼层</v>
      </c>
      <c r="AA27" s="1261">
        <f t="shared" si="3"/>
        <v>1</v>
      </c>
      <c r="AB27" s="1261">
        <f t="shared" si="4"/>
        <v>1</v>
      </c>
      <c r="AC27" s="1807">
        <f t="shared" si="5"/>
        <v>1</v>
      </c>
    </row>
    <row r="28" spans="1:29" s="102" customFormat="1" ht="15">
      <c r="A28" s="370"/>
      <c r="B28" s="554" t="s">
        <v>1816</v>
      </c>
      <c r="C28" s="1810"/>
      <c r="D28" s="401">
        <v>100</v>
      </c>
      <c r="E28" s="1802"/>
      <c r="F28" s="401">
        <f>SUMIF(91:91,E28,92:92)-SUMIF(91:91,C28,92:92)+100</f>
        <v>100</v>
      </c>
      <c r="G28" s="1810"/>
      <c r="H28" s="401">
        <f>SUMIF(91:91,G28,92:92)-SUMIF(91:91,C28,92:92)+100</f>
        <v>100</v>
      </c>
      <c r="I28" s="1802"/>
      <c r="J28" s="401">
        <f>SUMIF(91:91,I28,92:92)-SUMIF(91:91,C28,92:92)+100</f>
        <v>100</v>
      </c>
      <c r="K28" s="536"/>
      <c r="L28" s="2484"/>
      <c r="M28" s="2435"/>
      <c r="N28" s="2435"/>
      <c r="O28" s="2435"/>
      <c r="P28" s="3525"/>
      <c r="Q28" s="528" t="str">
        <f t="shared" si="11"/>
        <v>朝向</v>
      </c>
      <c r="R28" s="662" t="s">
        <v>14</v>
      </c>
      <c r="S28" s="663">
        <f>F28</f>
        <v>100</v>
      </c>
      <c r="T28" s="662" t="s">
        <v>14</v>
      </c>
      <c r="U28" s="663">
        <f>H28</f>
        <v>100</v>
      </c>
      <c r="V28" s="662" t="s">
        <v>14</v>
      </c>
      <c r="W28" s="663">
        <f>J28</f>
        <v>100</v>
      </c>
      <c r="X28" s="664"/>
      <c r="Y28" s="3483"/>
      <c r="Z28" s="50" t="str">
        <f>Q28</f>
        <v>朝向</v>
      </c>
      <c r="AA28" s="1261">
        <f>D28/F28</f>
        <v>1</v>
      </c>
      <c r="AB28" s="1261">
        <f>D28/H28</f>
        <v>1</v>
      </c>
      <c r="AC28" s="1807">
        <f>D28/J28</f>
        <v>1</v>
      </c>
    </row>
    <row r="29" spans="1:29" ht="15">
      <c r="A29" s="367"/>
      <c r="B29" s="1096">
        <v>111</v>
      </c>
      <c r="C29" s="1759"/>
      <c r="D29" s="374">
        <v>100</v>
      </c>
      <c r="E29" s="371"/>
      <c r="F29" s="374">
        <f>SUMIF(93:93,E29,94:94)-SUMIF(93:93,C29,94:94)+100</f>
        <v>100</v>
      </c>
      <c r="G29" s="1805"/>
      <c r="H29" s="374">
        <f>SUMIF(93:93,G29,94:94)-SUMIF(93:93,C29,94:94)+100</f>
        <v>100</v>
      </c>
      <c r="I29" s="371"/>
      <c r="J29" s="374">
        <f>SUMIF(93:93,I29,94:94)-SUMIF(93:93,C29,94:94)+100</f>
        <v>100</v>
      </c>
      <c r="K29" s="537"/>
      <c r="L29" s="2488"/>
      <c r="M29" s="2483"/>
      <c r="N29" s="2483"/>
      <c r="O29" s="2483"/>
      <c r="P29" s="3525"/>
      <c r="Q29" s="1260">
        <f t="shared" si="11"/>
        <v>111</v>
      </c>
      <c r="R29" s="665" t="s">
        <v>14</v>
      </c>
      <c r="S29" s="666">
        <f t="shared" ref="S29:S47" si="12">F29</f>
        <v>100</v>
      </c>
      <c r="T29" s="665" t="s">
        <v>14</v>
      </c>
      <c r="U29" s="666">
        <f t="shared" ref="U29:U47" si="13">H29</f>
        <v>100</v>
      </c>
      <c r="V29" s="665" t="s">
        <v>14</v>
      </c>
      <c r="W29" s="666">
        <f t="shared" ref="W29:W47" si="14">J29</f>
        <v>100</v>
      </c>
      <c r="X29" s="1262"/>
      <c r="Y29" s="3483"/>
      <c r="Z29" s="1261">
        <f t="shared" ref="Z29:Z47" si="15">Q29</f>
        <v>111</v>
      </c>
      <c r="AA29" s="1261">
        <f t="shared" si="3"/>
        <v>1</v>
      </c>
      <c r="AB29" s="1261">
        <f t="shared" si="4"/>
        <v>1</v>
      </c>
      <c r="AC29" s="1807">
        <f t="shared" si="5"/>
        <v>1</v>
      </c>
    </row>
    <row r="30" spans="1:29" ht="15">
      <c r="A30" s="367"/>
      <c r="B30" s="1096">
        <v>111</v>
      </c>
      <c r="C30" s="1759"/>
      <c r="D30" s="374">
        <v>100</v>
      </c>
      <c r="E30" s="371"/>
      <c r="F30" s="374">
        <f>SUMIF(95:95,E30,96:96)-SUMIF(95:95,C30,96:96)+100</f>
        <v>100</v>
      </c>
      <c r="G30" s="1805"/>
      <c r="H30" s="374">
        <f>SUMIF(95:95,G30,96:96)-SUMIF(95:95,C30,96:96)+100</f>
        <v>100</v>
      </c>
      <c r="I30" s="371"/>
      <c r="J30" s="374">
        <f>SUMIF(95:95,I30,96:96)-SUMIF(95:95,C30,96:96)+100</f>
        <v>100</v>
      </c>
      <c r="K30" s="537"/>
      <c r="L30" s="2488"/>
      <c r="M30" s="2483"/>
      <c r="N30" s="2483"/>
      <c r="O30" s="2483"/>
      <c r="P30" s="3525"/>
      <c r="Q30" s="1260">
        <f t="shared" si="11"/>
        <v>111</v>
      </c>
      <c r="R30" s="665" t="s">
        <v>14</v>
      </c>
      <c r="S30" s="666">
        <f t="shared" si="12"/>
        <v>100</v>
      </c>
      <c r="T30" s="665" t="s">
        <v>14</v>
      </c>
      <c r="U30" s="666">
        <f t="shared" si="13"/>
        <v>100</v>
      </c>
      <c r="V30" s="665" t="s">
        <v>14</v>
      </c>
      <c r="W30" s="666">
        <f t="shared" si="14"/>
        <v>100</v>
      </c>
      <c r="X30" s="1262"/>
      <c r="Y30" s="3483"/>
      <c r="Z30" s="1261">
        <f t="shared" si="15"/>
        <v>111</v>
      </c>
      <c r="AA30" s="1261">
        <f t="shared" si="3"/>
        <v>1</v>
      </c>
      <c r="AB30" s="1261">
        <f t="shared" si="4"/>
        <v>1</v>
      </c>
      <c r="AC30" s="1807">
        <f t="shared" si="5"/>
        <v>1</v>
      </c>
    </row>
    <row r="31" spans="1:29" ht="15">
      <c r="A31" s="367"/>
      <c r="B31" s="1096">
        <v>111</v>
      </c>
      <c r="C31" s="1759"/>
      <c r="D31" s="374">
        <v>100</v>
      </c>
      <c r="E31" s="371"/>
      <c r="F31" s="374">
        <f>SUMIF(97:97,E31,98:98)-SUMIF(97:97,C31,98:98)+100</f>
        <v>100</v>
      </c>
      <c r="G31" s="1805"/>
      <c r="H31" s="374">
        <f>SUMIF(97:97,G31,98:98)-SUMIF(97:97,C31,98:98)+100</f>
        <v>100</v>
      </c>
      <c r="I31" s="371"/>
      <c r="J31" s="374">
        <f>SUMIF(97:97,I31,98:98)-SUMIF(97:97,C31,98:98)+100</f>
        <v>100</v>
      </c>
      <c r="K31" s="537"/>
      <c r="L31" s="2488"/>
      <c r="M31" s="2483"/>
      <c r="N31" s="2483"/>
      <c r="O31" s="2483"/>
      <c r="P31" s="3525"/>
      <c r="Q31" s="1260">
        <f t="shared" si="11"/>
        <v>111</v>
      </c>
      <c r="R31" s="665" t="s">
        <v>14</v>
      </c>
      <c r="S31" s="666">
        <f t="shared" si="12"/>
        <v>100</v>
      </c>
      <c r="T31" s="665" t="s">
        <v>14</v>
      </c>
      <c r="U31" s="666">
        <f t="shared" si="13"/>
        <v>100</v>
      </c>
      <c r="V31" s="665" t="s">
        <v>14</v>
      </c>
      <c r="W31" s="666">
        <f t="shared" si="14"/>
        <v>100</v>
      </c>
      <c r="X31" s="1262"/>
      <c r="Y31" s="3483"/>
      <c r="Z31" s="1261">
        <f t="shared" si="15"/>
        <v>111</v>
      </c>
      <c r="AA31" s="1261">
        <f t="shared" si="3"/>
        <v>1</v>
      </c>
      <c r="AB31" s="1261">
        <f t="shared" si="4"/>
        <v>1</v>
      </c>
      <c r="AC31" s="1807">
        <f t="shared" si="5"/>
        <v>1</v>
      </c>
    </row>
    <row r="32" spans="1:29" ht="15.75" thickBot="1">
      <c r="A32" s="375"/>
      <c r="B32" s="557">
        <v>111</v>
      </c>
      <c r="C32" s="1760"/>
      <c r="D32" s="377">
        <v>100</v>
      </c>
      <c r="E32" s="551"/>
      <c r="F32" s="377">
        <f>SUMIF(99:99,E32,100:100)-SUMIF(99:99,C32,100:100)+100</f>
        <v>100</v>
      </c>
      <c r="G32" s="1805"/>
      <c r="H32" s="377">
        <f>SUMIF(99:99,G32,100:100)-SUMIF(99:99,C32,100:100)+100</f>
        <v>100</v>
      </c>
      <c r="I32" s="371"/>
      <c r="J32" s="377">
        <f>SUMIF(99:99,I32,100:100)-SUMIF(99:99,C32,100:100)+100</f>
        <v>100</v>
      </c>
      <c r="K32" s="537"/>
      <c r="L32" s="2488"/>
      <c r="M32" s="2483"/>
      <c r="N32" s="2483"/>
      <c r="O32" s="2483"/>
      <c r="P32" s="3525"/>
      <c r="Q32" s="1260">
        <f t="shared" si="11"/>
        <v>111</v>
      </c>
      <c r="R32" s="665" t="s">
        <v>14</v>
      </c>
      <c r="S32" s="666">
        <f t="shared" si="12"/>
        <v>100</v>
      </c>
      <c r="T32" s="665" t="s">
        <v>14</v>
      </c>
      <c r="U32" s="666">
        <f t="shared" si="13"/>
        <v>100</v>
      </c>
      <c r="V32" s="665" t="s">
        <v>14</v>
      </c>
      <c r="W32" s="666">
        <f t="shared" si="14"/>
        <v>100</v>
      </c>
      <c r="X32" s="1262"/>
      <c r="Y32" s="3483"/>
      <c r="Z32" s="1261">
        <f t="shared" si="15"/>
        <v>111</v>
      </c>
      <c r="AA32" s="1261">
        <f t="shared" si="3"/>
        <v>1</v>
      </c>
      <c r="AB32" s="1261">
        <f t="shared" si="4"/>
        <v>1</v>
      </c>
      <c r="AC32" s="1807">
        <f t="shared" si="5"/>
        <v>1</v>
      </c>
    </row>
    <row r="33" spans="1:29" ht="15">
      <c r="A33" s="37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6"/>
      <c r="L33" s="2488"/>
      <c r="M33" s="2483"/>
      <c r="N33" s="2483"/>
      <c r="O33" s="2483"/>
      <c r="P33" s="3520" t="s">
        <v>1696</v>
      </c>
      <c r="Q33" s="1260" t="str">
        <f t="shared" si="11"/>
        <v>建筑类型</v>
      </c>
      <c r="R33" s="665" t="s">
        <v>14</v>
      </c>
      <c r="S33" s="666">
        <f t="shared" si="12"/>
        <v>100</v>
      </c>
      <c r="T33" s="665" t="s">
        <v>14</v>
      </c>
      <c r="U33" s="666">
        <f t="shared" si="13"/>
        <v>100</v>
      </c>
      <c r="V33" s="665" t="s">
        <v>14</v>
      </c>
      <c r="W33" s="666">
        <f t="shared" si="14"/>
        <v>100</v>
      </c>
      <c r="X33" s="1262"/>
      <c r="Y33" s="3485" t="s">
        <v>1696</v>
      </c>
      <c r="Z33" s="1261" t="str">
        <f t="shared" si="15"/>
        <v>建筑类型</v>
      </c>
      <c r="AA33" s="1261">
        <f t="shared" si="3"/>
        <v>1</v>
      </c>
      <c r="AB33" s="1261">
        <f t="shared" si="4"/>
        <v>1</v>
      </c>
      <c r="AC33" s="1807">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7"/>
      <c r="L34" s="2487"/>
      <c r="M34" s="2489"/>
      <c r="N34" s="2489"/>
      <c r="O34" s="2489"/>
      <c r="P34" s="3521"/>
      <c r="Q34" s="529" t="str">
        <f t="shared" si="11"/>
        <v>项目建筑规模</v>
      </c>
      <c r="R34" s="667" t="s">
        <v>14</v>
      </c>
      <c r="S34" s="668" t="e">
        <f t="shared" si="12"/>
        <v>#N/A</v>
      </c>
      <c r="T34" s="667" t="s">
        <v>14</v>
      </c>
      <c r="U34" s="668" t="e">
        <f t="shared" si="13"/>
        <v>#N/A</v>
      </c>
      <c r="V34" s="667" t="s">
        <v>14</v>
      </c>
      <c r="W34" s="668" t="e">
        <f t="shared" si="14"/>
        <v>#N/A</v>
      </c>
      <c r="X34" s="669"/>
      <c r="Y34" s="3485"/>
      <c r="Z34" s="670" t="str">
        <f t="shared" si="15"/>
        <v>项目建筑规模</v>
      </c>
      <c r="AA34" s="1261" t="e">
        <f t="shared" si="3"/>
        <v>#N/A</v>
      </c>
      <c r="AB34" s="1261" t="e">
        <f t="shared" si="4"/>
        <v>#N/A</v>
      </c>
      <c r="AC34" s="1807"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6"/>
      <c r="L35" s="2488"/>
      <c r="M35" s="2483"/>
      <c r="N35" s="2483"/>
      <c r="O35" s="2483"/>
      <c r="P35" s="3521"/>
      <c r="Q35" s="1260" t="str">
        <f t="shared" si="11"/>
        <v>建筑结构</v>
      </c>
      <c r="R35" s="665" t="s">
        <v>14</v>
      </c>
      <c r="S35" s="666">
        <f t="shared" si="12"/>
        <v>100</v>
      </c>
      <c r="T35" s="665" t="s">
        <v>14</v>
      </c>
      <c r="U35" s="666">
        <f t="shared" si="13"/>
        <v>100</v>
      </c>
      <c r="V35" s="665" t="s">
        <v>14</v>
      </c>
      <c r="W35" s="666">
        <f t="shared" si="14"/>
        <v>100</v>
      </c>
      <c r="X35" s="1262"/>
      <c r="Y35" s="3485"/>
      <c r="Z35" s="1261" t="str">
        <f t="shared" si="15"/>
        <v>建筑结构</v>
      </c>
      <c r="AA35" s="1261">
        <f t="shared" si="3"/>
        <v>1</v>
      </c>
      <c r="AB35" s="1261">
        <f t="shared" si="4"/>
        <v>1</v>
      </c>
      <c r="AC35" s="1807">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6"/>
      <c r="L36" s="2488"/>
      <c r="M36" s="2483"/>
      <c r="N36" s="2483"/>
      <c r="O36" s="2483"/>
      <c r="P36" s="3521"/>
      <c r="Q36" s="1260" t="str">
        <f t="shared" si="11"/>
        <v>公共部分装修</v>
      </c>
      <c r="R36" s="665" t="s">
        <v>14</v>
      </c>
      <c r="S36" s="666">
        <f t="shared" si="12"/>
        <v>100</v>
      </c>
      <c r="T36" s="665" t="s">
        <v>14</v>
      </c>
      <c r="U36" s="666">
        <f t="shared" si="13"/>
        <v>100</v>
      </c>
      <c r="V36" s="665" t="s">
        <v>14</v>
      </c>
      <c r="W36" s="666">
        <f t="shared" si="14"/>
        <v>100</v>
      </c>
      <c r="X36" s="1262"/>
      <c r="Y36" s="3485"/>
      <c r="Z36" s="1261" t="str">
        <f t="shared" si="15"/>
        <v>公共部分装修</v>
      </c>
      <c r="AA36" s="1261">
        <f t="shared" si="3"/>
        <v>1</v>
      </c>
      <c r="AB36" s="1261">
        <f t="shared" si="4"/>
        <v>1</v>
      </c>
      <c r="AC36" s="1807">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6"/>
      <c r="L37" s="2488"/>
      <c r="M37" s="2483"/>
      <c r="N37" s="2483"/>
      <c r="O37" s="2483"/>
      <c r="P37" s="3521"/>
      <c r="Q37" s="1260" t="str">
        <f t="shared" si="11"/>
        <v>成新度</v>
      </c>
      <c r="R37" s="665" t="s">
        <v>14</v>
      </c>
      <c r="S37" s="666" t="e">
        <f t="shared" si="12"/>
        <v>#N/A</v>
      </c>
      <c r="T37" s="665" t="s">
        <v>14</v>
      </c>
      <c r="U37" s="666" t="e">
        <f t="shared" si="13"/>
        <v>#N/A</v>
      </c>
      <c r="V37" s="665" t="s">
        <v>14</v>
      </c>
      <c r="W37" s="666" t="e">
        <f t="shared" si="14"/>
        <v>#N/A</v>
      </c>
      <c r="X37" s="1262"/>
      <c r="Y37" s="3485"/>
      <c r="Z37" s="1261" t="str">
        <f t="shared" si="15"/>
        <v>成新度</v>
      </c>
      <c r="AA37" s="1261" t="e">
        <f t="shared" si="3"/>
        <v>#N/A</v>
      </c>
      <c r="AB37" s="1261" t="e">
        <f t="shared" si="4"/>
        <v>#N/A</v>
      </c>
      <c r="AC37" s="1807"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6"/>
      <c r="L38" s="2484"/>
      <c r="M38" s="2435"/>
      <c r="N38" s="2435"/>
      <c r="O38" s="2435"/>
      <c r="P38" s="3521"/>
      <c r="Q38" s="528" t="str">
        <f t="shared" si="11"/>
        <v>写字楼等级</v>
      </c>
      <c r="R38" s="662" t="s">
        <v>14</v>
      </c>
      <c r="S38" s="663">
        <f t="shared" si="12"/>
        <v>100</v>
      </c>
      <c r="T38" s="662" t="s">
        <v>14</v>
      </c>
      <c r="U38" s="663">
        <f t="shared" si="13"/>
        <v>100</v>
      </c>
      <c r="V38" s="662" t="s">
        <v>14</v>
      </c>
      <c r="W38" s="663">
        <f t="shared" si="14"/>
        <v>100</v>
      </c>
      <c r="X38" s="664"/>
      <c r="Y38" s="3485"/>
      <c r="Z38" s="50" t="str">
        <f t="shared" si="15"/>
        <v>写字楼等级</v>
      </c>
      <c r="AA38" s="50">
        <f t="shared" si="3"/>
        <v>1</v>
      </c>
      <c r="AB38" s="50">
        <f t="shared" si="4"/>
        <v>1</v>
      </c>
      <c r="AC38" s="799">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6"/>
      <c r="L39" s="2488"/>
      <c r="M39" s="2483"/>
      <c r="N39" s="2483"/>
      <c r="O39" s="2483"/>
      <c r="P39" s="3521" t="s">
        <v>1696</v>
      </c>
      <c r="Q39" s="1260" t="str">
        <f t="shared" si="11"/>
        <v>物业管理</v>
      </c>
      <c r="R39" s="665" t="s">
        <v>14</v>
      </c>
      <c r="S39" s="666">
        <f t="shared" si="12"/>
        <v>100</v>
      </c>
      <c r="T39" s="665" t="s">
        <v>14</v>
      </c>
      <c r="U39" s="666">
        <f t="shared" si="13"/>
        <v>100</v>
      </c>
      <c r="V39" s="665" t="s">
        <v>14</v>
      </c>
      <c r="W39" s="666">
        <f t="shared" si="14"/>
        <v>100</v>
      </c>
      <c r="X39" s="1262"/>
      <c r="Y39" s="3485" t="s">
        <v>1696</v>
      </c>
      <c r="Z39" s="1261" t="str">
        <f t="shared" si="15"/>
        <v>物业管理</v>
      </c>
      <c r="AA39" s="1261">
        <f t="shared" si="3"/>
        <v>1</v>
      </c>
      <c r="AB39" s="1261">
        <f t="shared" si="4"/>
        <v>1</v>
      </c>
      <c r="AC39" s="1807">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6"/>
      <c r="L40" s="2488"/>
      <c r="M40" s="2483"/>
      <c r="N40" s="2483"/>
      <c r="O40" s="2483"/>
      <c r="P40" s="3521"/>
      <c r="Q40" s="1260" t="str">
        <f t="shared" si="11"/>
        <v>市政基础设施</v>
      </c>
      <c r="R40" s="665" t="s">
        <v>14</v>
      </c>
      <c r="S40" s="666">
        <f t="shared" si="12"/>
        <v>100</v>
      </c>
      <c r="T40" s="665" t="s">
        <v>14</v>
      </c>
      <c r="U40" s="666">
        <f t="shared" si="13"/>
        <v>100</v>
      </c>
      <c r="V40" s="665" t="s">
        <v>14</v>
      </c>
      <c r="W40" s="666">
        <f t="shared" si="14"/>
        <v>100</v>
      </c>
      <c r="X40" s="1262"/>
      <c r="Y40" s="3485"/>
      <c r="Z40" s="1261" t="str">
        <f t="shared" si="15"/>
        <v>市政基础设施</v>
      </c>
      <c r="AA40" s="1261">
        <f t="shared" si="3"/>
        <v>1</v>
      </c>
      <c r="AB40" s="1261">
        <f t="shared" si="4"/>
        <v>1</v>
      </c>
      <c r="AC40" s="1807">
        <f t="shared" si="5"/>
        <v>1</v>
      </c>
    </row>
    <row r="41" spans="1:29" ht="15">
      <c r="A41" s="409"/>
      <c r="B41" s="364" t="s">
        <v>1789</v>
      </c>
      <c r="C41" s="540"/>
      <c r="D41" s="374">
        <v>100</v>
      </c>
      <c r="E41" s="540"/>
      <c r="F41" s="400">
        <f>SUMIF(119:119,E41,120:120)-SUMIF(119:119,C41,120:120)+100</f>
        <v>100</v>
      </c>
      <c r="G41" s="540"/>
      <c r="H41" s="374">
        <f>SUMIF(119:119,G41,120:120)-SUMIF(119:119,C41,120:120)+100</f>
        <v>100</v>
      </c>
      <c r="I41" s="540"/>
      <c r="J41" s="374">
        <f>SUMIF(119:119,I41,120:120)-SUMIF(119:119,C41,120:120)+100</f>
        <v>100</v>
      </c>
      <c r="K41" s="536"/>
      <c r="L41" s="2488"/>
      <c r="M41" s="2483"/>
      <c r="N41" s="2483"/>
      <c r="O41" s="2483"/>
      <c r="P41" s="3521"/>
      <c r="Q41" s="1260" t="str">
        <f t="shared" si="11"/>
        <v>层高</v>
      </c>
      <c r="R41" s="665" t="s">
        <v>14</v>
      </c>
      <c r="S41" s="666">
        <f t="shared" si="12"/>
        <v>100</v>
      </c>
      <c r="T41" s="665" t="s">
        <v>14</v>
      </c>
      <c r="U41" s="666">
        <f t="shared" si="13"/>
        <v>100</v>
      </c>
      <c r="V41" s="665" t="s">
        <v>14</v>
      </c>
      <c r="W41" s="666">
        <f t="shared" si="14"/>
        <v>100</v>
      </c>
      <c r="X41" s="1262"/>
      <c r="Y41" s="3485"/>
      <c r="Z41" s="1261" t="str">
        <f t="shared" si="15"/>
        <v>层高</v>
      </c>
      <c r="AA41" s="1261">
        <f t="shared" si="3"/>
        <v>1</v>
      </c>
      <c r="AB41" s="1261">
        <f t="shared" si="4"/>
        <v>1</v>
      </c>
      <c r="AC41" s="1807">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7"/>
      <c r="L42" s="2487"/>
      <c r="M42" s="2489"/>
      <c r="N42" s="2489"/>
      <c r="O42" s="2489"/>
      <c r="P42" s="3521"/>
      <c r="Q42" s="529" t="str">
        <f t="shared" si="11"/>
        <v>单套建筑面积</v>
      </c>
      <c r="R42" s="667" t="s">
        <v>14</v>
      </c>
      <c r="S42" s="668">
        <f t="shared" si="12"/>
        <v>100</v>
      </c>
      <c r="T42" s="667" t="s">
        <v>14</v>
      </c>
      <c r="U42" s="668">
        <f t="shared" si="13"/>
        <v>100</v>
      </c>
      <c r="V42" s="667" t="s">
        <v>14</v>
      </c>
      <c r="W42" s="668">
        <f t="shared" si="14"/>
        <v>100</v>
      </c>
      <c r="X42" s="669"/>
      <c r="Y42" s="3485"/>
      <c r="Z42" s="670" t="str">
        <f t="shared" si="15"/>
        <v>单套建筑面积</v>
      </c>
      <c r="AA42" s="1261">
        <f t="shared" si="3"/>
        <v>1</v>
      </c>
      <c r="AB42" s="1261">
        <f t="shared" si="4"/>
        <v>1</v>
      </c>
      <c r="AC42" s="1807">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6"/>
      <c r="L43" s="2488"/>
      <c r="M43" s="2483"/>
      <c r="N43" s="2483"/>
      <c r="O43" s="2483"/>
      <c r="P43" s="3521"/>
      <c r="Q43" s="1260" t="str">
        <f t="shared" si="11"/>
        <v>内部装修</v>
      </c>
      <c r="R43" s="665" t="s">
        <v>14</v>
      </c>
      <c r="S43" s="666">
        <f t="shared" si="12"/>
        <v>100</v>
      </c>
      <c r="T43" s="665" t="s">
        <v>14</v>
      </c>
      <c r="U43" s="666">
        <f t="shared" si="13"/>
        <v>100</v>
      </c>
      <c r="V43" s="665" t="s">
        <v>14</v>
      </c>
      <c r="W43" s="666">
        <f t="shared" si="14"/>
        <v>100</v>
      </c>
      <c r="X43" s="1262"/>
      <c r="Y43" s="3485"/>
      <c r="Z43" s="1261" t="str">
        <f t="shared" si="15"/>
        <v>内部装修</v>
      </c>
      <c r="AA43" s="1261">
        <f t="shared" si="3"/>
        <v>1</v>
      </c>
      <c r="AB43" s="1261">
        <f t="shared" si="4"/>
        <v>1</v>
      </c>
      <c r="AC43" s="1807">
        <f t="shared" si="5"/>
        <v>1</v>
      </c>
    </row>
    <row r="44" spans="1:29" ht="15">
      <c r="A44" s="409"/>
      <c r="B44" s="364" t="s">
        <v>1707</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6"/>
      <c r="L44" s="2488"/>
      <c r="M44" s="2483"/>
      <c r="N44" s="2483"/>
      <c r="O44" s="2483"/>
      <c r="P44" s="3521"/>
      <c r="Q44" s="1260" t="str">
        <f t="shared" si="11"/>
        <v>内部装修维护情况</v>
      </c>
      <c r="R44" s="665" t="s">
        <v>14</v>
      </c>
      <c r="S44" s="666">
        <f t="shared" si="12"/>
        <v>100</v>
      </c>
      <c r="T44" s="665" t="s">
        <v>14</v>
      </c>
      <c r="U44" s="666">
        <f t="shared" si="13"/>
        <v>100</v>
      </c>
      <c r="V44" s="665" t="s">
        <v>14</v>
      </c>
      <c r="W44" s="666">
        <f t="shared" si="14"/>
        <v>100</v>
      </c>
      <c r="X44" s="1262"/>
      <c r="Y44" s="3485"/>
      <c r="Z44" s="1261" t="str">
        <f t="shared" si="15"/>
        <v>内部装修维护情况</v>
      </c>
      <c r="AA44" s="1261">
        <f t="shared" si="3"/>
        <v>1</v>
      </c>
      <c r="AB44" s="1261">
        <f t="shared" si="4"/>
        <v>1</v>
      </c>
      <c r="AC44" s="1807">
        <f t="shared" si="5"/>
        <v>1</v>
      </c>
    </row>
    <row r="45" spans="1:29" s="102" customFormat="1" ht="15">
      <c r="A45" s="410"/>
      <c r="B45" s="1063">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7"/>
      <c r="L45" s="2484"/>
      <c r="M45" s="2435"/>
      <c r="N45" s="2435"/>
      <c r="O45" s="2435"/>
      <c r="P45" s="3521"/>
      <c r="Q45" s="528">
        <f t="shared" si="11"/>
        <v>111</v>
      </c>
      <c r="R45" s="662" t="s">
        <v>14</v>
      </c>
      <c r="S45" s="663">
        <f t="shared" si="12"/>
        <v>100</v>
      </c>
      <c r="T45" s="662" t="s">
        <v>14</v>
      </c>
      <c r="U45" s="663">
        <f t="shared" si="13"/>
        <v>100</v>
      </c>
      <c r="V45" s="662" t="s">
        <v>14</v>
      </c>
      <c r="W45" s="663">
        <f t="shared" si="14"/>
        <v>100</v>
      </c>
      <c r="X45" s="664"/>
      <c r="Y45" s="3485"/>
      <c r="Z45" s="50">
        <f t="shared" si="15"/>
        <v>111</v>
      </c>
      <c r="AA45" s="50">
        <f t="shared" si="3"/>
        <v>1</v>
      </c>
      <c r="AB45" s="50">
        <f t="shared" si="4"/>
        <v>1</v>
      </c>
      <c r="AC45" s="799">
        <f t="shared" si="5"/>
        <v>1</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7"/>
      <c r="L46" s="2488"/>
      <c r="M46" s="2483"/>
      <c r="N46" s="2483"/>
      <c r="O46" s="2483"/>
      <c r="P46" s="3521"/>
      <c r="Q46" s="1260">
        <f t="shared" si="11"/>
        <v>111</v>
      </c>
      <c r="R46" s="665" t="s">
        <v>14</v>
      </c>
      <c r="S46" s="666">
        <f t="shared" si="12"/>
        <v>100</v>
      </c>
      <c r="T46" s="665" t="s">
        <v>14</v>
      </c>
      <c r="U46" s="666">
        <f t="shared" si="13"/>
        <v>100</v>
      </c>
      <c r="V46" s="665" t="s">
        <v>14</v>
      </c>
      <c r="W46" s="666">
        <f t="shared" si="14"/>
        <v>100</v>
      </c>
      <c r="X46" s="1262"/>
      <c r="Y46" s="3485"/>
      <c r="Z46" s="1261">
        <f t="shared" si="15"/>
        <v>111</v>
      </c>
      <c r="AA46" s="1261">
        <f t="shared" si="3"/>
        <v>1</v>
      </c>
      <c r="AB46" s="1261">
        <f t="shared" si="4"/>
        <v>1</v>
      </c>
      <c r="AC46" s="1807">
        <f t="shared" si="5"/>
        <v>1</v>
      </c>
    </row>
    <row r="47" spans="1:29" ht="15.75" thickBot="1">
      <c r="A47" s="413"/>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7"/>
      <c r="L47" s="2488"/>
      <c r="M47" s="2483"/>
      <c r="N47" s="2483"/>
      <c r="O47" s="2483"/>
      <c r="P47" s="3522"/>
      <c r="Q47" s="1260">
        <f t="shared" si="11"/>
        <v>111</v>
      </c>
      <c r="R47" s="665" t="s">
        <v>14</v>
      </c>
      <c r="S47" s="666">
        <f t="shared" si="12"/>
        <v>100</v>
      </c>
      <c r="T47" s="665" t="s">
        <v>14</v>
      </c>
      <c r="U47" s="666">
        <f t="shared" si="13"/>
        <v>100</v>
      </c>
      <c r="V47" s="665" t="s">
        <v>14</v>
      </c>
      <c r="W47" s="666">
        <f t="shared" si="14"/>
        <v>100</v>
      </c>
      <c r="X47" s="1262"/>
      <c r="Y47" s="3523"/>
      <c r="Z47" s="1261">
        <f t="shared" si="15"/>
        <v>111</v>
      </c>
      <c r="AA47" s="1261">
        <f t="shared" si="3"/>
        <v>1</v>
      </c>
      <c r="AB47" s="1261">
        <f t="shared" si="4"/>
        <v>1</v>
      </c>
      <c r="AC47" s="1807">
        <f t="shared" si="5"/>
        <v>1</v>
      </c>
    </row>
    <row r="48" spans="1:29" ht="15">
      <c r="A48" s="414" t="s">
        <v>1708</v>
      </c>
      <c r="B48" s="415"/>
      <c r="C48" s="1078" t="s">
        <v>0</v>
      </c>
      <c r="D48" s="416"/>
      <c r="E48" s="417"/>
      <c r="F48" s="418"/>
      <c r="G48" s="419"/>
      <c r="H48" s="420"/>
      <c r="I48" s="417"/>
      <c r="J48" s="420"/>
      <c r="K48" s="672"/>
      <c r="L48" s="2490"/>
      <c r="M48" s="2483"/>
      <c r="N48" s="2483"/>
      <c r="O48" s="2483"/>
      <c r="P48" s="3491" t="str">
        <f>A48</f>
        <v>成交单价（元/平方米）</v>
      </c>
      <c r="Q48" s="3467"/>
      <c r="R48" s="3480">
        <f>E48</f>
        <v>0</v>
      </c>
      <c r="S48" s="3480"/>
      <c r="T48" s="3480">
        <f>G48</f>
        <v>0</v>
      </c>
      <c r="U48" s="3480"/>
      <c r="V48" s="3480">
        <f>I48</f>
        <v>0</v>
      </c>
      <c r="W48" s="3480"/>
      <c r="X48" s="385"/>
      <c r="Y48" s="671"/>
      <c r="Z48" s="385"/>
      <c r="AA48" s="385"/>
      <c r="AB48" s="385"/>
      <c r="AC48" s="553"/>
    </row>
    <row r="49" spans="1:29" ht="15.75" thickBot="1">
      <c r="A49" s="421" t="s">
        <v>1793</v>
      </c>
      <c r="B49" s="422"/>
      <c r="C49" s="1079" t="e">
        <f>R50</f>
        <v>#DIV/0!</v>
      </c>
      <c r="D49" s="2136" t="s">
        <v>2137</v>
      </c>
      <c r="E49" s="1080" t="e">
        <f>R49</f>
        <v>#DIV/0!</v>
      </c>
      <c r="F49" s="2137"/>
      <c r="G49" s="1079" t="e">
        <f>T49</f>
        <v>#DIV/0!</v>
      </c>
      <c r="H49" s="2137"/>
      <c r="I49" s="1080" t="e">
        <f>V49</f>
        <v>#DIV/0!</v>
      </c>
      <c r="J49" s="2137"/>
      <c r="K49" s="2139">
        <f>F49+H49+J49</f>
        <v>0</v>
      </c>
      <c r="L49" s="2490"/>
      <c r="M49" s="2483"/>
      <c r="N49" s="2483"/>
      <c r="O49" s="2483"/>
      <c r="P49" s="3491" t="str">
        <f>A49</f>
        <v>比较价值（元/平方米）</v>
      </c>
      <c r="Q49" s="3467"/>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385"/>
      <c r="Y49" s="385"/>
      <c r="Z49" s="385"/>
      <c r="AA49" s="385"/>
      <c r="AB49" s="385"/>
      <c r="AC49" s="553"/>
    </row>
    <row r="50" spans="1:29" ht="15.75" thickBot="1">
      <c r="A50" s="425" t="s">
        <v>1794</v>
      </c>
      <c r="B50" s="426"/>
      <c r="C50" s="351" t="e">
        <f>R50</f>
        <v>#DIV/0!</v>
      </c>
      <c r="D50" s="351"/>
      <c r="E50" s="351"/>
      <c r="F50" s="351"/>
      <c r="G50" s="351"/>
      <c r="H50" s="351"/>
      <c r="I50" s="351"/>
      <c r="J50" s="427"/>
      <c r="K50" s="673"/>
      <c r="L50" s="2490"/>
      <c r="M50" s="2483"/>
      <c r="N50" s="2483"/>
      <c r="O50" s="2483"/>
      <c r="P50" s="3538" t="str">
        <f>A50</f>
        <v>估价对象XX用房的比较价值（楼面单价，元/平方米）</v>
      </c>
      <c r="Q50" s="3539"/>
      <c r="R50" s="3540" t="e">
        <f>IF(F1="售价",ROUND(IF(D49="简单平均",AVERAGE(R49:V49),R49*F49+T49*H49+V49*J49),0),ROUND(IF(D49="简单平均",AVERAGE(R49:V49),R49*F49+T49*H49+V49*J49),1))</f>
        <v>#DIV/0!</v>
      </c>
      <c r="S50" s="3540"/>
      <c r="T50" s="3540"/>
      <c r="U50" s="3540"/>
      <c r="V50" s="3540"/>
      <c r="W50" s="3540"/>
      <c r="X50" s="1793"/>
      <c r="Y50" s="1793"/>
      <c r="Z50" s="1793"/>
      <c r="AA50" s="1793"/>
      <c r="AB50" s="1793"/>
      <c r="AC50" s="1794"/>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5" customFormat="1" ht="13.5" customHeight="1">
      <c r="A55" s="2493"/>
      <c r="B55" s="2493"/>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5"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6" t="s">
        <v>1798</v>
      </c>
      <c r="B58" s="385"/>
      <c r="C58" s="657"/>
      <c r="D58" s="657"/>
      <c r="E58" s="657"/>
      <c r="F58" s="658"/>
      <c r="G58" s="658"/>
      <c r="H58" s="657"/>
      <c r="I58" s="657"/>
      <c r="J58" s="657"/>
      <c r="K58" s="659"/>
      <c r="L58" s="885"/>
      <c r="M58" s="883"/>
      <c r="N58" s="2533"/>
      <c r="O58" s="2533"/>
      <c r="P58" s="2522"/>
      <c r="Q58" s="2504"/>
      <c r="R58" s="2483"/>
      <c r="S58" s="2483"/>
      <c r="T58" s="2483"/>
      <c r="U58" s="2483"/>
      <c r="V58" s="2483"/>
      <c r="W58" s="2483"/>
      <c r="X58" s="2483"/>
      <c r="Y58" s="2483"/>
      <c r="Z58" s="2483"/>
      <c r="AA58" s="2483"/>
      <c r="AB58" s="2483"/>
      <c r="AC58" s="2483"/>
    </row>
    <row r="59" spans="1:29" s="440" customFormat="1" ht="15">
      <c r="A59" s="438" t="s">
        <v>1679</v>
      </c>
      <c r="B59" s="439"/>
      <c r="C59" s="1100" t="str">
        <f>YEAR(C7)&amp;"-"&amp;MONTH(C7)</f>
        <v>2025-5</v>
      </c>
      <c r="D59" s="1101">
        <f>EDATE(C59,-1)</f>
        <v>45748</v>
      </c>
      <c r="E59" s="1101">
        <f>EDATE(D59,-1)</f>
        <v>45717</v>
      </c>
      <c r="F59" s="1101">
        <f t="shared" ref="F59:O59" si="16">EDATE(E59,-1)</f>
        <v>45689</v>
      </c>
      <c r="G59" s="1101">
        <f t="shared" si="16"/>
        <v>45658</v>
      </c>
      <c r="H59" s="1101">
        <f t="shared" si="16"/>
        <v>45627</v>
      </c>
      <c r="I59" s="1101">
        <f t="shared" si="16"/>
        <v>45597</v>
      </c>
      <c r="J59" s="1101">
        <f t="shared" si="16"/>
        <v>45566</v>
      </c>
      <c r="K59" s="1101">
        <f t="shared" si="16"/>
        <v>45536</v>
      </c>
      <c r="L59" s="1101">
        <f t="shared" si="16"/>
        <v>45505</v>
      </c>
      <c r="M59" s="1101">
        <f t="shared" si="16"/>
        <v>45474</v>
      </c>
      <c r="N59" s="1101">
        <f t="shared" si="16"/>
        <v>45444</v>
      </c>
      <c r="O59" s="1101">
        <f t="shared" si="16"/>
        <v>45413</v>
      </c>
      <c r="P59" s="2523"/>
      <c r="Q59" s="2506"/>
      <c r="R59" s="2506"/>
      <c r="S59" s="2506"/>
      <c r="T59" s="2506"/>
      <c r="U59" s="2506"/>
      <c r="V59" s="2506"/>
      <c r="W59" s="2506"/>
      <c r="X59" s="2506"/>
      <c r="Y59" s="2506"/>
      <c r="Z59" s="2506"/>
      <c r="AA59" s="2506"/>
      <c r="AB59" s="2506"/>
      <c r="AC59" s="2506"/>
    </row>
    <row r="60" spans="1:29" s="102" customFormat="1" ht="15">
      <c r="A60" s="441"/>
      <c r="B60" s="442"/>
      <c r="C60" s="1099">
        <v>100</v>
      </c>
      <c r="D60" s="444"/>
      <c r="E60" s="444"/>
      <c r="F60" s="444"/>
      <c r="G60" s="444"/>
      <c r="H60" s="444"/>
      <c r="I60" s="444"/>
      <c r="J60" s="444"/>
      <c r="K60" s="444"/>
      <c r="L60" s="444"/>
      <c r="M60" s="445"/>
      <c r="N60" s="444"/>
      <c r="O60" s="445"/>
      <c r="P60" s="2524"/>
      <c r="Q60" s="2435"/>
      <c r="R60" s="2435"/>
      <c r="S60" s="2435"/>
      <c r="T60" s="2435"/>
      <c r="U60" s="2435"/>
      <c r="V60" s="2435"/>
      <c r="W60" s="2435"/>
      <c r="X60" s="2435"/>
      <c r="Y60" s="2435"/>
      <c r="Z60" s="2435"/>
      <c r="AA60" s="2435"/>
      <c r="AB60" s="2435"/>
      <c r="AC60" s="2435"/>
    </row>
    <row r="61" spans="1:29" s="102" customFormat="1" ht="15.75" thickBot="1">
      <c r="A61" s="447" t="s">
        <v>1716</v>
      </c>
      <c r="B61" s="448"/>
      <c r="C61" s="449"/>
      <c r="D61" s="450"/>
      <c r="E61" s="450"/>
      <c r="F61" s="450"/>
      <c r="G61" s="450"/>
      <c r="H61" s="450"/>
      <c r="I61" s="450"/>
      <c r="J61" s="450"/>
      <c r="K61" s="450"/>
      <c r="L61" s="450"/>
      <c r="M61" s="451"/>
      <c r="N61" s="450"/>
      <c r="O61" s="451"/>
      <c r="P61" s="2524"/>
      <c r="Q61" s="2504"/>
      <c r="R61" s="2435"/>
      <c r="S61" s="2435"/>
      <c r="T61" s="2435"/>
      <c r="U61" s="2435"/>
      <c r="V61" s="2435"/>
      <c r="W61" s="2435"/>
      <c r="X61" s="2435"/>
      <c r="Y61" s="2435"/>
      <c r="Z61" s="2435"/>
      <c r="AA61" s="2435"/>
      <c r="AB61" s="2435"/>
      <c r="AC61" s="2435"/>
    </row>
    <row r="62" spans="1:29" s="102" customFormat="1" ht="15">
      <c r="A62" s="453" t="s">
        <v>1681</v>
      </c>
      <c r="B62" s="442"/>
      <c r="C62" s="454" t="s">
        <v>1776</v>
      </c>
      <c r="D62" s="31"/>
      <c r="E62" s="31"/>
      <c r="F62" s="31"/>
      <c r="G62" s="31"/>
      <c r="H62" s="31"/>
      <c r="I62" s="31"/>
      <c r="J62" s="31"/>
      <c r="K62" s="31"/>
      <c r="L62" s="455"/>
      <c r="M62" s="456"/>
      <c r="N62" s="2516"/>
      <c r="O62" s="2516"/>
      <c r="P62" s="2525"/>
      <c r="Q62" s="2504"/>
      <c r="R62" s="2435"/>
      <c r="S62" s="2435"/>
      <c r="T62" s="2435"/>
      <c r="U62" s="2435"/>
      <c r="V62" s="2435"/>
      <c r="W62" s="2435"/>
      <c r="X62" s="2435"/>
      <c r="Y62" s="2435"/>
      <c r="Z62" s="2435"/>
      <c r="AA62" s="2435"/>
      <c r="AB62" s="2435"/>
      <c r="AC62" s="2435"/>
    </row>
    <row r="63" spans="1:29" s="102" customFormat="1" ht="15.75" thickBot="1">
      <c r="A63" s="453"/>
      <c r="B63" s="442"/>
      <c r="C63" s="443">
        <v>100</v>
      </c>
      <c r="D63" s="444"/>
      <c r="E63" s="444"/>
      <c r="F63" s="444"/>
      <c r="G63" s="444"/>
      <c r="H63" s="444"/>
      <c r="I63" s="444"/>
      <c r="J63" s="444"/>
      <c r="K63" s="444"/>
      <c r="L63" s="444"/>
      <c r="M63" s="446"/>
      <c r="N63" s="2516"/>
      <c r="O63" s="2516"/>
      <c r="P63" s="2524"/>
      <c r="Q63" s="2504"/>
      <c r="R63" s="2435"/>
      <c r="S63" s="2435"/>
      <c r="T63" s="2435"/>
      <c r="U63" s="2435"/>
      <c r="V63" s="2435"/>
      <c r="W63" s="2435"/>
      <c r="X63" s="2435"/>
      <c r="Y63" s="2435"/>
      <c r="Z63" s="2435"/>
      <c r="AA63" s="2435"/>
      <c r="AB63" s="2435"/>
      <c r="AC63" s="2435"/>
    </row>
    <row r="64" spans="1:29">
      <c r="A64" s="379" t="s">
        <v>1719</v>
      </c>
      <c r="B64" s="458" t="s">
        <v>1685</v>
      </c>
      <c r="C64" s="459">
        <f>C9</f>
        <v>0</v>
      </c>
      <c r="D64" s="460"/>
      <c r="E64" s="460"/>
      <c r="F64" s="460"/>
      <c r="G64" s="460"/>
      <c r="H64" s="460"/>
      <c r="I64" s="460"/>
      <c r="J64" s="460"/>
      <c r="K64" s="461"/>
      <c r="L64" s="462"/>
      <c r="M64" s="463"/>
      <c r="N64" s="2517"/>
      <c r="O64" s="2517"/>
      <c r="P64" s="2526"/>
      <c r="Q64" s="2504"/>
      <c r="R64" s="2483"/>
      <c r="S64" s="2483"/>
      <c r="T64" s="2483"/>
      <c r="U64" s="2483"/>
      <c r="V64" s="2483"/>
      <c r="W64" s="2483"/>
      <c r="X64" s="2483"/>
      <c r="Y64" s="2483"/>
      <c r="Z64" s="2483"/>
      <c r="AA64" s="2483"/>
      <c r="AB64" s="2483"/>
      <c r="AC64" s="2483"/>
    </row>
    <row r="65" spans="1:29" ht="15.75" thickBot="1">
      <c r="A65" s="367"/>
      <c r="B65" s="464"/>
      <c r="C65" s="465">
        <v>100</v>
      </c>
      <c r="D65" s="465"/>
      <c r="E65" s="465"/>
      <c r="F65" s="465"/>
      <c r="G65" s="465"/>
      <c r="H65" s="465"/>
      <c r="I65" s="465"/>
      <c r="J65" s="465"/>
      <c r="K65" s="465"/>
      <c r="L65" s="465"/>
      <c r="M65" s="466"/>
      <c r="N65" s="2518"/>
      <c r="O65" s="2518"/>
      <c r="P65" s="2526"/>
      <c r="Q65" s="2504"/>
      <c r="R65" s="2483"/>
      <c r="S65" s="2483"/>
      <c r="T65" s="2483"/>
      <c r="U65" s="2483"/>
      <c r="V65" s="2483"/>
      <c r="W65" s="2483"/>
      <c r="X65" s="2483"/>
      <c r="Y65" s="2483"/>
      <c r="Z65" s="2483"/>
      <c r="AA65" s="2483"/>
      <c r="AB65" s="2483"/>
      <c r="AC65" s="2483"/>
    </row>
    <row r="66" spans="1:29" ht="27.75" thickTop="1">
      <c r="A66" s="367"/>
      <c r="B66" s="467" t="s">
        <v>1688</v>
      </c>
      <c r="C66" s="511"/>
      <c r="D66" s="511"/>
      <c r="E66" s="511"/>
      <c r="F66" s="511"/>
      <c r="G66" s="511"/>
      <c r="H66" s="511"/>
      <c r="I66" s="511"/>
      <c r="J66" s="511"/>
      <c r="K66" s="512"/>
      <c r="L66" s="513"/>
      <c r="M66" s="514"/>
      <c r="N66" s="2517"/>
      <c r="O66" s="2517"/>
      <c r="P66" s="2526"/>
      <c r="Q66" s="2504"/>
      <c r="R66" s="2483"/>
      <c r="S66" s="2483"/>
      <c r="T66" s="2483"/>
      <c r="U66" s="2483"/>
      <c r="V66" s="2483"/>
      <c r="W66" s="2483"/>
      <c r="X66" s="2483"/>
      <c r="Y66" s="2483"/>
      <c r="Z66" s="2483"/>
      <c r="AA66" s="2483"/>
      <c r="AB66" s="2483"/>
      <c r="AC66" s="2483"/>
    </row>
    <row r="67" spans="1:29" ht="15.75" thickBot="1">
      <c r="A67" s="367"/>
      <c r="B67" s="472"/>
      <c r="C67" s="465"/>
      <c r="D67" s="465"/>
      <c r="E67" s="465"/>
      <c r="F67" s="465"/>
      <c r="G67" s="465"/>
      <c r="H67" s="465"/>
      <c r="I67" s="465"/>
      <c r="J67" s="465"/>
      <c r="K67" s="465"/>
      <c r="L67" s="465"/>
      <c r="M67" s="466"/>
      <c r="N67" s="2518"/>
      <c r="O67" s="2518"/>
      <c r="P67" s="2526"/>
      <c r="Q67" s="2504"/>
      <c r="R67" s="2483"/>
      <c r="S67" s="2483"/>
      <c r="T67" s="2483"/>
      <c r="U67" s="2483"/>
      <c r="V67" s="2483"/>
      <c r="W67" s="2483"/>
      <c r="X67" s="2483"/>
      <c r="Y67" s="2483"/>
      <c r="Z67" s="2483"/>
      <c r="AA67" s="2483"/>
      <c r="AB67" s="2483"/>
      <c r="AC67" s="2483"/>
    </row>
    <row r="68" spans="1:29" ht="15.75" thickTop="1">
      <c r="A68" s="367"/>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7"/>
      <c r="C69" s="478">
        <v>0</v>
      </c>
      <c r="D69" s="478">
        <v>3</v>
      </c>
      <c r="E69" s="478"/>
      <c r="F69" s="478"/>
      <c r="G69" s="478"/>
      <c r="H69" s="478"/>
      <c r="I69" s="478"/>
      <c r="J69" s="478"/>
      <c r="K69" s="479"/>
      <c r="L69" s="480"/>
      <c r="M69" s="481"/>
      <c r="N69" s="2517"/>
      <c r="O69" s="2517"/>
      <c r="P69" s="2526"/>
      <c r="Q69" s="2504"/>
      <c r="R69" s="2483"/>
      <c r="S69" s="2483"/>
      <c r="T69" s="2483"/>
      <c r="U69" s="2483"/>
      <c r="V69" s="2483"/>
      <c r="W69" s="2483"/>
      <c r="X69" s="2483"/>
      <c r="Y69" s="2483"/>
      <c r="Z69" s="2483"/>
      <c r="AA69" s="2483"/>
      <c r="AB69" s="2483"/>
      <c r="AC69" s="2483"/>
    </row>
    <row r="70" spans="1:29" ht="15.75" thickBot="1">
      <c r="A70" s="367"/>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2"/>
      <c r="B71" s="467">
        <f>B12</f>
        <v>111</v>
      </c>
      <c r="C71" s="483"/>
      <c r="D71" s="483"/>
      <c r="E71" s="483"/>
      <c r="F71" s="483"/>
      <c r="G71" s="483"/>
      <c r="H71" s="484"/>
      <c r="I71" s="484"/>
      <c r="J71" s="484"/>
      <c r="K71" s="484"/>
      <c r="L71" s="485"/>
      <c r="M71" s="486"/>
      <c r="N71" s="2519"/>
      <c r="O71" s="2519"/>
      <c r="P71" s="2527"/>
      <c r="Q71" s="2511"/>
      <c r="R71" s="2489"/>
      <c r="S71" s="2489"/>
      <c r="T71" s="2489"/>
      <c r="U71" s="2489"/>
      <c r="V71" s="2489"/>
      <c r="W71" s="2489"/>
      <c r="X71" s="2489"/>
      <c r="Y71" s="2489"/>
      <c r="Z71" s="2489"/>
      <c r="AA71" s="2489"/>
      <c r="AB71" s="2489"/>
      <c r="AC71" s="2489"/>
    </row>
    <row r="72" spans="1:29" s="408" customFormat="1" ht="15.75" thickBot="1">
      <c r="A72" s="482"/>
      <c r="B72" s="472"/>
      <c r="C72" s="489"/>
      <c r="D72" s="465"/>
      <c r="E72" s="465"/>
      <c r="F72" s="465"/>
      <c r="G72" s="465"/>
      <c r="H72" s="465"/>
      <c r="I72" s="465"/>
      <c r="J72" s="465"/>
      <c r="K72" s="465"/>
      <c r="L72" s="465"/>
      <c r="M72" s="466"/>
      <c r="N72" s="2518"/>
      <c r="O72" s="2518"/>
      <c r="P72" s="2527"/>
      <c r="Q72" s="2511"/>
      <c r="R72" s="2489"/>
      <c r="S72" s="2489"/>
      <c r="T72" s="2489"/>
      <c r="U72" s="2489"/>
      <c r="V72" s="2489"/>
      <c r="W72" s="2489"/>
      <c r="X72" s="2489"/>
      <c r="Y72" s="2489"/>
      <c r="Z72" s="2489"/>
      <c r="AA72" s="2489"/>
      <c r="AB72" s="2489"/>
      <c r="AC72" s="2489"/>
    </row>
    <row r="73" spans="1:29" s="408" customFormat="1" ht="15.75" thickTop="1">
      <c r="A73" s="482"/>
      <c r="B73" s="467">
        <f>B13</f>
        <v>111</v>
      </c>
      <c r="C73" s="483"/>
      <c r="D73" s="483"/>
      <c r="E73" s="483"/>
      <c r="F73" s="483"/>
      <c r="G73" s="483"/>
      <c r="H73" s="484"/>
      <c r="I73" s="484"/>
      <c r="J73" s="484"/>
      <c r="K73" s="484"/>
      <c r="L73" s="485"/>
      <c r="M73" s="486"/>
      <c r="N73" s="2519"/>
      <c r="O73" s="2519"/>
      <c r="P73" s="2528"/>
      <c r="Q73" s="2513"/>
      <c r="R73" s="2489"/>
      <c r="S73" s="2489"/>
      <c r="T73" s="2489"/>
      <c r="U73" s="2489"/>
      <c r="V73" s="2489"/>
      <c r="W73" s="2489"/>
      <c r="X73" s="2489"/>
      <c r="Y73" s="2489"/>
      <c r="Z73" s="2489"/>
      <c r="AA73" s="2489"/>
      <c r="AB73" s="2489"/>
      <c r="AC73" s="2489"/>
    </row>
    <row r="74" spans="1:29" s="408" customFormat="1" ht="15.75" thickBot="1">
      <c r="A74" s="482"/>
      <c r="B74" s="472"/>
      <c r="C74" s="489"/>
      <c r="D74" s="489"/>
      <c r="E74" s="489"/>
      <c r="F74" s="489"/>
      <c r="G74" s="489"/>
      <c r="H74" s="491"/>
      <c r="I74" s="491"/>
      <c r="J74" s="491"/>
      <c r="K74" s="491"/>
      <c r="L74" s="491"/>
      <c r="M74" s="492"/>
      <c r="N74" s="2519"/>
      <c r="O74" s="2519"/>
      <c r="P74" s="2527"/>
      <c r="Q74" s="2511"/>
      <c r="R74" s="2489"/>
      <c r="S74" s="2489"/>
      <c r="T74" s="2489"/>
      <c r="U74" s="2489"/>
      <c r="V74" s="2489"/>
      <c r="W74" s="2489"/>
      <c r="X74" s="2489"/>
      <c r="Y74" s="2489"/>
      <c r="Z74" s="2489"/>
      <c r="AA74" s="2489"/>
      <c r="AB74" s="2489"/>
      <c r="AC74" s="2489"/>
    </row>
    <row r="75" spans="1:29" s="408" customFormat="1" ht="15.75" thickTop="1">
      <c r="A75" s="482"/>
      <c r="B75" s="475">
        <f>B14</f>
        <v>111</v>
      </c>
      <c r="C75" s="31"/>
      <c r="D75" s="31"/>
      <c r="E75" s="31"/>
      <c r="F75" s="31"/>
      <c r="G75" s="31"/>
      <c r="H75" s="493"/>
      <c r="I75" s="493"/>
      <c r="J75" s="493"/>
      <c r="K75" s="493"/>
      <c r="L75" s="494"/>
      <c r="M75" s="495"/>
      <c r="N75" s="2519"/>
      <c r="O75" s="2519"/>
      <c r="P75" s="2529"/>
      <c r="Q75" s="2511"/>
      <c r="R75" s="2489"/>
      <c r="S75" s="2489"/>
      <c r="T75" s="2489"/>
      <c r="U75" s="2489"/>
      <c r="V75" s="2489"/>
      <c r="W75" s="2489"/>
      <c r="X75" s="2489"/>
      <c r="Y75" s="2489"/>
      <c r="Z75" s="2489"/>
      <c r="AA75" s="2489"/>
      <c r="AB75" s="2489"/>
      <c r="AC75" s="2489"/>
    </row>
    <row r="76" spans="1:29" s="408" customFormat="1" ht="15.75" thickBot="1">
      <c r="A76" s="497"/>
      <c r="B76" s="498"/>
      <c r="C76" s="499"/>
      <c r="D76" s="499"/>
      <c r="E76" s="499"/>
      <c r="F76" s="499"/>
      <c r="G76" s="499"/>
      <c r="H76" s="500"/>
      <c r="I76" s="500"/>
      <c r="J76" s="500"/>
      <c r="K76" s="500"/>
      <c r="L76" s="500"/>
      <c r="M76" s="501"/>
      <c r="N76" s="2519"/>
      <c r="O76" s="2519"/>
      <c r="P76" s="2527"/>
      <c r="Q76" s="2511"/>
      <c r="R76" s="2489"/>
      <c r="S76" s="2489"/>
      <c r="T76" s="2489"/>
      <c r="U76" s="2489"/>
      <c r="V76" s="2489"/>
      <c r="W76" s="2489"/>
      <c r="X76" s="2489"/>
      <c r="Y76" s="2489"/>
      <c r="Z76" s="2489"/>
      <c r="AA76" s="2489"/>
      <c r="AB76" s="2489"/>
      <c r="AC76" s="2489"/>
    </row>
    <row r="77" spans="1:29">
      <c r="A77" s="379" t="s">
        <v>1690</v>
      </c>
      <c r="B77" s="458" t="s">
        <v>1821</v>
      </c>
      <c r="C77" s="502" t="s">
        <v>1721</v>
      </c>
      <c r="D77" s="502" t="s">
        <v>1722</v>
      </c>
      <c r="E77" s="502" t="s">
        <v>1723</v>
      </c>
      <c r="F77" s="502" t="s">
        <v>1724</v>
      </c>
      <c r="G77" s="502" t="s">
        <v>1725</v>
      </c>
      <c r="H77" s="459"/>
      <c r="I77" s="459"/>
      <c r="J77" s="459"/>
      <c r="K77" s="503"/>
      <c r="L77" s="504"/>
      <c r="M77" s="505"/>
      <c r="N77" s="2517"/>
      <c r="O77" s="2517"/>
      <c r="P77" s="2530"/>
      <c r="Q77" s="2504"/>
      <c r="R77" s="2483"/>
      <c r="S77" s="2483"/>
      <c r="T77" s="2483"/>
      <c r="U77" s="2483"/>
      <c r="V77" s="2483"/>
      <c r="W77" s="2483"/>
      <c r="X77" s="2483"/>
      <c r="Y77" s="2483"/>
      <c r="Z77" s="2483"/>
      <c r="AA77" s="2483"/>
      <c r="AB77" s="2483"/>
      <c r="AC77" s="2483"/>
    </row>
    <row r="78" spans="1:29" ht="15.75" thickBot="1">
      <c r="A78" s="367"/>
      <c r="B78" s="472"/>
      <c r="C78" s="473">
        <v>100</v>
      </c>
      <c r="D78" s="473">
        <f>C78-$K15</f>
        <v>100</v>
      </c>
      <c r="E78" s="473">
        <f>D78-$K15</f>
        <v>100</v>
      </c>
      <c r="F78" s="473">
        <f>E78-$K15</f>
        <v>100</v>
      </c>
      <c r="G78" s="473">
        <f>F78-$K15</f>
        <v>100</v>
      </c>
      <c r="H78" s="473"/>
      <c r="I78" s="473"/>
      <c r="J78" s="473"/>
      <c r="K78" s="473"/>
      <c r="L78" s="473"/>
      <c r="M78" s="474"/>
      <c r="N78" s="2518"/>
      <c r="O78" s="2518"/>
      <c r="P78" s="2526"/>
      <c r="Q78" s="2504"/>
      <c r="R78" s="2483"/>
      <c r="S78" s="2483"/>
      <c r="T78" s="2483"/>
      <c r="U78" s="2483"/>
      <c r="V78" s="2483"/>
      <c r="W78" s="2483"/>
      <c r="X78" s="2483"/>
      <c r="Y78" s="2483"/>
      <c r="Z78" s="2483"/>
      <c r="AA78" s="2483"/>
      <c r="AB78" s="2483"/>
      <c r="AC78" s="2483"/>
    </row>
    <row r="79" spans="1:29" ht="15.75" thickTop="1">
      <c r="A79" s="367"/>
      <c r="B79" s="467" t="s">
        <v>1726</v>
      </c>
      <c r="C79" s="507" t="s">
        <v>1721</v>
      </c>
      <c r="D79" s="507" t="s">
        <v>1722</v>
      </c>
      <c r="E79" s="507" t="s">
        <v>1723</v>
      </c>
      <c r="F79" s="507" t="s">
        <v>1724</v>
      </c>
      <c r="G79" s="507" t="s">
        <v>1725</v>
      </c>
      <c r="H79" s="468"/>
      <c r="I79" s="468"/>
      <c r="J79" s="468"/>
      <c r="K79" s="469"/>
      <c r="L79" s="470"/>
      <c r="M79" s="471"/>
      <c r="N79" s="2517"/>
      <c r="O79" s="2517"/>
      <c r="P79" s="2526"/>
      <c r="Q79" s="2504"/>
      <c r="R79" s="2483"/>
      <c r="S79" s="2483"/>
      <c r="T79" s="2483"/>
      <c r="U79" s="2483"/>
      <c r="V79" s="2483"/>
      <c r="W79" s="2483"/>
      <c r="X79" s="2483"/>
      <c r="Y79" s="2483"/>
      <c r="Z79" s="2483"/>
      <c r="AA79" s="2483"/>
      <c r="AB79" s="2483"/>
      <c r="AC79" s="2483"/>
    </row>
    <row r="80" spans="1:29" ht="15.75" thickBot="1">
      <c r="A80" s="367"/>
      <c r="B80" s="472"/>
      <c r="C80" s="473">
        <v>100</v>
      </c>
      <c r="D80" s="473">
        <f>C80-$K17</f>
        <v>100</v>
      </c>
      <c r="E80" s="473">
        <f>D80-$K17</f>
        <v>100</v>
      </c>
      <c r="F80" s="473">
        <f>E80-$K17</f>
        <v>100</v>
      </c>
      <c r="G80" s="473">
        <f>F80-$K17</f>
        <v>100</v>
      </c>
      <c r="H80" s="473"/>
      <c r="I80" s="473"/>
      <c r="J80" s="473"/>
      <c r="K80" s="473"/>
      <c r="L80" s="473"/>
      <c r="M80" s="474"/>
      <c r="N80" s="2518"/>
      <c r="O80" s="2518"/>
      <c r="P80" s="2526"/>
      <c r="Q80" s="2504"/>
      <c r="R80" s="2483"/>
      <c r="S80" s="2483"/>
      <c r="T80" s="2483"/>
      <c r="U80" s="2483"/>
      <c r="V80" s="2483"/>
      <c r="W80" s="2483"/>
      <c r="X80" s="2483"/>
      <c r="Y80" s="2483"/>
      <c r="Z80" s="2483"/>
      <c r="AA80" s="2483"/>
      <c r="AB80" s="2483"/>
      <c r="AC80" s="2483"/>
    </row>
    <row r="81" spans="1:29" ht="15.75" thickTop="1">
      <c r="A81" s="367"/>
      <c r="B81" s="467" t="s">
        <v>1727</v>
      </c>
      <c r="C81" s="507" t="s">
        <v>1721</v>
      </c>
      <c r="D81" s="507" t="s">
        <v>1722</v>
      </c>
      <c r="E81" s="507" t="s">
        <v>1723</v>
      </c>
      <c r="F81" s="507" t="s">
        <v>1724</v>
      </c>
      <c r="G81" s="507" t="s">
        <v>1725</v>
      </c>
      <c r="H81" s="468"/>
      <c r="I81" s="468"/>
      <c r="J81" s="468"/>
      <c r="K81" s="469"/>
      <c r="L81" s="470"/>
      <c r="M81" s="471"/>
      <c r="N81" s="2517"/>
      <c r="O81" s="2517"/>
      <c r="P81" s="2526"/>
      <c r="Q81" s="2504"/>
      <c r="R81" s="2483"/>
      <c r="S81" s="2483"/>
      <c r="T81" s="2483"/>
      <c r="U81" s="2483"/>
      <c r="V81" s="2483"/>
      <c r="W81" s="2483"/>
      <c r="X81" s="2483"/>
      <c r="Y81" s="2483"/>
      <c r="Z81" s="2483"/>
      <c r="AA81" s="2483"/>
      <c r="AB81" s="2483"/>
      <c r="AC81" s="2483"/>
    </row>
    <row r="82" spans="1:29" ht="15.75" thickBot="1">
      <c r="A82" s="367"/>
      <c r="B82" s="472"/>
      <c r="C82" s="473">
        <v>100</v>
      </c>
      <c r="D82" s="473">
        <f>C82-$K19</f>
        <v>100</v>
      </c>
      <c r="E82" s="473">
        <f>D82-$K19</f>
        <v>100</v>
      </c>
      <c r="F82" s="473">
        <f>E82-$K19</f>
        <v>100</v>
      </c>
      <c r="G82" s="473">
        <f>F82-$K19</f>
        <v>100</v>
      </c>
      <c r="H82" s="473"/>
      <c r="I82" s="473"/>
      <c r="J82" s="473"/>
      <c r="K82" s="473"/>
      <c r="L82" s="473"/>
      <c r="M82" s="474"/>
      <c r="N82" s="2518"/>
      <c r="O82" s="2518"/>
      <c r="P82" s="2526"/>
      <c r="Q82" s="2504"/>
      <c r="R82" s="2483"/>
      <c r="S82" s="2483"/>
      <c r="T82" s="2483"/>
      <c r="U82" s="2483"/>
      <c r="V82" s="2483"/>
      <c r="W82" s="2483"/>
      <c r="X82" s="2483"/>
      <c r="Y82" s="2483"/>
      <c r="Z82" s="2483"/>
      <c r="AA82" s="2483"/>
      <c r="AB82" s="2483"/>
      <c r="AC82" s="2483"/>
    </row>
    <row r="83" spans="1:29" ht="15.75" thickTop="1">
      <c r="A83" s="367"/>
      <c r="B83" s="475" t="s">
        <v>1813</v>
      </c>
      <c r="C83" s="579" t="s">
        <v>1799</v>
      </c>
      <c r="D83" s="579" t="s">
        <v>1800</v>
      </c>
      <c r="E83" s="579" t="s">
        <v>1801</v>
      </c>
      <c r="F83" s="579" t="s">
        <v>1802</v>
      </c>
      <c r="G83" s="579" t="s">
        <v>1803</v>
      </c>
      <c r="H83" s="468"/>
      <c r="I83" s="468"/>
      <c r="J83" s="468"/>
      <c r="K83" s="468"/>
      <c r="L83" s="468"/>
      <c r="M83" s="1060"/>
      <c r="N83" s="2518"/>
      <c r="O83" s="2518"/>
      <c r="P83" s="2526"/>
      <c r="Q83" s="2504"/>
      <c r="R83" s="2483"/>
      <c r="S83" s="2483"/>
      <c r="T83" s="2483"/>
      <c r="U83" s="2483"/>
      <c r="V83" s="2483"/>
      <c r="W83" s="2483"/>
      <c r="X83" s="2483"/>
      <c r="Y83" s="2483"/>
      <c r="Z83" s="2483"/>
      <c r="AA83" s="2483"/>
      <c r="AB83" s="2483"/>
      <c r="AC83" s="2483"/>
    </row>
    <row r="84" spans="1:29" ht="15.75" thickBot="1">
      <c r="A84" s="367"/>
      <c r="B84" s="475"/>
      <c r="C84" s="473">
        <v>100</v>
      </c>
      <c r="D84" s="473">
        <f>C84-$K21</f>
        <v>100</v>
      </c>
      <c r="E84" s="473">
        <f>D84-$K21</f>
        <v>100</v>
      </c>
      <c r="F84" s="473">
        <f>E84-$K21</f>
        <v>100</v>
      </c>
      <c r="G84" s="473">
        <f>F84-$K21</f>
        <v>100</v>
      </c>
      <c r="H84" s="579"/>
      <c r="I84" s="579"/>
      <c r="J84" s="579"/>
      <c r="K84" s="579"/>
      <c r="L84" s="579"/>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7" t="s">
        <v>1822</v>
      </c>
      <c r="C85" s="507" t="s">
        <v>1721</v>
      </c>
      <c r="D85" s="507" t="s">
        <v>1722</v>
      </c>
      <c r="E85" s="507" t="s">
        <v>1723</v>
      </c>
      <c r="F85" s="507" t="s">
        <v>1724</v>
      </c>
      <c r="G85" s="507" t="s">
        <v>1725</v>
      </c>
      <c r="H85" s="468"/>
      <c r="I85" s="468"/>
      <c r="J85" s="468"/>
      <c r="K85" s="469"/>
      <c r="L85" s="470"/>
      <c r="M85" s="471"/>
      <c r="N85" s="2517"/>
      <c r="O85" s="2517"/>
      <c r="P85" s="2526"/>
      <c r="Q85" s="2504"/>
      <c r="R85" s="2483"/>
      <c r="S85" s="2483"/>
      <c r="T85" s="2483"/>
      <c r="U85" s="2483"/>
      <c r="V85" s="2483"/>
      <c r="W85" s="2483"/>
      <c r="X85" s="2483"/>
      <c r="Y85" s="2483"/>
      <c r="Z85" s="2483"/>
      <c r="AA85" s="2483"/>
      <c r="AB85" s="2483"/>
      <c r="AC85" s="2483"/>
    </row>
    <row r="86" spans="1:29" ht="15.75" thickBot="1">
      <c r="A86" s="367"/>
      <c r="B86" s="472"/>
      <c r="C86" s="473">
        <v>100</v>
      </c>
      <c r="D86" s="473">
        <f>C86-$K23</f>
        <v>100</v>
      </c>
      <c r="E86" s="473">
        <f>D86-$K23</f>
        <v>100</v>
      </c>
      <c r="F86" s="473">
        <f>E86-$K23</f>
        <v>100</v>
      </c>
      <c r="G86" s="473">
        <f>F86-$K23</f>
        <v>100</v>
      </c>
      <c r="H86" s="473"/>
      <c r="I86" s="473"/>
      <c r="J86" s="473"/>
      <c r="K86" s="473"/>
      <c r="L86" s="473"/>
      <c r="M86" s="474"/>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7" t="s">
        <v>1823</v>
      </c>
      <c r="C87" s="483"/>
      <c r="D87" s="483"/>
      <c r="E87" s="483"/>
      <c r="F87" s="483"/>
      <c r="G87" s="483"/>
      <c r="H87" s="483"/>
      <c r="I87" s="483"/>
      <c r="J87" s="483"/>
      <c r="K87" s="483"/>
      <c r="L87" s="508"/>
      <c r="M87" s="509"/>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7" t="str">
        <f>B27</f>
        <v>楼层</v>
      </c>
      <c r="C89" s="483"/>
      <c r="D89" s="483"/>
      <c r="E89" s="483"/>
      <c r="F89" s="1775"/>
      <c r="G89" s="483"/>
      <c r="H89" s="483"/>
      <c r="I89" s="483"/>
      <c r="J89" s="483"/>
      <c r="K89" s="483"/>
      <c r="L89" s="483"/>
      <c r="M89" s="509"/>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2"/>
      <c r="B91" s="467" t="str">
        <f>B28</f>
        <v>朝向</v>
      </c>
      <c r="C91" s="483"/>
      <c r="D91" s="483"/>
      <c r="E91" s="483"/>
      <c r="F91" s="483"/>
      <c r="G91" s="483"/>
      <c r="H91" s="484"/>
      <c r="I91" s="484"/>
      <c r="J91" s="484"/>
      <c r="K91" s="484"/>
      <c r="L91" s="485"/>
      <c r="M91" s="48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7">
        <f>B29</f>
        <v>111</v>
      </c>
      <c r="C93" s="483"/>
      <c r="D93" s="483"/>
      <c r="E93" s="483"/>
      <c r="F93" s="483"/>
      <c r="G93" s="483"/>
      <c r="H93" s="483"/>
      <c r="I93" s="483"/>
      <c r="J93" s="483"/>
      <c r="K93" s="483"/>
      <c r="L93" s="508"/>
      <c r="M93" s="509"/>
      <c r="N93" s="2517"/>
      <c r="O93" s="2517"/>
      <c r="P93" s="2526"/>
      <c r="Q93" s="2504"/>
      <c r="R93" s="2483"/>
      <c r="S93" s="2483"/>
      <c r="T93" s="2483"/>
      <c r="U93" s="2483"/>
      <c r="V93" s="2483"/>
      <c r="W93" s="2483"/>
      <c r="X93" s="2483"/>
      <c r="Y93" s="2483"/>
      <c r="Z93" s="2483"/>
      <c r="AA93" s="2483"/>
      <c r="AB93" s="2483"/>
      <c r="AC93" s="2483"/>
    </row>
    <row r="94" spans="1:29" ht="15.75" thickBot="1">
      <c r="A94" s="367"/>
      <c r="B94" s="472"/>
      <c r="C94" s="489"/>
      <c r="D94" s="465"/>
      <c r="E94" s="465"/>
      <c r="F94" s="465"/>
      <c r="G94" s="465"/>
      <c r="H94" s="465"/>
      <c r="I94" s="465"/>
      <c r="J94" s="465"/>
      <c r="K94" s="465"/>
      <c r="L94" s="465"/>
      <c r="M94" s="466"/>
      <c r="N94" s="2518"/>
      <c r="O94" s="2518"/>
      <c r="P94" s="2526"/>
      <c r="Q94" s="2504"/>
      <c r="R94" s="2483"/>
      <c r="S94" s="2483"/>
      <c r="T94" s="2483"/>
      <c r="U94" s="2483"/>
      <c r="V94" s="2483"/>
      <c r="W94" s="2483"/>
      <c r="X94" s="2483"/>
      <c r="Y94" s="2483"/>
      <c r="Z94" s="2483"/>
      <c r="AA94" s="2483"/>
      <c r="AB94" s="2483"/>
      <c r="AC94" s="2483"/>
    </row>
    <row r="95" spans="1:29" ht="15.75" thickTop="1">
      <c r="A95" s="367"/>
      <c r="B95" s="467">
        <f>B30</f>
        <v>111</v>
      </c>
      <c r="C95" s="483"/>
      <c r="D95" s="483"/>
      <c r="E95" s="483"/>
      <c r="F95" s="483"/>
      <c r="G95" s="511"/>
      <c r="H95" s="511"/>
      <c r="I95" s="511"/>
      <c r="J95" s="511"/>
      <c r="K95" s="512"/>
      <c r="L95" s="513"/>
      <c r="M95" s="514"/>
      <c r="N95" s="2517"/>
      <c r="O95" s="2517"/>
      <c r="P95" s="2526"/>
      <c r="Q95" s="2504"/>
      <c r="R95" s="2483"/>
      <c r="S95" s="2483"/>
      <c r="T95" s="2483"/>
      <c r="U95" s="2483"/>
      <c r="V95" s="2483"/>
      <c r="W95" s="2483"/>
      <c r="X95" s="2483"/>
      <c r="Y95" s="2483"/>
      <c r="Z95" s="2483"/>
      <c r="AA95" s="2483"/>
      <c r="AB95" s="2483"/>
      <c r="AC95" s="2483"/>
    </row>
    <row r="96" spans="1:29" ht="15.75" thickBot="1">
      <c r="A96" s="367"/>
      <c r="B96" s="472"/>
      <c r="C96" s="489"/>
      <c r="D96" s="489"/>
      <c r="E96" s="489"/>
      <c r="F96" s="489"/>
      <c r="G96" s="465"/>
      <c r="H96" s="465"/>
      <c r="I96" s="465"/>
      <c r="J96" s="465"/>
      <c r="K96" s="465"/>
      <c r="L96" s="465"/>
      <c r="M96" s="466"/>
      <c r="N96" s="2518"/>
      <c r="O96" s="2518"/>
      <c r="P96" s="2526"/>
      <c r="Q96" s="2504"/>
      <c r="R96" s="2483"/>
      <c r="S96" s="2483"/>
      <c r="T96" s="2483"/>
      <c r="U96" s="2483"/>
      <c r="V96" s="2483"/>
      <c r="W96" s="2483"/>
      <c r="X96" s="2483"/>
      <c r="Y96" s="2483"/>
      <c r="Z96" s="2483"/>
      <c r="AA96" s="2483"/>
      <c r="AB96" s="2483"/>
      <c r="AC96" s="2483"/>
    </row>
    <row r="97" spans="1:29" ht="15.75" thickTop="1">
      <c r="A97" s="367"/>
      <c r="B97" s="467">
        <f>B31</f>
        <v>111</v>
      </c>
      <c r="C97" s="483"/>
      <c r="D97" s="483"/>
      <c r="E97" s="483"/>
      <c r="F97" s="483"/>
      <c r="G97" s="511"/>
      <c r="H97" s="511"/>
      <c r="I97" s="511"/>
      <c r="J97" s="511"/>
      <c r="K97" s="512"/>
      <c r="L97" s="513"/>
      <c r="M97" s="514"/>
      <c r="N97" s="2517"/>
      <c r="O97" s="2517"/>
      <c r="P97" s="2526"/>
      <c r="Q97" s="2504"/>
      <c r="R97" s="2483"/>
      <c r="S97" s="2483"/>
      <c r="T97" s="2483"/>
      <c r="U97" s="2483"/>
      <c r="V97" s="2483"/>
      <c r="W97" s="2483"/>
      <c r="X97" s="2483"/>
      <c r="Y97" s="2483"/>
      <c r="Z97" s="2483"/>
      <c r="AA97" s="2483"/>
      <c r="AB97" s="2483"/>
      <c r="AC97" s="2483"/>
    </row>
    <row r="98" spans="1:29" ht="15.75" thickBot="1">
      <c r="A98" s="367"/>
      <c r="B98" s="472"/>
      <c r="C98" s="489"/>
      <c r="D98" s="465"/>
      <c r="E98" s="465"/>
      <c r="F98" s="465"/>
      <c r="G98" s="465"/>
      <c r="H98" s="465"/>
      <c r="I98" s="465"/>
      <c r="J98" s="465"/>
      <c r="K98" s="465"/>
      <c r="L98" s="465"/>
      <c r="M98" s="466"/>
      <c r="N98" s="2518"/>
      <c r="O98" s="2518"/>
      <c r="P98" s="2526"/>
      <c r="Q98" s="2504"/>
      <c r="R98" s="2483"/>
      <c r="S98" s="2483"/>
      <c r="T98" s="2483"/>
      <c r="U98" s="2483"/>
      <c r="V98" s="2483"/>
      <c r="W98" s="2483"/>
      <c r="X98" s="2483"/>
      <c r="Y98" s="2483"/>
      <c r="Z98" s="2483"/>
      <c r="AA98" s="2483"/>
      <c r="AB98" s="2483"/>
      <c r="AC98" s="2483"/>
    </row>
    <row r="99" spans="1:29" ht="15.75" thickTop="1">
      <c r="A99" s="367"/>
      <c r="B99" s="475">
        <f>B32</f>
        <v>111</v>
      </c>
      <c r="C99" s="31"/>
      <c r="D99" s="31"/>
      <c r="E99" s="31"/>
      <c r="F99" s="31"/>
      <c r="G99" s="515"/>
      <c r="H99" s="515"/>
      <c r="I99" s="515"/>
      <c r="J99" s="515"/>
      <c r="K99" s="516"/>
      <c r="L99" s="517"/>
      <c r="M99" s="518"/>
      <c r="N99" s="2517"/>
      <c r="O99" s="2517"/>
      <c r="P99" s="2526"/>
      <c r="Q99" s="2504"/>
      <c r="R99" s="2483"/>
      <c r="S99" s="2483"/>
      <c r="T99" s="2483"/>
      <c r="U99" s="2483"/>
      <c r="V99" s="2483"/>
      <c r="W99" s="2483"/>
      <c r="X99" s="2483"/>
      <c r="Y99" s="2483"/>
      <c r="Z99" s="2483"/>
      <c r="AA99" s="2483"/>
      <c r="AB99" s="2483"/>
      <c r="AC99" s="2483"/>
    </row>
    <row r="100" spans="1:29" ht="15.75" thickBot="1">
      <c r="A100" s="375"/>
      <c r="B100" s="498"/>
      <c r="C100" s="499"/>
      <c r="D100" s="499"/>
      <c r="E100" s="499"/>
      <c r="F100" s="499"/>
      <c r="G100" s="519"/>
      <c r="H100" s="519"/>
      <c r="I100" s="519"/>
      <c r="J100" s="519"/>
      <c r="K100" s="519"/>
      <c r="L100" s="519"/>
      <c r="M100" s="520"/>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58" t="s">
        <v>1736</v>
      </c>
      <c r="C101" s="460"/>
      <c r="D101" s="460"/>
      <c r="E101" s="460"/>
      <c r="F101" s="460"/>
      <c r="G101" s="460"/>
      <c r="H101" s="460"/>
      <c r="I101" s="460"/>
      <c r="J101" s="460"/>
      <c r="K101" s="461"/>
      <c r="L101" s="462"/>
      <c r="M101" s="463"/>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1"/>
      <c r="C104" s="6"/>
      <c r="D104" s="6"/>
      <c r="E104" s="6"/>
      <c r="F104" s="6"/>
      <c r="G104" s="6"/>
      <c r="H104" s="6"/>
      <c r="I104" s="6"/>
      <c r="J104" s="522"/>
      <c r="K104" s="522"/>
      <c r="L104" s="523"/>
      <c r="M104" s="524"/>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2"/>
      <c r="B105" s="472"/>
      <c r="C105" s="489"/>
      <c r="D105" s="465"/>
      <c r="E105" s="465"/>
      <c r="F105" s="465"/>
      <c r="G105" s="465"/>
      <c r="H105" s="465"/>
      <c r="I105" s="465"/>
      <c r="J105" s="465"/>
      <c r="K105" s="465"/>
      <c r="L105" s="465"/>
      <c r="M105" s="466"/>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7" t="s">
        <v>1738</v>
      </c>
      <c r="C106" s="483"/>
      <c r="D106" s="483"/>
      <c r="E106" s="511"/>
      <c r="F106" s="511"/>
      <c r="G106" s="511"/>
      <c r="H106" s="511"/>
      <c r="I106" s="511"/>
      <c r="J106" s="511"/>
      <c r="K106" s="512"/>
      <c r="L106" s="513"/>
      <c r="M106" s="514"/>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7" t="s">
        <v>1740</v>
      </c>
      <c r="C108" s="483"/>
      <c r="D108" s="483"/>
      <c r="E108" s="483"/>
      <c r="F108" s="511"/>
      <c r="G108" s="511"/>
      <c r="H108" s="511"/>
      <c r="I108" s="511"/>
      <c r="J108" s="511"/>
      <c r="K108" s="512"/>
      <c r="L108" s="513"/>
      <c r="M108" s="514"/>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7"/>
      <c r="O110" s="2517"/>
      <c r="P110" s="2526"/>
      <c r="Q110" s="2504"/>
      <c r="R110" s="2483"/>
      <c r="S110" s="2483"/>
      <c r="T110" s="2483"/>
      <c r="U110" s="2483"/>
      <c r="V110" s="2483"/>
      <c r="W110" s="2483"/>
      <c r="X110" s="2483"/>
      <c r="Y110" s="2483"/>
      <c r="Z110" s="2483"/>
      <c r="AA110" s="2483"/>
      <c r="AB110" s="2483"/>
      <c r="AC110" s="2483"/>
    </row>
    <row r="111" spans="1:29">
      <c r="A111" s="409"/>
      <c r="B111" s="475"/>
      <c r="C111" s="528">
        <v>0.5</v>
      </c>
      <c r="D111" s="528">
        <v>0.6</v>
      </c>
      <c r="E111" s="528">
        <v>0.7</v>
      </c>
      <c r="F111" s="528">
        <v>0.8</v>
      </c>
      <c r="G111" s="528">
        <v>0.9</v>
      </c>
      <c r="H111" s="528">
        <v>1.0001</v>
      </c>
      <c r="I111" s="546"/>
      <c r="J111" s="546"/>
      <c r="K111" s="547"/>
      <c r="L111" s="548"/>
      <c r="M111" s="549"/>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7" t="s">
        <v>1824</v>
      </c>
      <c r="C113" s="483"/>
      <c r="D113" s="483"/>
      <c r="E113" s="483"/>
      <c r="F113" s="483"/>
      <c r="G113" s="483"/>
      <c r="H113" s="511"/>
      <c r="I113" s="511"/>
      <c r="J113" s="511"/>
      <c r="K113" s="512"/>
      <c r="L113" s="513"/>
      <c r="M113" s="514"/>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7" t="s">
        <v>1741</v>
      </c>
      <c r="C115" s="483"/>
      <c r="D115" s="483"/>
      <c r="E115" s="511"/>
      <c r="F115" s="511"/>
      <c r="G115" s="511"/>
      <c r="H115" s="511"/>
      <c r="I115" s="511"/>
      <c r="J115" s="511"/>
      <c r="K115" s="512"/>
      <c r="L115" s="513"/>
      <c r="M115" s="514"/>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7" t="s">
        <v>1742</v>
      </c>
      <c r="C117" s="483"/>
      <c r="D117" s="483"/>
      <c r="E117" s="483"/>
      <c r="F117" s="483"/>
      <c r="G117" s="483"/>
      <c r="H117" s="511"/>
      <c r="I117" s="511"/>
      <c r="J117" s="511"/>
      <c r="K117" s="512"/>
      <c r="L117" s="513"/>
      <c r="M117" s="514"/>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2"/>
      <c r="C118" s="473">
        <v>100</v>
      </c>
      <c r="D118" s="473">
        <f>C118-$K40</f>
        <v>100</v>
      </c>
      <c r="E118" s="473">
        <f>D118-$K40</f>
        <v>100</v>
      </c>
      <c r="F118" s="473">
        <f>E118-$K40</f>
        <v>100</v>
      </c>
      <c r="G118" s="473">
        <f>F118-$K40</f>
        <v>100</v>
      </c>
      <c r="H118" s="473"/>
      <c r="I118" s="473"/>
      <c r="J118" s="473"/>
      <c r="K118" s="473"/>
      <c r="L118" s="473"/>
      <c r="M118" s="474"/>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58" t="s">
        <v>1825</v>
      </c>
      <c r="C119" s="511"/>
      <c r="D119" s="511"/>
      <c r="E119" s="511"/>
      <c r="F119" s="511"/>
      <c r="G119" s="511"/>
      <c r="H119" s="511"/>
      <c r="I119" s="511"/>
      <c r="J119" s="511"/>
      <c r="K119" s="511"/>
      <c r="L119" s="1811"/>
      <c r="M119" s="1812"/>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7" t="s">
        <v>1808</v>
      </c>
      <c r="C121" s="483"/>
      <c r="D121" s="483"/>
      <c r="E121" s="483"/>
      <c r="F121" s="511"/>
      <c r="G121" s="484"/>
      <c r="H121" s="484"/>
      <c r="I121" s="484"/>
      <c r="J121" s="484"/>
      <c r="K121" s="484"/>
      <c r="L121" s="485"/>
      <c r="M121" s="486"/>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2"/>
      <c r="B122" s="464"/>
      <c r="C122" s="489"/>
      <c r="D122" s="489"/>
      <c r="E122" s="489"/>
      <c r="F122" s="489"/>
      <c r="G122" s="489"/>
      <c r="H122" s="489"/>
      <c r="I122" s="489"/>
      <c r="J122" s="489"/>
      <c r="K122" s="489"/>
      <c r="L122" s="489"/>
      <c r="M122" s="489"/>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7" t="s">
        <v>1744</v>
      </c>
      <c r="C123" s="483"/>
      <c r="D123" s="483"/>
      <c r="E123" s="483"/>
      <c r="F123" s="511"/>
      <c r="G123" s="511"/>
      <c r="H123" s="511"/>
      <c r="I123" s="511"/>
      <c r="J123" s="511"/>
      <c r="K123" s="512"/>
      <c r="L123" s="513"/>
      <c r="M123" s="514"/>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7" t="s">
        <v>1745</v>
      </c>
      <c r="C125" s="507" t="s">
        <v>1721</v>
      </c>
      <c r="D125" s="507" t="s">
        <v>1722</v>
      </c>
      <c r="E125" s="507" t="s">
        <v>1723</v>
      </c>
      <c r="F125" s="507" t="s">
        <v>1724</v>
      </c>
      <c r="G125" s="507" t="s">
        <v>1725</v>
      </c>
      <c r="H125" s="468"/>
      <c r="I125" s="468"/>
      <c r="J125" s="468"/>
      <c r="K125" s="469"/>
      <c r="L125" s="470"/>
      <c r="M125" s="471"/>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2"/>
      <c r="C126" s="473">
        <v>100</v>
      </c>
      <c r="D126" s="473">
        <f>C126-$K44</f>
        <v>100</v>
      </c>
      <c r="E126" s="473">
        <f>D126-$K44</f>
        <v>100</v>
      </c>
      <c r="F126" s="473">
        <f>E126-$K44</f>
        <v>100</v>
      </c>
      <c r="G126" s="473">
        <f>F126-$K44</f>
        <v>100</v>
      </c>
      <c r="H126" s="473"/>
      <c r="I126" s="473"/>
      <c r="J126" s="473"/>
      <c r="K126" s="473"/>
      <c r="L126" s="473"/>
      <c r="M126" s="474"/>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7">
        <f>B45</f>
        <v>111</v>
      </c>
      <c r="C127" s="483"/>
      <c r="D127" s="483"/>
      <c r="E127" s="483"/>
      <c r="F127" s="483"/>
      <c r="G127" s="483"/>
      <c r="H127" s="484"/>
      <c r="I127" s="484"/>
      <c r="J127" s="484"/>
      <c r="K127" s="484"/>
      <c r="L127" s="485"/>
      <c r="M127" s="486"/>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2"/>
      <c r="B128" s="472"/>
      <c r="C128" s="489"/>
      <c r="D128" s="465"/>
      <c r="E128" s="465"/>
      <c r="F128" s="465"/>
      <c r="G128" s="489"/>
      <c r="H128" s="491"/>
      <c r="I128" s="491"/>
      <c r="J128" s="491"/>
      <c r="K128" s="491"/>
      <c r="L128" s="491"/>
      <c r="M128" s="492"/>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7">
        <f>B46</f>
        <v>111</v>
      </c>
      <c r="C129" s="483"/>
      <c r="D129" s="483"/>
      <c r="E129" s="483"/>
      <c r="F129" s="483"/>
      <c r="G129" s="511"/>
      <c r="H129" s="511"/>
      <c r="I129" s="511"/>
      <c r="J129" s="511"/>
      <c r="K129" s="512"/>
      <c r="L129" s="513"/>
      <c r="M129" s="514"/>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2"/>
      <c r="C130" s="489"/>
      <c r="D130" s="489"/>
      <c r="E130" s="489"/>
      <c r="F130" s="489"/>
      <c r="G130" s="465"/>
      <c r="H130" s="465"/>
      <c r="I130" s="465"/>
      <c r="J130" s="465"/>
      <c r="K130" s="465"/>
      <c r="L130" s="465"/>
      <c r="M130" s="466"/>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5">
        <f>B47</f>
        <v>111</v>
      </c>
      <c r="C131" s="31"/>
      <c r="D131" s="31"/>
      <c r="E131" s="31"/>
      <c r="F131" s="31"/>
      <c r="G131" s="515"/>
      <c r="H131" s="515"/>
      <c r="I131" s="515"/>
      <c r="J131" s="515"/>
      <c r="K131" s="31"/>
      <c r="L131" s="455"/>
      <c r="M131" s="518"/>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498"/>
      <c r="C132" s="499"/>
      <c r="D132" s="499"/>
      <c r="E132" s="499"/>
      <c r="F132" s="499"/>
      <c r="G132" s="519"/>
      <c r="H132" s="519"/>
      <c r="I132" s="519"/>
      <c r="J132" s="519"/>
      <c r="K132" s="519"/>
      <c r="L132" s="519"/>
      <c r="M132" s="520"/>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0 I20 G20 C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E9 G9 I9" xr:uid="{00000000-0002-0000-2800-000006000000}">
      <formula1>办公用途</formula1>
    </dataValidation>
    <dataValidation type="list" allowBlank="1" showInputMessage="1" showErrorMessage="1" sqref="C16 E16 G16 I16" xr:uid="{00000000-0002-0000-2800-000007000000}">
      <formula1>办公集聚程度</formula1>
    </dataValidation>
    <dataValidation type="list" allowBlank="1" showInputMessage="1" showErrorMessage="1" sqref="G26 C26 E26 I26" xr:uid="{00000000-0002-0000-2800-000008000000}">
      <formula1>办公道路级别</formula1>
    </dataValidation>
    <dataValidation type="list" allowBlank="1" showInputMessage="1" showErrorMessage="1" sqref="C28 E28 G28 I28" xr:uid="{00000000-0002-0000-2800-000009000000}">
      <formula1>办公朝向</formula1>
    </dataValidation>
    <dataValidation type="list" allowBlank="1" showInputMessage="1" showErrorMessage="1" sqref="C27 E27 G27 I27" xr:uid="{00000000-0002-0000-2800-00000A000000}">
      <formula1>办公楼层</formula1>
    </dataValidation>
    <dataValidation type="list" allowBlank="1" showInputMessage="1" showErrorMessage="1" sqref="C33 E33 G33 I33" xr:uid="{00000000-0002-0000-2800-00000B000000}">
      <formula1>办公建筑类型</formula1>
    </dataValidation>
    <dataValidation type="list" allowBlank="1" showInputMessage="1" showErrorMessage="1" sqref="C36 E36 G36 I36" xr:uid="{00000000-0002-0000-2800-00000C000000}">
      <formula1>办公公共部分装修</formula1>
    </dataValidation>
    <dataValidation type="list" allowBlank="1" showInputMessage="1" showErrorMessage="1" sqref="C38 E38 G38 I38" xr:uid="{00000000-0002-0000-2800-00000D000000}">
      <formula1>写字楼等级</formula1>
    </dataValidation>
    <dataValidation type="list" allowBlank="1" showInputMessage="1" showErrorMessage="1" sqref="C39 E39 G39 I39" xr:uid="{00000000-0002-0000-2800-00000E000000}">
      <formula1>办公物业管理</formula1>
    </dataValidation>
    <dataValidation type="list" allowBlank="1" showInputMessage="1" showErrorMessage="1" sqref="C40 E40 G40 I40" xr:uid="{00000000-0002-0000-2800-00000F000000}">
      <formula1>办公基础设施水平</formula1>
    </dataValidation>
    <dataValidation type="list" allowBlank="1" showInputMessage="1" showErrorMessage="1" sqref="C41 E41 G41 I41" xr:uid="{00000000-0002-0000-2800-000010000000}">
      <formula1>办公层高</formula1>
    </dataValidation>
    <dataValidation type="list" allowBlank="1" showInputMessage="1" showErrorMessage="1" sqref="C43 E43 G43 I43" xr:uid="{00000000-0002-0000-2800-000011000000}">
      <formula1>办公内部装修</formula1>
    </dataValidation>
    <dataValidation type="list" allowBlank="1" showInputMessage="1" showErrorMessage="1" sqref="C8 E8 G8 I8" xr:uid="{00000000-0002-0000-2800-000012000000}">
      <formula1>办公交易情况</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C2" xr:uid="{00000000-0002-0000-2800-000015000000}">
      <formula1>"需扣减承租人权益,——"</formula1>
    </dataValidation>
    <dataValidation type="list" allowBlank="1" showInputMessage="1" showErrorMessage="1" sqref="F2" xr:uid="{00000000-0002-0000-2800-000016000000}">
      <formula1>估价方法</formula1>
    </dataValidation>
    <dataValidation type="list" allowBlank="1" showInputMessage="1" showErrorMessage="1" sqref="D49" xr:uid="{00000000-0002-0000-2800-000017000000}">
      <formula1>"简单平均,加权平均"</formula1>
    </dataValidation>
    <dataValidation type="list" allowBlank="1" showInputMessage="1" showErrorMessage="1" sqref="E1" xr:uid="{00000000-0002-0000-2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3" t="s">
        <v>1826</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1"/>
      <c r="Q2" s="341"/>
      <c r="R2" s="341"/>
      <c r="S2" s="341"/>
      <c r="T2" s="341"/>
      <c r="U2" s="341"/>
      <c r="V2" s="341"/>
      <c r="W2" s="341"/>
      <c r="X2" s="341"/>
      <c r="Y2" s="341"/>
      <c r="Z2" s="341"/>
      <c r="AA2" s="341"/>
      <c r="AB2" s="341"/>
      <c r="AC2" s="661"/>
    </row>
    <row r="3" spans="1:29" s="342" customFormat="1" ht="28.5" customHeight="1" thickBot="1">
      <c r="A3" s="195" t="s">
        <v>1464</v>
      </c>
      <c r="B3" s="534">
        <f>IF(C2="——",C43,ROUND(B2*10000/D3,0))</f>
        <v>0</v>
      </c>
      <c r="C3" s="344" t="s">
        <v>1768</v>
      </c>
      <c r="D3" s="343">
        <f>IF(D1="",'数据-汇总表'!E3,SUMIF('数据-汇总表'!$C19:$C33,D1,'数据-汇总表'!$E19:$E33))</f>
        <v>67554.06999999992</v>
      </c>
      <c r="E3" s="852"/>
      <c r="F3" s="853"/>
      <c r="G3" s="852"/>
      <c r="H3" s="852"/>
      <c r="I3" s="852"/>
      <c r="J3" s="852"/>
      <c r="K3" s="854"/>
      <c r="L3" s="855"/>
      <c r="M3" s="856"/>
      <c r="N3" s="856"/>
      <c r="O3" s="856"/>
      <c r="P3" s="341"/>
      <c r="Q3" s="341"/>
      <c r="R3" s="341"/>
      <c r="S3" s="341"/>
      <c r="T3" s="341"/>
      <c r="U3" s="341"/>
      <c r="V3" s="341"/>
      <c r="W3" s="341"/>
      <c r="X3" s="341"/>
      <c r="Y3" s="341"/>
      <c r="Z3" s="341"/>
      <c r="AA3" s="341"/>
      <c r="AB3" s="674"/>
      <c r="AC3" s="661"/>
    </row>
    <row r="4" spans="1:29" ht="15">
      <c r="A4" s="345" t="s">
        <v>1769</v>
      </c>
      <c r="B4" s="346"/>
      <c r="C4" s="3468" t="s">
        <v>1770</v>
      </c>
      <c r="D4" s="3469"/>
      <c r="E4" s="3470" t="s">
        <v>1771</v>
      </c>
      <c r="F4" s="3471"/>
      <c r="G4" s="3468" t="s">
        <v>1772</v>
      </c>
      <c r="H4" s="3469"/>
      <c r="I4" s="3468" t="s">
        <v>1773</v>
      </c>
      <c r="J4" s="3469"/>
      <c r="K4" s="535" t="s">
        <v>1774</v>
      </c>
      <c r="L4" s="857"/>
      <c r="M4" s="858"/>
      <c r="N4" s="858"/>
      <c r="O4" s="858"/>
      <c r="P4" s="3472" t="s">
        <v>1775</v>
      </c>
      <c r="Q4" s="3473"/>
      <c r="R4" s="3454" t="s">
        <v>1771</v>
      </c>
      <c r="S4" s="3455"/>
      <c r="T4" s="3454" t="s">
        <v>1772</v>
      </c>
      <c r="U4" s="3455"/>
      <c r="V4" s="3480" t="s">
        <v>1773</v>
      </c>
      <c r="W4" s="3480"/>
      <c r="X4" s="1262"/>
      <c r="Y4" s="3454" t="s">
        <v>1775</v>
      </c>
      <c r="Z4" s="3455"/>
      <c r="AA4" s="3449" t="s">
        <v>1771</v>
      </c>
      <c r="AB4" s="3450" t="s">
        <v>1772</v>
      </c>
      <c r="AC4" s="3449" t="s">
        <v>1773</v>
      </c>
    </row>
    <row r="5" spans="1:29" ht="15">
      <c r="A5" s="348"/>
      <c r="B5" s="349"/>
      <c r="C5" s="3460" t="s">
        <v>1673</v>
      </c>
      <c r="D5" s="3461"/>
      <c r="E5" s="3518" t="s">
        <v>1674</v>
      </c>
      <c r="F5" s="3459"/>
      <c r="G5" s="3460" t="s">
        <v>1675</v>
      </c>
      <c r="H5" s="3461"/>
      <c r="I5" s="3460" t="s">
        <v>1676</v>
      </c>
      <c r="J5" s="3461"/>
      <c r="K5" s="535"/>
      <c r="L5" s="857"/>
      <c r="M5" s="858"/>
      <c r="N5" s="858"/>
      <c r="O5" s="858"/>
      <c r="P5" s="3474"/>
      <c r="Q5" s="3475"/>
      <c r="R5" s="3456"/>
      <c r="S5" s="3457"/>
      <c r="T5" s="3456"/>
      <c r="U5" s="3457"/>
      <c r="V5" s="3480"/>
      <c r="W5" s="3480"/>
      <c r="X5" s="1262"/>
      <c r="Y5" s="3456"/>
      <c r="Z5" s="3457"/>
      <c r="AA5" s="3450"/>
      <c r="AB5" s="3450"/>
      <c r="AC5" s="3450"/>
    </row>
    <row r="6" spans="1:29" ht="15.75" thickBot="1">
      <c r="A6" s="350"/>
      <c r="B6" s="351"/>
      <c r="C6" s="3462" t="s">
        <v>1677</v>
      </c>
      <c r="D6" s="3463"/>
      <c r="E6" s="3465" t="s">
        <v>1677</v>
      </c>
      <c r="F6" s="3466"/>
      <c r="G6" s="3462" t="s">
        <v>1677</v>
      </c>
      <c r="H6" s="3463"/>
      <c r="I6" s="3462" t="s">
        <v>1677</v>
      </c>
      <c r="J6" s="3463"/>
      <c r="K6" s="535" t="s">
        <v>1678</v>
      </c>
      <c r="L6" s="857"/>
      <c r="M6" s="858"/>
      <c r="N6" s="858"/>
      <c r="O6" s="858"/>
      <c r="P6" s="3476"/>
      <c r="Q6" s="3477"/>
      <c r="R6" s="3456"/>
      <c r="S6" s="3457"/>
      <c r="T6" s="3478"/>
      <c r="U6" s="3479"/>
      <c r="V6" s="3480"/>
      <c r="W6" s="3480"/>
      <c r="X6" s="1262"/>
      <c r="Y6" s="3478"/>
      <c r="Z6" s="3479"/>
      <c r="AA6" s="3451"/>
      <c r="AB6" s="3451"/>
      <c r="AC6" s="3451"/>
    </row>
    <row r="7" spans="1:29" s="102" customFormat="1" ht="15.75" thickBot="1">
      <c r="A7" s="352" t="s">
        <v>1679</v>
      </c>
      <c r="B7" s="353"/>
      <c r="C7" s="354">
        <f>'数据-取费表'!B2</f>
        <v>45803</v>
      </c>
      <c r="D7" s="355">
        <v>100</v>
      </c>
      <c r="E7" s="356"/>
      <c r="F7" s="357">
        <f>SUMIF(52:52,YEAR(E7)&amp;"-"&amp;MONTH(E7),53:53)</f>
        <v>0</v>
      </c>
      <c r="G7" s="356"/>
      <c r="H7" s="355">
        <f>SUMIF(52:52,YEAR(G7)&amp;"-"&amp;MONTH(G7),53:53)</f>
        <v>0</v>
      </c>
      <c r="I7" s="356"/>
      <c r="J7" s="355">
        <f>SUMIF(52:52,YEAR(I7)&amp;"-"&amp;MONTH(I7),53:53)</f>
        <v>0</v>
      </c>
      <c r="K7" s="38"/>
      <c r="L7" s="859"/>
      <c r="M7" s="860"/>
      <c r="N7" s="860"/>
      <c r="O7" s="860"/>
      <c r="P7" s="3452" t="s">
        <v>1680</v>
      </c>
      <c r="Q7" s="3481"/>
      <c r="R7" s="662" t="s">
        <v>14</v>
      </c>
      <c r="S7" s="663">
        <f t="shared" ref="S7:S15" si="0">F7</f>
        <v>0</v>
      </c>
      <c r="T7" s="662" t="s">
        <v>14</v>
      </c>
      <c r="U7" s="663">
        <f t="shared" ref="U7:U15" si="1">H7</f>
        <v>0</v>
      </c>
      <c r="V7" s="662" t="s">
        <v>14</v>
      </c>
      <c r="W7" s="663">
        <f t="shared" ref="W7:W15" si="2">J7</f>
        <v>0</v>
      </c>
      <c r="X7" s="664"/>
      <c r="Y7" s="3452" t="s">
        <v>1680</v>
      </c>
      <c r="Z7" s="345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52" t="s">
        <v>1683</v>
      </c>
      <c r="Q8" s="3453"/>
      <c r="R8" s="662" t="s">
        <v>14</v>
      </c>
      <c r="S8" s="663">
        <f t="shared" si="0"/>
        <v>100</v>
      </c>
      <c r="T8" s="662" t="s">
        <v>14</v>
      </c>
      <c r="U8" s="663">
        <f t="shared" si="1"/>
        <v>100</v>
      </c>
      <c r="V8" s="662" t="s">
        <v>14</v>
      </c>
      <c r="W8" s="663">
        <f t="shared" si="2"/>
        <v>100</v>
      </c>
      <c r="X8" s="664"/>
      <c r="Y8" s="3452" t="s">
        <v>1683</v>
      </c>
      <c r="Z8" s="345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67" t="s">
        <v>1686</v>
      </c>
      <c r="Q9" s="528" t="str">
        <f t="shared" ref="Q9:Q15" si="6">B9</f>
        <v>用途</v>
      </c>
      <c r="R9" s="662" t="s">
        <v>14</v>
      </c>
      <c r="S9" s="663">
        <f t="shared" si="0"/>
        <v>100</v>
      </c>
      <c r="T9" s="662" t="s">
        <v>14</v>
      </c>
      <c r="U9" s="663">
        <f t="shared" si="1"/>
        <v>100</v>
      </c>
      <c r="V9" s="662" t="s">
        <v>14</v>
      </c>
      <c r="W9" s="663">
        <f t="shared" si="2"/>
        <v>100</v>
      </c>
      <c r="X9" s="664"/>
      <c r="Y9" s="3422"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7"/>
      <c r="F10" s="119">
        <f>SUMIF(59:59,E10,60:60)-SUMIF(59:59,C10,60:60)+100</f>
        <v>100</v>
      </c>
      <c r="G10" s="3128"/>
      <c r="H10" s="119">
        <f>SUMIF(59:59,G10,60:60)-SUMIF(59:59,C10,60:60)+100</f>
        <v>100</v>
      </c>
      <c r="I10" s="3127"/>
      <c r="J10" s="119">
        <f>SUMIF(59:59,I10,60:60)-SUMIF(59:59,C10,60:60)+100</f>
        <v>100</v>
      </c>
      <c r="K10" s="38"/>
      <c r="L10" s="862"/>
      <c r="M10" s="863"/>
      <c r="N10" s="863"/>
      <c r="O10" s="864"/>
      <c r="P10" s="3467"/>
      <c r="Q10" s="528" t="str">
        <f t="shared" si="6"/>
        <v>土地使用年限（年）</v>
      </c>
      <c r="R10" s="662" t="s">
        <v>14</v>
      </c>
      <c r="S10" s="663">
        <f t="shared" si="0"/>
        <v>100</v>
      </c>
      <c r="T10" s="662" t="s">
        <v>14</v>
      </c>
      <c r="U10" s="663">
        <f t="shared" si="1"/>
        <v>100</v>
      </c>
      <c r="V10" s="662" t="s">
        <v>14</v>
      </c>
      <c r="W10" s="663">
        <f t="shared" si="2"/>
        <v>100</v>
      </c>
      <c r="X10" s="664"/>
      <c r="Y10" s="342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6"/>
      <c r="L11" s="865"/>
      <c r="M11" s="858"/>
      <c r="N11" s="858"/>
      <c r="O11" s="866"/>
      <c r="P11" s="3467"/>
      <c r="Q11" s="528" t="str">
        <f t="shared" si="6"/>
        <v>容积率</v>
      </c>
      <c r="R11" s="662" t="s">
        <v>14</v>
      </c>
      <c r="S11" s="663">
        <f t="shared" si="0"/>
        <v>100</v>
      </c>
      <c r="T11" s="662" t="s">
        <v>14</v>
      </c>
      <c r="U11" s="663">
        <f t="shared" si="1"/>
        <v>100</v>
      </c>
      <c r="V11" s="662" t="s">
        <v>14</v>
      </c>
      <c r="W11" s="663">
        <f t="shared" si="2"/>
        <v>100</v>
      </c>
      <c r="X11" s="664"/>
      <c r="Y11" s="3422"/>
      <c r="Z11" s="50" t="str">
        <f t="shared" si="7"/>
        <v>容积率</v>
      </c>
      <c r="AA11" s="50">
        <f t="shared" si="3"/>
        <v>1</v>
      </c>
      <c r="AB11" s="50">
        <f t="shared" si="4"/>
        <v>1</v>
      </c>
      <c r="AC11" s="50">
        <f t="shared" si="5"/>
        <v>1</v>
      </c>
    </row>
    <row r="12" spans="1:29" s="102" customFormat="1" ht="15">
      <c r="A12" s="370"/>
      <c r="B12" s="445">
        <v>111</v>
      </c>
      <c r="C12" s="371"/>
      <c r="D12" s="372">
        <v>100</v>
      </c>
      <c r="E12" s="373"/>
      <c r="F12" s="119">
        <f>SUMIF(64:64,E12,65:65)-SUMIF(64:64,C12,65:65)+100</f>
        <v>100</v>
      </c>
      <c r="G12" s="1813"/>
      <c r="H12" s="119">
        <f>SUMIF(64:64,G12,65:65)-SUMIF(64:64,C12,65:65)+100</f>
        <v>100</v>
      </c>
      <c r="I12" s="407"/>
      <c r="J12" s="119">
        <f>SUMIF(64:64,I12,65:65)-SUMIF(64:64,C12,65:65)+100</f>
        <v>100</v>
      </c>
      <c r="K12" s="537"/>
      <c r="L12" s="859"/>
      <c r="M12" s="860"/>
      <c r="N12" s="860"/>
      <c r="O12" s="861"/>
      <c r="P12" s="3467"/>
      <c r="Q12" s="528">
        <f t="shared" si="6"/>
        <v>111</v>
      </c>
      <c r="R12" s="662" t="s">
        <v>14</v>
      </c>
      <c r="S12" s="663">
        <f t="shared" si="0"/>
        <v>100</v>
      </c>
      <c r="T12" s="662" t="s">
        <v>14</v>
      </c>
      <c r="U12" s="663">
        <f t="shared" si="1"/>
        <v>100</v>
      </c>
      <c r="V12" s="662" t="s">
        <v>14</v>
      </c>
      <c r="W12" s="663">
        <f t="shared" si="2"/>
        <v>100</v>
      </c>
      <c r="X12" s="664"/>
      <c r="Y12" s="3422"/>
      <c r="Z12" s="50">
        <f t="shared" si="7"/>
        <v>111</v>
      </c>
      <c r="AA12" s="50">
        <f>D12/F12</f>
        <v>1</v>
      </c>
      <c r="AB12" s="50">
        <f>D12/H12</f>
        <v>1</v>
      </c>
      <c r="AC12" s="50">
        <f>D12/J12</f>
        <v>1</v>
      </c>
    </row>
    <row r="13" spans="1:29" ht="15">
      <c r="A13" s="367"/>
      <c r="B13" s="445">
        <v>111</v>
      </c>
      <c r="C13" s="373"/>
      <c r="D13" s="374">
        <v>100</v>
      </c>
      <c r="E13" s="373"/>
      <c r="F13" s="119">
        <f>SUMIF(66:66,E13,67:67)-SUMIF(66:66,C13,67:67)+100</f>
        <v>100</v>
      </c>
      <c r="G13" s="1813"/>
      <c r="H13" s="374">
        <f>SUMIF(66:66,G13,67:67)-SUMIF(66:66,C13,67:67)+100</f>
        <v>100</v>
      </c>
      <c r="I13" s="407"/>
      <c r="J13" s="374">
        <f>SUMIF(66:66,I13,67:67)-SUMIF(66:66,C13,67:67)+100</f>
        <v>100</v>
      </c>
      <c r="K13" s="537"/>
      <c r="L13" s="867"/>
      <c r="M13" s="858"/>
      <c r="N13" s="858"/>
      <c r="O13" s="866"/>
      <c r="P13" s="3467"/>
      <c r="Q13" s="528">
        <f t="shared" si="6"/>
        <v>111</v>
      </c>
      <c r="R13" s="662" t="s">
        <v>14</v>
      </c>
      <c r="S13" s="663">
        <f t="shared" si="0"/>
        <v>100</v>
      </c>
      <c r="T13" s="662" t="s">
        <v>14</v>
      </c>
      <c r="U13" s="663">
        <f t="shared" si="1"/>
        <v>100</v>
      </c>
      <c r="V13" s="662" t="s">
        <v>14</v>
      </c>
      <c r="W13" s="663">
        <f t="shared" si="2"/>
        <v>100</v>
      </c>
      <c r="X13" s="664"/>
      <c r="Y13" s="3422"/>
      <c r="Z13" s="50">
        <f t="shared" si="7"/>
        <v>111</v>
      </c>
      <c r="AA13" s="50">
        <f t="shared" si="3"/>
        <v>1</v>
      </c>
      <c r="AB13" s="50">
        <f t="shared" si="4"/>
        <v>1</v>
      </c>
      <c r="AC13" s="50">
        <f t="shared" si="5"/>
        <v>1</v>
      </c>
    </row>
    <row r="14" spans="1:29" ht="15.75" thickBot="1">
      <c r="A14" s="375"/>
      <c r="B14" s="1746">
        <v>111</v>
      </c>
      <c r="C14" s="376"/>
      <c r="D14" s="377">
        <v>100</v>
      </c>
      <c r="E14" s="376"/>
      <c r="F14" s="377">
        <f>SUMIF(68:68,E14,69:69)-SUMIF(68:68,C14,69:69)+100</f>
        <v>100</v>
      </c>
      <c r="G14" s="1813"/>
      <c r="H14" s="377">
        <f>SUMIF(68:68,G14,69:69)-SUMIF(68:68,C14,69:69)+100</f>
        <v>100</v>
      </c>
      <c r="I14" s="407"/>
      <c r="J14" s="377">
        <f>SUMIF(68:68,I14,69:69)-SUMIF(68:68,C14,69:69)+100</f>
        <v>100</v>
      </c>
      <c r="K14" s="537"/>
      <c r="L14" s="867"/>
      <c r="M14" s="858"/>
      <c r="N14" s="858"/>
      <c r="O14" s="866"/>
      <c r="P14" s="3467"/>
      <c r="Q14" s="528">
        <f t="shared" si="6"/>
        <v>111</v>
      </c>
      <c r="R14" s="662" t="s">
        <v>14</v>
      </c>
      <c r="S14" s="663">
        <f t="shared" si="0"/>
        <v>100</v>
      </c>
      <c r="T14" s="662" t="s">
        <v>14</v>
      </c>
      <c r="U14" s="663">
        <f t="shared" si="1"/>
        <v>100</v>
      </c>
      <c r="V14" s="662" t="s">
        <v>14</v>
      </c>
      <c r="W14" s="663">
        <f t="shared" si="2"/>
        <v>100</v>
      </c>
      <c r="X14" s="664"/>
      <c r="Y14" s="3422"/>
      <c r="Z14" s="50">
        <f t="shared" si="7"/>
        <v>111</v>
      </c>
      <c r="AA14" s="50">
        <f t="shared" si="3"/>
        <v>1</v>
      </c>
      <c r="AB14" s="50">
        <f t="shared" si="4"/>
        <v>1</v>
      </c>
      <c r="AC14" s="50">
        <f t="shared" si="5"/>
        <v>1</v>
      </c>
    </row>
    <row r="15" spans="1:29" ht="15">
      <c r="A15" s="379" t="s">
        <v>1690</v>
      </c>
      <c r="B15" s="58" t="s">
        <v>1827</v>
      </c>
      <c r="C15" s="1814">
        <f>估价对象房地状况!G3</f>
        <v>0</v>
      </c>
      <c r="D15" s="380">
        <v>100</v>
      </c>
      <c r="E15" s="381"/>
      <c r="F15" s="382">
        <f>SUMIF(70:70,E16,71:71)-SUMIF(70:70,C16,71:71)+100</f>
        <v>100</v>
      </c>
      <c r="G15" s="383"/>
      <c r="H15" s="380">
        <f>SUMIF(70:70,G16,71:71)-SUMIF(70:70,C16,71:71)+100</f>
        <v>100</v>
      </c>
      <c r="I15" s="381"/>
      <c r="J15" s="380">
        <f>SUMIF(70:70,I16,71:71)-SUMIF(70:70,C16,71:71)+100</f>
        <v>100</v>
      </c>
      <c r="K15" s="538"/>
      <c r="L15" s="867"/>
      <c r="M15" s="858"/>
      <c r="N15" s="858"/>
      <c r="O15" s="866"/>
      <c r="P15" s="3482" t="s">
        <v>1691</v>
      </c>
      <c r="Q15" s="1260" t="str">
        <f t="shared" si="6"/>
        <v>产业集聚程度</v>
      </c>
      <c r="R15" s="665" t="s">
        <v>14</v>
      </c>
      <c r="S15" s="666">
        <f t="shared" si="0"/>
        <v>100</v>
      </c>
      <c r="T15" s="665" t="s">
        <v>14</v>
      </c>
      <c r="U15" s="666">
        <f t="shared" si="1"/>
        <v>100</v>
      </c>
      <c r="V15" s="665" t="s">
        <v>14</v>
      </c>
      <c r="W15" s="666">
        <f t="shared" si="2"/>
        <v>100</v>
      </c>
      <c r="X15" s="1262"/>
      <c r="Y15" s="3482"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39"/>
      <c r="L16" s="867"/>
      <c r="M16" s="858"/>
      <c r="N16" s="858"/>
      <c r="O16" s="866"/>
      <c r="P16" s="3483"/>
      <c r="Q16" s="1260"/>
      <c r="R16" s="665"/>
      <c r="S16" s="666"/>
      <c r="T16" s="665"/>
      <c r="U16" s="666"/>
      <c r="V16" s="665"/>
      <c r="W16" s="666"/>
      <c r="X16" s="1262"/>
      <c r="Y16" s="3483"/>
      <c r="Z16" s="1261"/>
      <c r="AA16" s="1261">
        <v>1</v>
      </c>
      <c r="AB16" s="1261">
        <v>1</v>
      </c>
      <c r="AC16" s="1261">
        <v>1</v>
      </c>
    </row>
    <row r="17" spans="1:29" ht="15">
      <c r="A17" s="367"/>
      <c r="B17" s="390" t="s">
        <v>1259</v>
      </c>
      <c r="C17" s="1751">
        <f>估价对象房地状况!G4</f>
        <v>0</v>
      </c>
      <c r="D17" s="389">
        <v>100</v>
      </c>
      <c r="E17" s="391"/>
      <c r="F17" s="392">
        <f>SUMIF(72:72,E18,73:73)-SUMIF(72:72,C18,73:73)+100</f>
        <v>100</v>
      </c>
      <c r="G17" s="393"/>
      <c r="H17" s="394">
        <f>SUMIF(72:72,G18,73:73)-SUMIF(72:72,C18,73:73)+100</f>
        <v>100</v>
      </c>
      <c r="I17" s="391"/>
      <c r="J17" s="394">
        <f>SUMIF(72:72,I18,73:73)-SUMIF(72:72,C18,73:73)+100</f>
        <v>100</v>
      </c>
      <c r="K17" s="538"/>
      <c r="L17" s="867"/>
      <c r="M17" s="858"/>
      <c r="N17" s="858"/>
      <c r="O17" s="866"/>
      <c r="P17" s="3483"/>
      <c r="Q17" s="1260" t="str">
        <f>B17</f>
        <v>交通便捷度</v>
      </c>
      <c r="R17" s="665" t="s">
        <v>14</v>
      </c>
      <c r="S17" s="666">
        <f>F17</f>
        <v>100</v>
      </c>
      <c r="T17" s="665" t="s">
        <v>14</v>
      </c>
      <c r="U17" s="666">
        <f>H17</f>
        <v>100</v>
      </c>
      <c r="V17" s="665" t="s">
        <v>14</v>
      </c>
      <c r="W17" s="666">
        <f>J17</f>
        <v>100</v>
      </c>
      <c r="X17" s="1262"/>
      <c r="Y17" s="3483"/>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39"/>
      <c r="L18" s="867"/>
      <c r="M18" s="858"/>
      <c r="N18" s="858"/>
      <c r="O18" s="866"/>
      <c r="P18" s="3483"/>
      <c r="Q18" s="1260"/>
      <c r="R18" s="665"/>
      <c r="S18" s="666"/>
      <c r="T18" s="665"/>
      <c r="U18" s="666"/>
      <c r="V18" s="665"/>
      <c r="W18" s="666"/>
      <c r="X18" s="1262"/>
      <c r="Y18" s="3483"/>
      <c r="Z18" s="1261"/>
      <c r="AA18" s="1261">
        <v>1</v>
      </c>
      <c r="AB18" s="1261">
        <v>1</v>
      </c>
      <c r="AC18" s="1261">
        <v>1</v>
      </c>
    </row>
    <row r="19" spans="1:29" ht="15">
      <c r="A19" s="367"/>
      <c r="B19" s="390" t="s">
        <v>1812</v>
      </c>
      <c r="C19" s="1751">
        <f>估价对象房地状况!G5</f>
        <v>0</v>
      </c>
      <c r="D19" s="394">
        <v>100</v>
      </c>
      <c r="E19" s="396"/>
      <c r="F19" s="397">
        <f>SUMIF(74:74,E20,75:75)-SUMIF(74:74,C20,75:75)+100</f>
        <v>100</v>
      </c>
      <c r="G19" s="398"/>
      <c r="H19" s="389">
        <f>SUMIF(74:74,G20,75:75)-SUMIF(74:74,C20,75:75)+100</f>
        <v>100</v>
      </c>
      <c r="I19" s="396"/>
      <c r="J19" s="389">
        <f>SUMIF(74:74,I20,75:75)-SUMIF(74:74,C20,75:75)+100</f>
        <v>100</v>
      </c>
      <c r="K19" s="538"/>
      <c r="L19" s="867"/>
      <c r="M19" s="858"/>
      <c r="N19" s="858"/>
      <c r="O19" s="866"/>
      <c r="P19" s="3483"/>
      <c r="Q19" s="1260" t="str">
        <f>B19</f>
        <v>公共配套设施</v>
      </c>
      <c r="R19" s="665" t="s">
        <v>14</v>
      </c>
      <c r="S19" s="666">
        <f>F19</f>
        <v>100</v>
      </c>
      <c r="T19" s="665" t="s">
        <v>14</v>
      </c>
      <c r="U19" s="666">
        <f>H19</f>
        <v>100</v>
      </c>
      <c r="V19" s="665" t="s">
        <v>14</v>
      </c>
      <c r="W19" s="666">
        <f>J19</f>
        <v>100</v>
      </c>
      <c r="X19" s="1262"/>
      <c r="Y19" s="3483"/>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39"/>
      <c r="L20" s="867"/>
      <c r="M20" s="858"/>
      <c r="N20" s="858"/>
      <c r="O20" s="866"/>
      <c r="P20" s="3483"/>
      <c r="Q20" s="1260"/>
      <c r="R20" s="665"/>
      <c r="S20" s="666"/>
      <c r="T20" s="665"/>
      <c r="U20" s="666"/>
      <c r="V20" s="665"/>
      <c r="W20" s="666"/>
      <c r="X20" s="1262"/>
      <c r="Y20" s="3483"/>
      <c r="Z20" s="1261"/>
      <c r="AA20" s="1261">
        <v>1</v>
      </c>
      <c r="AB20" s="1261">
        <v>1</v>
      </c>
      <c r="AC20" s="1261">
        <v>1</v>
      </c>
    </row>
    <row r="21" spans="1:29" ht="15">
      <c r="A21" s="367"/>
      <c r="B21" s="584" t="s">
        <v>1813</v>
      </c>
      <c r="C21" s="1751">
        <f>估价对象房地状况!G6</f>
        <v>0</v>
      </c>
      <c r="D21" s="389">
        <v>100</v>
      </c>
      <c r="E21" s="396"/>
      <c r="F21" s="397">
        <f>SUMIF(76:76,E22,77:77)-SUMIF(76:76,C22,77:77)+100</f>
        <v>100</v>
      </c>
      <c r="G21" s="398"/>
      <c r="H21" s="389">
        <f>SUMIF(76:76,G22,77:77)-SUMIF(76:76,C22,77:77)+100</f>
        <v>100</v>
      </c>
      <c r="I21" s="396"/>
      <c r="J21" s="389">
        <f>SUMIF(76:76,I22,77:77)-SUMIF(76:76,C22,77:77)+100</f>
        <v>100</v>
      </c>
      <c r="K21" s="538"/>
      <c r="L21" s="867"/>
      <c r="M21" s="858"/>
      <c r="N21" s="858"/>
      <c r="O21" s="866"/>
      <c r="P21" s="3483"/>
      <c r="Q21" s="1260" t="str">
        <f>B21</f>
        <v>基础设施水平</v>
      </c>
      <c r="R21" s="665" t="s">
        <v>14</v>
      </c>
      <c r="S21" s="666">
        <f>F21</f>
        <v>100</v>
      </c>
      <c r="T21" s="665" t="s">
        <v>14</v>
      </c>
      <c r="U21" s="666">
        <f>H21</f>
        <v>100</v>
      </c>
      <c r="V21" s="665" t="s">
        <v>14</v>
      </c>
      <c r="W21" s="666">
        <f>J21</f>
        <v>100</v>
      </c>
      <c r="X21" s="1262"/>
      <c r="Y21" s="3483"/>
      <c r="Z21" s="1261" t="str">
        <f>Q21</f>
        <v>基础设施水平</v>
      </c>
      <c r="AA21" s="1261">
        <f t="shared" ref="AA21" si="8">D21/F21</f>
        <v>1</v>
      </c>
      <c r="AB21" s="1261">
        <f t="shared" ref="AB21" si="9">D21/H21</f>
        <v>1</v>
      </c>
      <c r="AC21" s="1261">
        <f t="shared" ref="AC21" si="10">D21/J21</f>
        <v>1</v>
      </c>
    </row>
    <row r="22" spans="1:29" ht="15">
      <c r="A22" s="367"/>
      <c r="B22" s="584"/>
      <c r="C22" s="1752"/>
      <c r="D22" s="387"/>
      <c r="E22" s="386"/>
      <c r="F22" s="388"/>
      <c r="G22" s="386"/>
      <c r="H22" s="387"/>
      <c r="I22" s="386"/>
      <c r="J22" s="387"/>
      <c r="K22" s="1061"/>
      <c r="L22" s="867"/>
      <c r="M22" s="858"/>
      <c r="N22" s="858"/>
      <c r="O22" s="866"/>
      <c r="P22" s="3483"/>
      <c r="Q22" s="1260"/>
      <c r="R22" s="665"/>
      <c r="S22" s="666"/>
      <c r="T22" s="665"/>
      <c r="U22" s="666"/>
      <c r="V22" s="665"/>
      <c r="W22" s="666"/>
      <c r="X22" s="1262"/>
      <c r="Y22" s="3483"/>
      <c r="Z22" s="1261"/>
      <c r="AA22" s="1261">
        <v>1</v>
      </c>
      <c r="AB22" s="1261">
        <v>1</v>
      </c>
      <c r="AC22" s="1261">
        <v>1</v>
      </c>
    </row>
    <row r="23" spans="1:29" ht="15">
      <c r="A23" s="367"/>
      <c r="B23" s="390" t="s">
        <v>1814</v>
      </c>
      <c r="C23" s="1751">
        <f>估价对象房地状况!G7</f>
        <v>0</v>
      </c>
      <c r="D23" s="389">
        <v>100</v>
      </c>
      <c r="E23" s="391"/>
      <c r="F23" s="392">
        <f>SUMIF(78:78,E24,79:79)-SUMIF(78:78,C24,79:79)+100</f>
        <v>100</v>
      </c>
      <c r="G23" s="393"/>
      <c r="H23" s="389">
        <f>SUMIF(78:78,G24,79:79)-SUMIF(78:78,C24,79:79)+100</f>
        <v>100</v>
      </c>
      <c r="I23" s="391"/>
      <c r="J23" s="389">
        <f>SUMIF(78:78,I24,79:79)-SUMIF(78:78,C24,79:79)+100</f>
        <v>100</v>
      </c>
      <c r="K23" s="538"/>
      <c r="L23" s="867"/>
      <c r="M23" s="858"/>
      <c r="N23" s="858"/>
      <c r="O23" s="866"/>
      <c r="P23" s="3483"/>
      <c r="Q23" s="1260" t="str">
        <f>B23</f>
        <v>环境质量</v>
      </c>
      <c r="R23" s="665" t="s">
        <v>14</v>
      </c>
      <c r="S23" s="666">
        <f>F23</f>
        <v>100</v>
      </c>
      <c r="T23" s="665" t="s">
        <v>14</v>
      </c>
      <c r="U23" s="666">
        <f>H23</f>
        <v>100</v>
      </c>
      <c r="V23" s="665" t="s">
        <v>14</v>
      </c>
      <c r="W23" s="666">
        <f>J23</f>
        <v>100</v>
      </c>
      <c r="X23" s="1262"/>
      <c r="Y23" s="3483"/>
      <c r="Z23" s="1261" t="str">
        <f>Q23</f>
        <v>环境质量</v>
      </c>
      <c r="AA23" s="1261">
        <f t="shared" si="3"/>
        <v>1</v>
      </c>
      <c r="AB23" s="1261">
        <f t="shared" si="4"/>
        <v>1</v>
      </c>
      <c r="AC23" s="1261">
        <f t="shared" si="5"/>
        <v>1</v>
      </c>
    </row>
    <row r="24" spans="1:29" ht="15">
      <c r="A24" s="367"/>
      <c r="B24" s="584"/>
      <c r="C24" s="386"/>
      <c r="D24" s="387"/>
      <c r="E24" s="1749"/>
      <c r="F24" s="388"/>
      <c r="G24" s="1748"/>
      <c r="H24" s="387"/>
      <c r="I24" s="1749"/>
      <c r="J24" s="387"/>
      <c r="K24" s="539"/>
      <c r="L24" s="867"/>
      <c r="M24" s="858"/>
      <c r="N24" s="858"/>
      <c r="O24" s="866"/>
      <c r="P24" s="3483"/>
      <c r="Q24" s="1260"/>
      <c r="R24" s="665"/>
      <c r="S24" s="666"/>
      <c r="T24" s="665"/>
      <c r="U24" s="666"/>
      <c r="V24" s="665"/>
      <c r="W24" s="666"/>
      <c r="X24" s="1262"/>
      <c r="Y24" s="3483"/>
      <c r="Z24" s="1261"/>
      <c r="AA24" s="1261">
        <v>1</v>
      </c>
      <c r="AB24" s="1261">
        <v>1</v>
      </c>
      <c r="AC24" s="1261">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7"/>
      <c r="L25" s="867"/>
      <c r="M25" s="858"/>
      <c r="N25" s="858"/>
      <c r="O25" s="866"/>
      <c r="P25" s="3483"/>
      <c r="Q25" s="1260">
        <f>B25</f>
        <v>111</v>
      </c>
      <c r="R25" s="665" t="s">
        <v>14</v>
      </c>
      <c r="S25" s="666">
        <f>F25</f>
        <v>100</v>
      </c>
      <c r="T25" s="665" t="s">
        <v>14</v>
      </c>
      <c r="U25" s="666">
        <f>H25</f>
        <v>100</v>
      </c>
      <c r="V25" s="665" t="s">
        <v>14</v>
      </c>
      <c r="W25" s="666">
        <f>J25</f>
        <v>100</v>
      </c>
      <c r="X25" s="1262"/>
      <c r="Y25" s="3483"/>
      <c r="Z25" s="1261">
        <f>Q25</f>
        <v>111</v>
      </c>
      <c r="AA25" s="1261">
        <f t="shared" si="3"/>
        <v>1</v>
      </c>
      <c r="AB25" s="1261">
        <f t="shared" si="4"/>
        <v>1</v>
      </c>
      <c r="AC25" s="1261">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7"/>
      <c r="L26" s="867"/>
      <c r="M26" s="858"/>
      <c r="N26" s="858"/>
      <c r="O26" s="866"/>
      <c r="P26" s="3483"/>
      <c r="Q26" s="1260">
        <f t="shared" ref="Q26:Q40" si="11">B26</f>
        <v>111</v>
      </c>
      <c r="R26" s="665" t="s">
        <v>14</v>
      </c>
      <c r="S26" s="666">
        <f>F26</f>
        <v>100</v>
      </c>
      <c r="T26" s="665" t="s">
        <v>14</v>
      </c>
      <c r="U26" s="666">
        <f>H26</f>
        <v>100</v>
      </c>
      <c r="V26" s="665" t="s">
        <v>14</v>
      </c>
      <c r="W26" s="666">
        <f>J26</f>
        <v>100</v>
      </c>
      <c r="X26" s="1262"/>
      <c r="Y26" s="3483"/>
      <c r="Z26" s="1261">
        <f>Q26</f>
        <v>111</v>
      </c>
      <c r="AA26" s="1261">
        <f t="shared" si="3"/>
        <v>1</v>
      </c>
      <c r="AB26" s="1261">
        <f t="shared" si="4"/>
        <v>1</v>
      </c>
      <c r="AC26" s="1261">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7"/>
      <c r="L27" s="859"/>
      <c r="M27" s="860"/>
      <c r="N27" s="860"/>
      <c r="O27" s="861"/>
      <c r="P27" s="3483"/>
      <c r="Q27" s="528">
        <f t="shared" si="11"/>
        <v>111</v>
      </c>
      <c r="R27" s="662" t="s">
        <v>14</v>
      </c>
      <c r="S27" s="663">
        <f>F27</f>
        <v>100</v>
      </c>
      <c r="T27" s="662" t="s">
        <v>14</v>
      </c>
      <c r="U27" s="663">
        <f>H27</f>
        <v>100</v>
      </c>
      <c r="V27" s="662" t="s">
        <v>14</v>
      </c>
      <c r="W27" s="663">
        <f>J27</f>
        <v>100</v>
      </c>
      <c r="X27" s="664"/>
      <c r="Y27" s="3483"/>
      <c r="Z27" s="50">
        <f>Q27</f>
        <v>111</v>
      </c>
      <c r="AA27" s="1261">
        <f>D27/F27</f>
        <v>1</v>
      </c>
      <c r="AB27" s="1261">
        <f>D27/H27</f>
        <v>1</v>
      </c>
      <c r="AC27" s="1261">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7"/>
      <c r="L28" s="867"/>
      <c r="M28" s="858"/>
      <c r="N28" s="858"/>
      <c r="O28" s="866"/>
      <c r="P28" s="3483"/>
      <c r="Q28" s="1260">
        <f t="shared" si="11"/>
        <v>111</v>
      </c>
      <c r="R28" s="665" t="s">
        <v>14</v>
      </c>
      <c r="S28" s="666">
        <f t="shared" ref="S28:S40" si="12">F28</f>
        <v>100</v>
      </c>
      <c r="T28" s="665" t="s">
        <v>14</v>
      </c>
      <c r="U28" s="666">
        <f t="shared" ref="U28:U40" si="13">H28</f>
        <v>100</v>
      </c>
      <c r="V28" s="665" t="s">
        <v>14</v>
      </c>
      <c r="W28" s="666">
        <f t="shared" ref="W28:W40" si="14">J28</f>
        <v>100</v>
      </c>
      <c r="X28" s="1262"/>
      <c r="Y28" s="3483"/>
      <c r="Z28" s="1261">
        <f t="shared" ref="Z28:Z40" si="15">Q28</f>
        <v>111</v>
      </c>
      <c r="AA28" s="1261">
        <f t="shared" si="3"/>
        <v>1</v>
      </c>
      <c r="AB28" s="1261">
        <f t="shared" si="4"/>
        <v>1</v>
      </c>
      <c r="AC28" s="1261">
        <f t="shared" si="5"/>
        <v>1</v>
      </c>
    </row>
    <row r="29" spans="1:29" ht="28.5">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6"/>
      <c r="L29" s="867"/>
      <c r="M29" s="858"/>
      <c r="N29" s="858"/>
      <c r="O29" s="866"/>
      <c r="P29" s="3484" t="s">
        <v>1696</v>
      </c>
      <c r="Q29" s="1260" t="str">
        <f t="shared" si="11"/>
        <v>建筑类型</v>
      </c>
      <c r="R29" s="665" t="s">
        <v>14</v>
      </c>
      <c r="S29" s="666">
        <f t="shared" si="12"/>
        <v>100</v>
      </c>
      <c r="T29" s="665" t="s">
        <v>14</v>
      </c>
      <c r="U29" s="666">
        <f t="shared" si="13"/>
        <v>100</v>
      </c>
      <c r="V29" s="665" t="s">
        <v>14</v>
      </c>
      <c r="W29" s="666">
        <f t="shared" si="14"/>
        <v>100</v>
      </c>
      <c r="X29" s="1262"/>
      <c r="Y29" s="3485"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7"/>
      <c r="L30" s="865"/>
      <c r="M30" s="868"/>
      <c r="N30" s="868"/>
      <c r="O30" s="869"/>
      <c r="P30" s="3485"/>
      <c r="Q30" s="529" t="str">
        <f t="shared" si="11"/>
        <v>项目建筑规模</v>
      </c>
      <c r="R30" s="667" t="s">
        <v>14</v>
      </c>
      <c r="S30" s="668" t="e">
        <f t="shared" si="12"/>
        <v>#N/A</v>
      </c>
      <c r="T30" s="667" t="s">
        <v>14</v>
      </c>
      <c r="U30" s="668" t="e">
        <f t="shared" si="13"/>
        <v>#N/A</v>
      </c>
      <c r="V30" s="667" t="s">
        <v>14</v>
      </c>
      <c r="W30" s="668" t="e">
        <f t="shared" si="14"/>
        <v>#N/A</v>
      </c>
      <c r="X30" s="669"/>
      <c r="Y30" s="3485"/>
      <c r="Z30" s="670"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6"/>
      <c r="L31" s="867"/>
      <c r="M31" s="858"/>
      <c r="N31" s="858"/>
      <c r="O31" s="866"/>
      <c r="P31" s="3485"/>
      <c r="Q31" s="1260" t="str">
        <f t="shared" si="11"/>
        <v>建筑结构</v>
      </c>
      <c r="R31" s="665" t="s">
        <v>14</v>
      </c>
      <c r="S31" s="666">
        <f t="shared" si="12"/>
        <v>100</v>
      </c>
      <c r="T31" s="665" t="s">
        <v>14</v>
      </c>
      <c r="U31" s="666">
        <f t="shared" si="13"/>
        <v>100</v>
      </c>
      <c r="V31" s="665" t="s">
        <v>14</v>
      </c>
      <c r="W31" s="666">
        <f t="shared" si="14"/>
        <v>100</v>
      </c>
      <c r="X31" s="1262"/>
      <c r="Y31" s="3485"/>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6"/>
      <c r="L32" s="867"/>
      <c r="M32" s="858"/>
      <c r="N32" s="858"/>
      <c r="O32" s="866"/>
      <c r="P32" s="3485"/>
      <c r="Q32" s="1260" t="str">
        <f t="shared" si="11"/>
        <v>公共部分装修</v>
      </c>
      <c r="R32" s="665" t="s">
        <v>14</v>
      </c>
      <c r="S32" s="666">
        <f t="shared" si="12"/>
        <v>100</v>
      </c>
      <c r="T32" s="665" t="s">
        <v>14</v>
      </c>
      <c r="U32" s="666">
        <f t="shared" si="13"/>
        <v>100</v>
      </c>
      <c r="V32" s="665" t="s">
        <v>14</v>
      </c>
      <c r="W32" s="666">
        <f t="shared" si="14"/>
        <v>100</v>
      </c>
      <c r="X32" s="1262"/>
      <c r="Y32" s="3485"/>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6"/>
      <c r="L33" s="867"/>
      <c r="M33" s="858"/>
      <c r="N33" s="858"/>
      <c r="O33" s="866"/>
      <c r="P33" s="3485"/>
      <c r="Q33" s="1260" t="str">
        <f t="shared" si="11"/>
        <v>成新度</v>
      </c>
      <c r="R33" s="665" t="s">
        <v>14</v>
      </c>
      <c r="S33" s="666" t="e">
        <f t="shared" si="12"/>
        <v>#N/A</v>
      </c>
      <c r="T33" s="665" t="s">
        <v>14</v>
      </c>
      <c r="U33" s="666" t="e">
        <f t="shared" si="13"/>
        <v>#N/A</v>
      </c>
      <c r="V33" s="665" t="s">
        <v>14</v>
      </c>
      <c r="W33" s="666" t="e">
        <f t="shared" si="14"/>
        <v>#N/A</v>
      </c>
      <c r="X33" s="1262"/>
      <c r="Y33" s="3485"/>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6"/>
      <c r="L34" s="859"/>
      <c r="M34" s="860"/>
      <c r="N34" s="860"/>
      <c r="O34" s="861"/>
      <c r="P34" s="3485"/>
      <c r="Q34" s="528" t="str">
        <f t="shared" si="11"/>
        <v>物业管理</v>
      </c>
      <c r="R34" s="662" t="s">
        <v>14</v>
      </c>
      <c r="S34" s="663">
        <f t="shared" si="12"/>
        <v>100</v>
      </c>
      <c r="T34" s="662" t="s">
        <v>14</v>
      </c>
      <c r="U34" s="663">
        <f t="shared" si="13"/>
        <v>100</v>
      </c>
      <c r="V34" s="662" t="s">
        <v>14</v>
      </c>
      <c r="W34" s="663">
        <f t="shared" si="14"/>
        <v>100</v>
      </c>
      <c r="X34" s="664"/>
      <c r="Y34" s="348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6"/>
      <c r="L35" s="867"/>
      <c r="M35" s="858"/>
      <c r="N35" s="858"/>
      <c r="O35" s="866"/>
      <c r="P35" s="3485" t="s">
        <v>1696</v>
      </c>
      <c r="Q35" s="1260" t="str">
        <f t="shared" si="11"/>
        <v>市政基础设施</v>
      </c>
      <c r="R35" s="665" t="s">
        <v>14</v>
      </c>
      <c r="S35" s="666">
        <f t="shared" si="12"/>
        <v>100</v>
      </c>
      <c r="T35" s="665" t="s">
        <v>14</v>
      </c>
      <c r="U35" s="666">
        <f t="shared" si="13"/>
        <v>100</v>
      </c>
      <c r="V35" s="665" t="s">
        <v>14</v>
      </c>
      <c r="W35" s="666">
        <f t="shared" si="14"/>
        <v>100</v>
      </c>
      <c r="X35" s="1262"/>
      <c r="Y35" s="3485"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6"/>
      <c r="L36" s="867"/>
      <c r="M36" s="858"/>
      <c r="N36" s="858"/>
      <c r="O36" s="866"/>
      <c r="P36" s="3485"/>
      <c r="Q36" s="1260" t="str">
        <f t="shared" si="11"/>
        <v>内部装修</v>
      </c>
      <c r="R36" s="665" t="s">
        <v>14</v>
      </c>
      <c r="S36" s="666">
        <f t="shared" si="12"/>
        <v>100</v>
      </c>
      <c r="T36" s="665" t="s">
        <v>14</v>
      </c>
      <c r="U36" s="666">
        <f t="shared" si="13"/>
        <v>100</v>
      </c>
      <c r="V36" s="665" t="s">
        <v>14</v>
      </c>
      <c r="W36" s="666">
        <f t="shared" si="14"/>
        <v>100</v>
      </c>
      <c r="X36" s="1262"/>
      <c r="Y36" s="3485"/>
      <c r="Z36" s="1261" t="str">
        <f t="shared" si="15"/>
        <v>内部装修</v>
      </c>
      <c r="AA36" s="1261">
        <f t="shared" si="3"/>
        <v>1</v>
      </c>
      <c r="AB36" s="1261">
        <f t="shared" si="4"/>
        <v>1</v>
      </c>
      <c r="AC36" s="1261">
        <f t="shared" si="5"/>
        <v>1</v>
      </c>
    </row>
    <row r="37" spans="1:29" ht="15">
      <c r="A37" s="409"/>
      <c r="B37" s="364" t="s">
        <v>1828</v>
      </c>
      <c r="C37" s="540"/>
      <c r="D37" s="374">
        <v>100</v>
      </c>
      <c r="E37" s="540"/>
      <c r="F37" s="400">
        <f>SUMIF(106:106,E37,107:107)-SUMIF(106:106,C37,107:107)+100</f>
        <v>100</v>
      </c>
      <c r="G37" s="540"/>
      <c r="H37" s="374">
        <f>SUMIF(106:106,G37,107:107)-SUMIF(106:106,C37,107:107)+100</f>
        <v>100</v>
      </c>
      <c r="I37" s="540"/>
      <c r="J37" s="374">
        <f>SUMIF(106:106,I37,107:107)-SUMIF(106:106,C37,107:107)+100</f>
        <v>100</v>
      </c>
      <c r="K37" s="536"/>
      <c r="L37" s="867"/>
      <c r="M37" s="858"/>
      <c r="N37" s="858"/>
      <c r="O37" s="866"/>
      <c r="P37" s="3485"/>
      <c r="Q37" s="1260" t="str">
        <f t="shared" si="11"/>
        <v>内部装修状况</v>
      </c>
      <c r="R37" s="665" t="s">
        <v>14</v>
      </c>
      <c r="S37" s="666">
        <f t="shared" si="12"/>
        <v>100</v>
      </c>
      <c r="T37" s="665" t="s">
        <v>14</v>
      </c>
      <c r="U37" s="666">
        <f t="shared" si="13"/>
        <v>100</v>
      </c>
      <c r="V37" s="665" t="s">
        <v>14</v>
      </c>
      <c r="W37" s="666">
        <f t="shared" si="14"/>
        <v>100</v>
      </c>
      <c r="X37" s="1262"/>
      <c r="Y37" s="3485"/>
      <c r="Z37" s="1261" t="str">
        <f t="shared" si="15"/>
        <v>内部装修状况</v>
      </c>
      <c r="AA37" s="1261">
        <f t="shared" si="3"/>
        <v>1</v>
      </c>
      <c r="AB37" s="1261">
        <f t="shared" si="4"/>
        <v>1</v>
      </c>
      <c r="AC37" s="1261">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7"/>
      <c r="L38" s="865"/>
      <c r="M38" s="868"/>
      <c r="N38" s="868"/>
      <c r="O38" s="869"/>
      <c r="P38" s="3485"/>
      <c r="Q38" s="529">
        <f t="shared" si="11"/>
        <v>111</v>
      </c>
      <c r="R38" s="667" t="s">
        <v>14</v>
      </c>
      <c r="S38" s="668">
        <f t="shared" si="12"/>
        <v>100</v>
      </c>
      <c r="T38" s="667" t="s">
        <v>14</v>
      </c>
      <c r="U38" s="668">
        <f t="shared" si="13"/>
        <v>100</v>
      </c>
      <c r="V38" s="667" t="s">
        <v>14</v>
      </c>
      <c r="W38" s="668">
        <f t="shared" si="14"/>
        <v>100</v>
      </c>
      <c r="X38" s="669"/>
      <c r="Y38" s="3485"/>
      <c r="Z38" s="670">
        <f t="shared" si="15"/>
        <v>111</v>
      </c>
      <c r="AA38" s="1261">
        <f t="shared" si="3"/>
        <v>1</v>
      </c>
      <c r="AB38" s="1261">
        <f t="shared" si="4"/>
        <v>1</v>
      </c>
      <c r="AC38" s="1261">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7"/>
      <c r="L39" s="867"/>
      <c r="M39" s="858"/>
      <c r="N39" s="858"/>
      <c r="O39" s="866"/>
      <c r="P39" s="3485"/>
      <c r="Q39" s="1260">
        <f t="shared" si="11"/>
        <v>111</v>
      </c>
      <c r="R39" s="665" t="s">
        <v>14</v>
      </c>
      <c r="S39" s="666">
        <f t="shared" si="12"/>
        <v>100</v>
      </c>
      <c r="T39" s="665" t="s">
        <v>14</v>
      </c>
      <c r="U39" s="666">
        <f t="shared" si="13"/>
        <v>100</v>
      </c>
      <c r="V39" s="665" t="s">
        <v>14</v>
      </c>
      <c r="W39" s="666">
        <f t="shared" si="14"/>
        <v>100</v>
      </c>
      <c r="X39" s="1262"/>
      <c r="Y39" s="3485"/>
      <c r="Z39" s="1261">
        <f t="shared" si="15"/>
        <v>111</v>
      </c>
      <c r="AA39" s="1261">
        <f t="shared" si="3"/>
        <v>1</v>
      </c>
      <c r="AB39" s="1261">
        <f t="shared" si="4"/>
        <v>1</v>
      </c>
      <c r="AC39" s="1261">
        <f t="shared" si="5"/>
        <v>1</v>
      </c>
    </row>
    <row r="40" spans="1:29" ht="15.75" thickBot="1">
      <c r="A40" s="413"/>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7"/>
      <c r="L40" s="867"/>
      <c r="M40" s="858"/>
      <c r="N40" s="858"/>
      <c r="O40" s="866"/>
      <c r="P40" s="3523"/>
      <c r="Q40" s="1260">
        <f t="shared" si="11"/>
        <v>111</v>
      </c>
      <c r="R40" s="665" t="s">
        <v>14</v>
      </c>
      <c r="S40" s="666">
        <f t="shared" si="12"/>
        <v>100</v>
      </c>
      <c r="T40" s="665" t="s">
        <v>14</v>
      </c>
      <c r="U40" s="666">
        <f t="shared" si="13"/>
        <v>100</v>
      </c>
      <c r="V40" s="665" t="s">
        <v>14</v>
      </c>
      <c r="W40" s="666">
        <f t="shared" si="14"/>
        <v>100</v>
      </c>
      <c r="X40" s="1262"/>
      <c r="Y40" s="3523"/>
      <c r="Z40" s="1261">
        <f t="shared" si="15"/>
        <v>111</v>
      </c>
      <c r="AA40" s="1261">
        <f t="shared" si="3"/>
        <v>1</v>
      </c>
      <c r="AB40" s="1261">
        <f t="shared" si="4"/>
        <v>1</v>
      </c>
      <c r="AC40" s="1261">
        <f t="shared" si="5"/>
        <v>1</v>
      </c>
    </row>
    <row r="41" spans="1:29" ht="15">
      <c r="A41" s="414" t="s">
        <v>1708</v>
      </c>
      <c r="B41" s="415"/>
      <c r="C41" s="1078" t="s">
        <v>0</v>
      </c>
      <c r="D41" s="416"/>
      <c r="E41" s="417"/>
      <c r="F41" s="418"/>
      <c r="G41" s="419"/>
      <c r="H41" s="420"/>
      <c r="I41" s="417"/>
      <c r="J41" s="420"/>
      <c r="K41" s="672"/>
      <c r="L41" s="870"/>
      <c r="M41" s="858"/>
      <c r="N41" s="858"/>
      <c r="O41" s="858"/>
      <c r="P41" s="3467" t="str">
        <f>A41</f>
        <v>成交单价（元/平方米）</v>
      </c>
      <c r="Q41" s="3467"/>
      <c r="R41" s="3480">
        <f>E41</f>
        <v>0</v>
      </c>
      <c r="S41" s="3480"/>
      <c r="T41" s="3480">
        <f>G41</f>
        <v>0</v>
      </c>
      <c r="U41" s="3480"/>
      <c r="V41" s="3480">
        <f>I41</f>
        <v>0</v>
      </c>
      <c r="W41" s="3480"/>
      <c r="X41" s="385"/>
      <c r="Y41" s="671"/>
      <c r="Z41" s="385"/>
      <c r="AA41" s="385"/>
      <c r="AB41" s="385"/>
      <c r="AC41" s="385"/>
    </row>
    <row r="42" spans="1:29" ht="15.75" thickBot="1">
      <c r="A42" s="421" t="s">
        <v>1793</v>
      </c>
      <c r="B42" s="422"/>
      <c r="C42" s="1079" t="e">
        <f>R43</f>
        <v>#DIV/0!</v>
      </c>
      <c r="D42" s="2136" t="s">
        <v>2137</v>
      </c>
      <c r="E42" s="1080" t="e">
        <f>R42</f>
        <v>#DIV/0!</v>
      </c>
      <c r="F42" s="2137"/>
      <c r="G42" s="1079" t="e">
        <f>T42</f>
        <v>#DIV/0!</v>
      </c>
      <c r="H42" s="2137"/>
      <c r="I42" s="1080" t="e">
        <f>V42</f>
        <v>#DIV/0!</v>
      </c>
      <c r="J42" s="2137"/>
      <c r="K42" s="2139">
        <f>F42+H42+J42</f>
        <v>0</v>
      </c>
      <c r="L42" s="870"/>
      <c r="M42" s="858"/>
      <c r="N42" s="858"/>
      <c r="O42" s="858"/>
      <c r="P42" s="3467" t="str">
        <f>A42</f>
        <v>比较价值（元/平方米）</v>
      </c>
      <c r="Q42" s="3467"/>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385"/>
      <c r="Y42" s="385"/>
      <c r="Z42" s="385"/>
      <c r="AA42" s="385"/>
      <c r="AB42" s="385"/>
      <c r="AC42" s="385"/>
    </row>
    <row r="43" spans="1:29" ht="15.75" thickBot="1">
      <c r="A43" s="425" t="s">
        <v>1794</v>
      </c>
      <c r="B43" s="426"/>
      <c r="C43" s="351" t="e">
        <f>R43</f>
        <v>#DIV/0!</v>
      </c>
      <c r="D43" s="351"/>
      <c r="E43" s="351"/>
      <c r="F43" s="351"/>
      <c r="G43" s="351"/>
      <c r="H43" s="351"/>
      <c r="I43" s="351"/>
      <c r="J43" s="351"/>
      <c r="K43" s="673"/>
      <c r="L43" s="870"/>
      <c r="M43" s="858"/>
      <c r="N43" s="858"/>
      <c r="O43" s="858"/>
      <c r="P43" s="3487" t="str">
        <f>A43</f>
        <v>估价对象XX用房的比较价值（楼面单价，元/平方米）</v>
      </c>
      <c r="Q43" s="3488"/>
      <c r="R43" s="3519" t="e">
        <f>IF(F1="售价",ROUND(IF(D42="简单平均",AVERAGE(R42:V42),R42*F42+T42*H42+V42*J42),0),ROUND(IF(D42="简单平均",AVERAGE(R42:V42),R42*F42+T42*H42+V42*J42),1))</f>
        <v>#DIV/0!</v>
      </c>
      <c r="S43" s="3519"/>
      <c r="T43" s="3519"/>
      <c r="U43" s="3519"/>
      <c r="V43" s="3519"/>
      <c r="W43" s="3519"/>
      <c r="X43" s="385"/>
      <c r="Y43" s="385"/>
      <c r="Z43" s="385"/>
      <c r="AA43" s="385"/>
      <c r="AB43" s="385"/>
      <c r="AC43" s="385"/>
    </row>
    <row r="44" spans="1:29">
      <c r="A44" s="2483"/>
      <c r="B44" s="2483"/>
      <c r="C44" s="2483"/>
      <c r="D44" s="2483"/>
      <c r="E44" s="2483"/>
      <c r="F44" s="2483"/>
      <c r="G44" s="2494"/>
      <c r="H44" s="2483"/>
      <c r="I44" s="2483"/>
      <c r="J44" s="2483"/>
      <c r="K44" s="2495"/>
      <c r="L44" s="833"/>
      <c r="M44" s="858"/>
      <c r="N44" s="858"/>
      <c r="O44" s="858"/>
    </row>
    <row r="45" spans="1:29">
      <c r="A45" s="2483"/>
      <c r="B45" s="2483"/>
      <c r="C45" s="2483"/>
      <c r="D45" s="2483"/>
      <c r="E45" s="2483"/>
      <c r="F45" s="2483"/>
      <c r="G45" s="2483"/>
      <c r="H45" s="2483"/>
      <c r="I45" s="2483"/>
      <c r="J45" s="2483"/>
      <c r="K45" s="2495"/>
      <c r="L45" s="833"/>
      <c r="M45" s="858"/>
      <c r="N45" s="858"/>
      <c r="O45" s="858"/>
    </row>
    <row r="46" spans="1:29"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833"/>
      <c r="M46" s="858"/>
      <c r="N46" s="858"/>
      <c r="O46" s="858"/>
    </row>
    <row r="47" spans="1:29"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833"/>
      <c r="M47" s="858"/>
      <c r="N47" s="858"/>
      <c r="O47" s="858"/>
    </row>
    <row r="48" spans="1:29"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873"/>
      <c r="M48" s="871"/>
      <c r="N48" s="871"/>
      <c r="O48" s="871"/>
    </row>
    <row r="49" spans="1:17" s="435" customFormat="1">
      <c r="A49" s="2493"/>
      <c r="B49" s="2496"/>
      <c r="C49" s="2497"/>
      <c r="D49" s="2493"/>
      <c r="E49" s="2493"/>
      <c r="F49" s="2493"/>
      <c r="G49" s="2493"/>
      <c r="H49" s="2493"/>
      <c r="I49" s="2493"/>
      <c r="J49" s="2493"/>
      <c r="K49" s="2498"/>
      <c r="L49" s="873"/>
      <c r="M49" s="871"/>
      <c r="N49" s="871"/>
      <c r="O49" s="871"/>
    </row>
    <row r="50" spans="1:17">
      <c r="A50" s="2483"/>
      <c r="B50" s="2496"/>
      <c r="C50" s="2497"/>
      <c r="D50" s="2483"/>
      <c r="E50" s="2483"/>
      <c r="F50" s="2483"/>
      <c r="G50" s="2483"/>
      <c r="H50" s="2483"/>
      <c r="I50" s="2483"/>
      <c r="J50" s="2483"/>
      <c r="K50" s="2495"/>
      <c r="L50" s="833"/>
      <c r="M50" s="858"/>
      <c r="N50" s="858"/>
      <c r="O50" s="858"/>
    </row>
    <row r="51" spans="1:17" ht="21.75" thickBot="1">
      <c r="A51" s="656" t="s">
        <v>1798</v>
      </c>
      <c r="B51" s="385"/>
      <c r="C51" s="657"/>
      <c r="D51" s="657"/>
      <c r="E51" s="657"/>
      <c r="F51" s="658"/>
      <c r="G51" s="658"/>
      <c r="H51" s="657"/>
      <c r="I51" s="657"/>
      <c r="J51" s="657"/>
      <c r="K51" s="884"/>
      <c r="L51" s="885"/>
      <c r="M51" s="883"/>
      <c r="N51" s="883"/>
      <c r="O51" s="883"/>
      <c r="P51" s="436"/>
      <c r="Q51" s="437"/>
    </row>
    <row r="52" spans="1:17" s="440" customFormat="1" ht="15">
      <c r="A52" s="438" t="s">
        <v>1679</v>
      </c>
      <c r="B52" s="439"/>
      <c r="C52" s="1100" t="str">
        <f>YEAR(C7)&amp;"-"&amp;MONTH(C7)</f>
        <v>2025-5</v>
      </c>
      <c r="D52" s="1101">
        <f>EDATE(C52,-1)</f>
        <v>45748</v>
      </c>
      <c r="E52" s="1101">
        <f t="shared" ref="E52:O52" si="16">EDATE(D52,-1)</f>
        <v>45717</v>
      </c>
      <c r="F52" s="1101">
        <f t="shared" si="16"/>
        <v>45689</v>
      </c>
      <c r="G52" s="1101">
        <f t="shared" si="16"/>
        <v>45658</v>
      </c>
      <c r="H52" s="1101">
        <f t="shared" si="16"/>
        <v>45627</v>
      </c>
      <c r="I52" s="1101">
        <f t="shared" si="16"/>
        <v>45597</v>
      </c>
      <c r="J52" s="1101">
        <f t="shared" si="16"/>
        <v>45566</v>
      </c>
      <c r="K52" s="1101">
        <f t="shared" si="16"/>
        <v>45536</v>
      </c>
      <c r="L52" s="1101">
        <f t="shared" si="16"/>
        <v>45505</v>
      </c>
      <c r="M52" s="1101">
        <f t="shared" si="16"/>
        <v>45474</v>
      </c>
      <c r="N52" s="1101">
        <f t="shared" si="16"/>
        <v>45444</v>
      </c>
      <c r="O52" s="1101">
        <f t="shared" si="16"/>
        <v>45413</v>
      </c>
    </row>
    <row r="53" spans="1:17" s="102" customFormat="1" ht="15">
      <c r="A53" s="441"/>
      <c r="B53" s="442"/>
      <c r="C53" s="1099">
        <v>100</v>
      </c>
      <c r="D53" s="444"/>
      <c r="E53" s="444"/>
      <c r="F53" s="444"/>
      <c r="G53" s="444"/>
      <c r="H53" s="444"/>
      <c r="I53" s="444"/>
      <c r="J53" s="444"/>
      <c r="K53" s="444"/>
      <c r="L53" s="444"/>
      <c r="M53" s="445"/>
      <c r="N53" s="444"/>
      <c r="O53" s="446"/>
      <c r="P53" s="437"/>
    </row>
    <row r="54" spans="1:17" s="102" customFormat="1" ht="15.75" thickBot="1">
      <c r="A54" s="447" t="s">
        <v>1716</v>
      </c>
      <c r="B54" s="448"/>
      <c r="C54" s="449"/>
      <c r="D54" s="450"/>
      <c r="E54" s="450"/>
      <c r="F54" s="450"/>
      <c r="G54" s="450"/>
      <c r="H54" s="450"/>
      <c r="I54" s="450"/>
      <c r="J54" s="450"/>
      <c r="K54" s="450"/>
      <c r="L54" s="450"/>
      <c r="M54" s="451"/>
      <c r="N54" s="2534"/>
      <c r="O54" s="2535"/>
      <c r="P54" s="437"/>
      <c r="Q54" s="437"/>
    </row>
    <row r="55" spans="1:17" s="102" customFormat="1" ht="15">
      <c r="A55" s="453" t="s">
        <v>1681</v>
      </c>
      <c r="B55" s="442"/>
      <c r="C55" s="454" t="s">
        <v>1776</v>
      </c>
      <c r="D55" s="31"/>
      <c r="E55" s="31"/>
      <c r="F55" s="31"/>
      <c r="G55" s="31"/>
      <c r="H55" s="31"/>
      <c r="I55" s="31"/>
      <c r="J55" s="31"/>
      <c r="K55" s="31"/>
      <c r="L55" s="455"/>
      <c r="M55" s="456"/>
      <c r="N55" s="875"/>
      <c r="O55" s="875"/>
      <c r="P55" s="457"/>
      <c r="Q55" s="437"/>
    </row>
    <row r="56" spans="1:17" s="102" customFormat="1" ht="15.75" thickBot="1">
      <c r="A56" s="453"/>
      <c r="B56" s="442"/>
      <c r="C56" s="561">
        <v>100</v>
      </c>
      <c r="D56" s="444"/>
      <c r="E56" s="444"/>
      <c r="F56" s="444"/>
      <c r="G56" s="444"/>
      <c r="H56" s="444"/>
      <c r="I56" s="444"/>
      <c r="J56" s="444"/>
      <c r="K56" s="444"/>
      <c r="L56" s="444"/>
      <c r="M56" s="446"/>
      <c r="N56" s="875"/>
      <c r="O56" s="875"/>
      <c r="P56" s="437"/>
      <c r="Q56" s="437"/>
    </row>
    <row r="57" spans="1:17">
      <c r="A57" s="379" t="s">
        <v>1719</v>
      </c>
      <c r="B57" s="458" t="s">
        <v>1685</v>
      </c>
      <c r="C57" s="459">
        <f>C9</f>
        <v>0</v>
      </c>
      <c r="D57" s="460"/>
      <c r="E57" s="460"/>
      <c r="F57" s="460"/>
      <c r="G57" s="460"/>
      <c r="H57" s="460"/>
      <c r="I57" s="460"/>
      <c r="J57" s="460"/>
      <c r="K57" s="461"/>
      <c r="L57" s="462"/>
      <c r="M57" s="463"/>
      <c r="N57" s="876"/>
      <c r="O57" s="876"/>
      <c r="P57" s="40"/>
      <c r="Q57" s="437"/>
    </row>
    <row r="58" spans="1:17" ht="15.75" thickBot="1">
      <c r="A58" s="367"/>
      <c r="B58" s="464"/>
      <c r="C58" s="465">
        <v>100</v>
      </c>
      <c r="D58" s="465"/>
      <c r="E58" s="465"/>
      <c r="F58" s="465"/>
      <c r="G58" s="465"/>
      <c r="H58" s="465"/>
      <c r="I58" s="465"/>
      <c r="J58" s="465"/>
      <c r="K58" s="465"/>
      <c r="L58" s="465"/>
      <c r="M58" s="466"/>
      <c r="N58" s="877"/>
      <c r="O58" s="877"/>
      <c r="P58" s="40"/>
      <c r="Q58" s="437"/>
    </row>
    <row r="59" spans="1:17" ht="27.75" thickTop="1">
      <c r="A59" s="367"/>
      <c r="B59" s="467" t="s">
        <v>1688</v>
      </c>
      <c r="C59" s="511"/>
      <c r="D59" s="511"/>
      <c r="E59" s="511"/>
      <c r="F59" s="511"/>
      <c r="G59" s="511"/>
      <c r="H59" s="511"/>
      <c r="I59" s="511"/>
      <c r="J59" s="511"/>
      <c r="K59" s="512"/>
      <c r="L59" s="513"/>
      <c r="M59" s="514"/>
      <c r="N59" s="876"/>
      <c r="O59" s="876"/>
      <c r="P59" s="40"/>
      <c r="Q59" s="437"/>
    </row>
    <row r="60" spans="1:17" ht="15.75" thickBot="1">
      <c r="A60" s="367"/>
      <c r="B60" s="472"/>
      <c r="C60" s="465"/>
      <c r="D60" s="465"/>
      <c r="E60" s="465"/>
      <c r="F60" s="465"/>
      <c r="G60" s="465"/>
      <c r="H60" s="465"/>
      <c r="I60" s="465"/>
      <c r="J60" s="465"/>
      <c r="K60" s="465"/>
      <c r="L60" s="465"/>
      <c r="M60" s="466"/>
      <c r="N60" s="877"/>
      <c r="O60" s="877"/>
      <c r="P60" s="40"/>
      <c r="Q60" s="437"/>
    </row>
    <row r="61" spans="1:17" ht="15.75" thickTop="1">
      <c r="A61" s="367"/>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7" t="str">
        <f>M62&amp;"（含）"&amp;"-"&amp;P62</f>
        <v>（含）-</v>
      </c>
      <c r="N61" s="877"/>
      <c r="O61" s="877"/>
      <c r="P61" s="40"/>
      <c r="Q61" s="437"/>
    </row>
    <row r="62" spans="1:17" ht="15">
      <c r="A62" s="367"/>
      <c r="B62" s="477"/>
      <c r="C62" s="478">
        <v>0</v>
      </c>
      <c r="D62" s="478">
        <v>2</v>
      </c>
      <c r="E62" s="478"/>
      <c r="F62" s="478"/>
      <c r="G62" s="478"/>
      <c r="H62" s="478"/>
      <c r="I62" s="478"/>
      <c r="J62" s="478"/>
      <c r="K62" s="479"/>
      <c r="L62" s="480"/>
      <c r="M62" s="481"/>
      <c r="N62" s="876"/>
      <c r="O62" s="876"/>
      <c r="P62" s="40"/>
      <c r="Q62" s="437"/>
    </row>
    <row r="63" spans="1:17" ht="15.75" thickBot="1">
      <c r="A63" s="367"/>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8" customFormat="1" ht="15.75" thickTop="1">
      <c r="A64" s="482"/>
      <c r="B64" s="467">
        <f>B12</f>
        <v>111</v>
      </c>
      <c r="C64" s="483"/>
      <c r="D64" s="483"/>
      <c r="E64" s="483"/>
      <c r="F64" s="483"/>
      <c r="G64" s="483"/>
      <c r="H64" s="484"/>
      <c r="I64" s="484"/>
      <c r="J64" s="484"/>
      <c r="K64" s="484"/>
      <c r="L64" s="485"/>
      <c r="M64" s="486"/>
      <c r="N64" s="878"/>
      <c r="O64" s="878"/>
      <c r="P64" s="487"/>
      <c r="Q64" s="488"/>
    </row>
    <row r="65" spans="1:17" s="408" customFormat="1" ht="15.75" thickBot="1">
      <c r="A65" s="482"/>
      <c r="B65" s="472"/>
      <c r="C65" s="489"/>
      <c r="D65" s="465"/>
      <c r="E65" s="465"/>
      <c r="F65" s="465"/>
      <c r="G65" s="465"/>
      <c r="H65" s="465"/>
      <c r="I65" s="465"/>
      <c r="J65" s="465"/>
      <c r="K65" s="465"/>
      <c r="L65" s="465"/>
      <c r="M65" s="466"/>
      <c r="N65" s="877"/>
      <c r="O65" s="877"/>
      <c r="P65" s="487"/>
      <c r="Q65" s="488"/>
    </row>
    <row r="66" spans="1:17" s="408" customFormat="1" ht="15.75" thickTop="1">
      <c r="A66" s="482"/>
      <c r="B66" s="467">
        <f>B13</f>
        <v>111</v>
      </c>
      <c r="C66" s="483"/>
      <c r="D66" s="483"/>
      <c r="E66" s="483"/>
      <c r="F66" s="483"/>
      <c r="G66" s="483"/>
      <c r="H66" s="484"/>
      <c r="I66" s="484"/>
      <c r="J66" s="484"/>
      <c r="K66" s="484"/>
      <c r="L66" s="485"/>
      <c r="M66" s="486"/>
      <c r="N66" s="878"/>
      <c r="O66" s="878"/>
      <c r="Q66" s="490"/>
    </row>
    <row r="67" spans="1:17" s="408" customFormat="1" ht="15.75" thickBot="1">
      <c r="A67" s="482"/>
      <c r="B67" s="472"/>
      <c r="C67" s="489"/>
      <c r="D67" s="465"/>
      <c r="E67" s="465"/>
      <c r="F67" s="465"/>
      <c r="G67" s="489"/>
      <c r="H67" s="491"/>
      <c r="I67" s="491"/>
      <c r="J67" s="491"/>
      <c r="K67" s="491"/>
      <c r="L67" s="491"/>
      <c r="M67" s="492"/>
      <c r="N67" s="878"/>
      <c r="O67" s="878"/>
      <c r="P67" s="487"/>
      <c r="Q67" s="488"/>
    </row>
    <row r="68" spans="1:17" s="408" customFormat="1" ht="15.75" thickTop="1">
      <c r="A68" s="482"/>
      <c r="B68" s="475">
        <f>B14</f>
        <v>111</v>
      </c>
      <c r="C68" s="31"/>
      <c r="D68" s="31"/>
      <c r="E68" s="31"/>
      <c r="F68" s="31"/>
      <c r="G68" s="31"/>
      <c r="H68" s="493"/>
      <c r="I68" s="493"/>
      <c r="J68" s="493"/>
      <c r="K68" s="493"/>
      <c r="L68" s="494"/>
      <c r="M68" s="495"/>
      <c r="N68" s="878"/>
      <c r="O68" s="878"/>
      <c r="P68" s="496"/>
      <c r="Q68" s="488"/>
    </row>
    <row r="69" spans="1:17" s="408" customFormat="1" ht="15.75" thickBot="1">
      <c r="A69" s="497"/>
      <c r="B69" s="498"/>
      <c r="C69" s="499"/>
      <c r="D69" s="499"/>
      <c r="E69" s="499"/>
      <c r="F69" s="499"/>
      <c r="G69" s="499"/>
      <c r="H69" s="500"/>
      <c r="I69" s="500"/>
      <c r="J69" s="500"/>
      <c r="K69" s="500"/>
      <c r="L69" s="500"/>
      <c r="M69" s="501"/>
      <c r="N69" s="878"/>
      <c r="O69" s="878"/>
      <c r="P69" s="487"/>
      <c r="Q69" s="488"/>
    </row>
    <row r="70" spans="1:17">
      <c r="A70" s="379" t="s">
        <v>1690</v>
      </c>
      <c r="B70" s="458" t="s">
        <v>1829</v>
      </c>
      <c r="C70" s="502" t="s">
        <v>1721</v>
      </c>
      <c r="D70" s="502" t="s">
        <v>1722</v>
      </c>
      <c r="E70" s="502" t="s">
        <v>1723</v>
      </c>
      <c r="F70" s="502" t="s">
        <v>1724</v>
      </c>
      <c r="G70" s="502" t="s">
        <v>1725</v>
      </c>
      <c r="H70" s="459"/>
      <c r="I70" s="459"/>
      <c r="J70" s="459"/>
      <c r="K70" s="503"/>
      <c r="L70" s="504"/>
      <c r="M70" s="505"/>
      <c r="N70" s="876"/>
      <c r="O70" s="876"/>
      <c r="P70" s="506"/>
      <c r="Q70" s="437"/>
    </row>
    <row r="71" spans="1:17" ht="15.75" thickBot="1">
      <c r="A71" s="367"/>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75" thickTop="1">
      <c r="A72" s="367"/>
      <c r="B72" s="467" t="s">
        <v>1726</v>
      </c>
      <c r="C72" s="507" t="s">
        <v>1721</v>
      </c>
      <c r="D72" s="507" t="s">
        <v>1722</v>
      </c>
      <c r="E72" s="507" t="s">
        <v>1723</v>
      </c>
      <c r="F72" s="507" t="s">
        <v>1724</v>
      </c>
      <c r="G72" s="507" t="s">
        <v>1725</v>
      </c>
      <c r="H72" s="468"/>
      <c r="I72" s="468"/>
      <c r="J72" s="468"/>
      <c r="K72" s="469"/>
      <c r="L72" s="470"/>
      <c r="M72" s="471"/>
      <c r="N72" s="876"/>
      <c r="O72" s="876"/>
      <c r="P72" s="40"/>
      <c r="Q72" s="437"/>
    </row>
    <row r="73" spans="1:17" ht="15.75" thickBot="1">
      <c r="A73" s="367"/>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75" thickTop="1">
      <c r="A74" s="367"/>
      <c r="B74" s="467" t="s">
        <v>1727</v>
      </c>
      <c r="C74" s="507" t="s">
        <v>1721</v>
      </c>
      <c r="D74" s="507" t="s">
        <v>1722</v>
      </c>
      <c r="E74" s="507" t="s">
        <v>1723</v>
      </c>
      <c r="F74" s="507" t="s">
        <v>1724</v>
      </c>
      <c r="G74" s="507" t="s">
        <v>1725</v>
      </c>
      <c r="H74" s="468"/>
      <c r="I74" s="468"/>
      <c r="J74" s="468"/>
      <c r="K74" s="469"/>
      <c r="L74" s="470"/>
      <c r="M74" s="471"/>
      <c r="N74" s="876"/>
      <c r="O74" s="876"/>
      <c r="P74" s="40"/>
      <c r="Q74" s="437"/>
    </row>
    <row r="75" spans="1:17" ht="15.75" thickBot="1">
      <c r="A75" s="367"/>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75" thickTop="1">
      <c r="A76" s="367"/>
      <c r="B76" s="475" t="s">
        <v>1813</v>
      </c>
      <c r="C76" s="579" t="s">
        <v>1799</v>
      </c>
      <c r="D76" s="579" t="s">
        <v>1800</v>
      </c>
      <c r="E76" s="579" t="s">
        <v>1801</v>
      </c>
      <c r="F76" s="579" t="s">
        <v>1802</v>
      </c>
      <c r="G76" s="579" t="s">
        <v>1803</v>
      </c>
      <c r="H76" s="468"/>
      <c r="I76" s="468"/>
      <c r="J76" s="468"/>
      <c r="K76" s="468"/>
      <c r="L76" s="468"/>
      <c r="M76" s="1060"/>
      <c r="N76" s="877"/>
      <c r="O76" s="877"/>
      <c r="P76" s="40"/>
      <c r="Q76" s="437"/>
    </row>
    <row r="77" spans="1:17" ht="15.75" thickBot="1">
      <c r="A77" s="367"/>
      <c r="B77" s="475"/>
      <c r="C77" s="473">
        <v>100</v>
      </c>
      <c r="D77" s="473">
        <f>C77-$K21</f>
        <v>100</v>
      </c>
      <c r="E77" s="473">
        <f>D77-$K21</f>
        <v>100</v>
      </c>
      <c r="F77" s="473">
        <f>E77-$K21</f>
        <v>100</v>
      </c>
      <c r="G77" s="473">
        <f>F77-$K21</f>
        <v>100</v>
      </c>
      <c r="H77" s="579"/>
      <c r="I77" s="579"/>
      <c r="J77" s="579"/>
      <c r="K77" s="579"/>
      <c r="L77" s="579"/>
      <c r="M77" s="389"/>
      <c r="N77" s="877"/>
      <c r="O77" s="877"/>
      <c r="P77" s="40"/>
      <c r="Q77" s="437"/>
    </row>
    <row r="78" spans="1:17" ht="15.75" thickTop="1">
      <c r="A78" s="367"/>
      <c r="B78" s="467" t="s">
        <v>1822</v>
      </c>
      <c r="C78" s="507" t="s">
        <v>1721</v>
      </c>
      <c r="D78" s="507" t="s">
        <v>1722</v>
      </c>
      <c r="E78" s="507" t="s">
        <v>1723</v>
      </c>
      <c r="F78" s="507" t="s">
        <v>1724</v>
      </c>
      <c r="G78" s="507" t="s">
        <v>1725</v>
      </c>
      <c r="H78" s="468"/>
      <c r="I78" s="468"/>
      <c r="J78" s="468"/>
      <c r="K78" s="469"/>
      <c r="L78" s="470"/>
      <c r="M78" s="471"/>
      <c r="N78" s="876"/>
      <c r="O78" s="876"/>
      <c r="P78" s="40"/>
      <c r="Q78" s="437"/>
    </row>
    <row r="79" spans="1:17" ht="15.75" thickBot="1">
      <c r="A79" s="367"/>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2" customFormat="1" ht="15.75" thickTop="1">
      <c r="A80" s="370"/>
      <c r="B80" s="467">
        <f>B25</f>
        <v>111</v>
      </c>
      <c r="C80" s="483"/>
      <c r="D80" s="483"/>
      <c r="E80" s="483"/>
      <c r="F80" s="483"/>
      <c r="G80" s="483"/>
      <c r="H80" s="483"/>
      <c r="I80" s="483"/>
      <c r="J80" s="483"/>
      <c r="K80" s="483"/>
      <c r="L80" s="508"/>
      <c r="M80" s="509"/>
      <c r="N80" s="875"/>
      <c r="O80" s="875"/>
      <c r="P80" s="40"/>
      <c r="Q80" s="437"/>
    </row>
    <row r="81" spans="1:17" s="102" customFormat="1" ht="15.75" thickBot="1">
      <c r="A81" s="370"/>
      <c r="B81" s="472"/>
      <c r="C81" s="489"/>
      <c r="D81" s="465"/>
      <c r="E81" s="465"/>
      <c r="F81" s="465"/>
      <c r="G81" s="465"/>
      <c r="H81" s="465"/>
      <c r="I81" s="465"/>
      <c r="J81" s="465"/>
      <c r="K81" s="465"/>
      <c r="L81" s="465"/>
      <c r="M81" s="466"/>
      <c r="N81" s="877"/>
      <c r="O81" s="877"/>
      <c r="P81" s="40"/>
      <c r="Q81" s="437"/>
    </row>
    <row r="82" spans="1:17" s="102" customFormat="1" ht="15.75" thickTop="1">
      <c r="A82" s="370"/>
      <c r="B82" s="467">
        <f>B26</f>
        <v>111</v>
      </c>
      <c r="C82" s="483"/>
      <c r="D82" s="483"/>
      <c r="E82" s="483"/>
      <c r="F82" s="483"/>
      <c r="G82" s="483"/>
      <c r="H82" s="483"/>
      <c r="I82" s="483"/>
      <c r="J82" s="483"/>
      <c r="K82" s="483"/>
      <c r="L82" s="508"/>
      <c r="M82" s="509"/>
      <c r="N82" s="875"/>
      <c r="O82" s="875"/>
      <c r="P82" s="40"/>
      <c r="Q82" s="437"/>
    </row>
    <row r="83" spans="1:17" s="102" customFormat="1" ht="15.75" thickBot="1">
      <c r="A83" s="370"/>
      <c r="B83" s="472"/>
      <c r="C83" s="489"/>
      <c r="D83" s="465"/>
      <c r="E83" s="465"/>
      <c r="F83" s="465"/>
      <c r="G83" s="465"/>
      <c r="H83" s="465"/>
      <c r="I83" s="465"/>
      <c r="J83" s="465"/>
      <c r="K83" s="465"/>
      <c r="L83" s="465"/>
      <c r="M83" s="466"/>
      <c r="N83" s="877"/>
      <c r="O83" s="877"/>
      <c r="P83" s="40"/>
      <c r="Q83" s="437"/>
    </row>
    <row r="84" spans="1:17" s="408" customFormat="1" ht="15.75" thickTop="1">
      <c r="A84" s="482"/>
      <c r="B84" s="467">
        <f>B27</f>
        <v>111</v>
      </c>
      <c r="C84" s="483"/>
      <c r="D84" s="483"/>
      <c r="E84" s="483"/>
      <c r="F84" s="483"/>
      <c r="G84" s="483"/>
      <c r="H84" s="483"/>
      <c r="I84" s="483"/>
      <c r="J84" s="483"/>
      <c r="K84" s="483"/>
      <c r="L84" s="508"/>
      <c r="M84" s="509"/>
      <c r="N84" s="878"/>
      <c r="O84" s="878"/>
      <c r="P84" s="487"/>
      <c r="Q84" s="488"/>
    </row>
    <row r="85" spans="1:17" s="408" customFormat="1" ht="15.75" thickBot="1">
      <c r="A85" s="482"/>
      <c r="B85" s="472"/>
      <c r="C85" s="489"/>
      <c r="D85" s="465"/>
      <c r="E85" s="465"/>
      <c r="F85" s="465"/>
      <c r="G85" s="465"/>
      <c r="H85" s="465"/>
      <c r="I85" s="465"/>
      <c r="J85" s="465"/>
      <c r="K85" s="465"/>
      <c r="L85" s="465"/>
      <c r="M85" s="466"/>
      <c r="N85" s="878"/>
      <c r="O85" s="878"/>
      <c r="P85" s="487"/>
      <c r="Q85" s="488"/>
    </row>
    <row r="86" spans="1:17" ht="15.75" thickTop="1">
      <c r="A86" s="367"/>
      <c r="B86" s="475">
        <f>B28</f>
        <v>111</v>
      </c>
      <c r="C86" s="31"/>
      <c r="D86" s="31"/>
      <c r="E86" s="31"/>
      <c r="F86" s="31"/>
      <c r="G86" s="515"/>
      <c r="H86" s="515"/>
      <c r="I86" s="515"/>
      <c r="J86" s="515"/>
      <c r="K86" s="516"/>
      <c r="L86" s="517"/>
      <c r="M86" s="518"/>
      <c r="N86" s="876"/>
      <c r="O86" s="876"/>
      <c r="P86" s="40"/>
      <c r="Q86" s="437"/>
    </row>
    <row r="87" spans="1:17" ht="15.75" thickBot="1">
      <c r="A87" s="375"/>
      <c r="B87" s="498"/>
      <c r="C87" s="499"/>
      <c r="D87" s="499"/>
      <c r="E87" s="499"/>
      <c r="F87" s="499"/>
      <c r="G87" s="519"/>
      <c r="H87" s="519"/>
      <c r="I87" s="519"/>
      <c r="J87" s="519"/>
      <c r="K87" s="519"/>
      <c r="L87" s="519"/>
      <c r="M87" s="520"/>
      <c r="N87" s="877"/>
      <c r="O87" s="877"/>
      <c r="P87" s="40"/>
      <c r="Q87" s="437"/>
    </row>
    <row r="88" spans="1:17">
      <c r="A88" s="379" t="s">
        <v>1694</v>
      </c>
      <c r="B88" s="458" t="s">
        <v>1736</v>
      </c>
      <c r="C88" s="460"/>
      <c r="D88" s="460"/>
      <c r="E88" s="460"/>
      <c r="F88" s="460"/>
      <c r="G88" s="460"/>
      <c r="H88" s="460"/>
      <c r="I88" s="460"/>
      <c r="J88" s="460"/>
      <c r="K88" s="461"/>
      <c r="L88" s="462"/>
      <c r="M88" s="463"/>
      <c r="N88" s="876"/>
      <c r="O88" s="876"/>
      <c r="P88" s="40"/>
      <c r="Q88" s="437"/>
    </row>
    <row r="89" spans="1:17" ht="15.75" thickBot="1">
      <c r="A89" s="367"/>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75" thickTop="1">
      <c r="A90" s="367"/>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8" customFormat="1">
      <c r="A91" s="406"/>
      <c r="B91" s="521"/>
      <c r="C91" s="6"/>
      <c r="D91" s="6"/>
      <c r="E91" s="6"/>
      <c r="F91" s="6"/>
      <c r="G91" s="6"/>
      <c r="H91" s="6"/>
      <c r="I91" s="6"/>
      <c r="J91" s="522"/>
      <c r="K91" s="522"/>
      <c r="L91" s="523"/>
      <c r="M91" s="524"/>
      <c r="N91" s="878"/>
      <c r="O91" s="878"/>
      <c r="P91" s="487"/>
      <c r="Q91" s="488"/>
    </row>
    <row r="92" spans="1:17" s="408" customFormat="1" ht="15.75" thickBot="1">
      <c r="A92" s="482"/>
      <c r="B92" s="472"/>
      <c r="C92" s="489"/>
      <c r="D92" s="465"/>
      <c r="E92" s="465"/>
      <c r="F92" s="465"/>
      <c r="G92" s="465"/>
      <c r="H92" s="465"/>
      <c r="I92" s="465"/>
      <c r="J92" s="465"/>
      <c r="K92" s="465"/>
      <c r="L92" s="465"/>
      <c r="M92" s="466"/>
      <c r="N92" s="877"/>
      <c r="O92" s="877"/>
      <c r="P92" s="487"/>
      <c r="Q92" s="488"/>
    </row>
    <row r="93" spans="1:17" ht="15" thickTop="1">
      <c r="A93" s="409"/>
      <c r="B93" s="467" t="s">
        <v>1738</v>
      </c>
      <c r="C93" s="483"/>
      <c r="D93" s="483"/>
      <c r="E93" s="511"/>
      <c r="F93" s="511"/>
      <c r="G93" s="511"/>
      <c r="H93" s="511"/>
      <c r="I93" s="511"/>
      <c r="J93" s="511"/>
      <c r="K93" s="512"/>
      <c r="L93" s="513"/>
      <c r="M93" s="514"/>
      <c r="N93" s="876"/>
      <c r="O93" s="876"/>
      <c r="P93" s="40"/>
      <c r="Q93" s="437"/>
    </row>
    <row r="94" spans="1:17" ht="15.75" thickBot="1">
      <c r="A94" s="367"/>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9"/>
      <c r="B95" s="467" t="s">
        <v>1740</v>
      </c>
      <c r="C95" s="483"/>
      <c r="D95" s="483"/>
      <c r="E95" s="483"/>
      <c r="F95" s="511"/>
      <c r="G95" s="511"/>
      <c r="H95" s="511"/>
      <c r="I95" s="511"/>
      <c r="J95" s="511"/>
      <c r="K95" s="512"/>
      <c r="L95" s="513"/>
      <c r="M95" s="514"/>
      <c r="N95" s="876"/>
      <c r="O95" s="876"/>
      <c r="P95" s="40"/>
      <c r="Q95" s="437"/>
    </row>
    <row r="96" spans="1:17" ht="15.75" thickBot="1">
      <c r="A96" s="367"/>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9"/>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9"/>
      <c r="B98" s="475"/>
      <c r="C98" s="528">
        <v>0.5</v>
      </c>
      <c r="D98" s="528">
        <v>0.6</v>
      </c>
      <c r="E98" s="528">
        <v>0.7</v>
      </c>
      <c r="F98" s="528">
        <v>0.8</v>
      </c>
      <c r="G98" s="528">
        <v>0.9</v>
      </c>
      <c r="H98" s="528">
        <v>1.0001</v>
      </c>
      <c r="I98" s="546"/>
      <c r="J98" s="546"/>
      <c r="K98" s="547"/>
      <c r="L98" s="548"/>
      <c r="M98" s="549"/>
      <c r="N98" s="876"/>
      <c r="O98" s="876"/>
      <c r="P98" s="40"/>
      <c r="Q98" s="437"/>
    </row>
    <row r="99" spans="1:17" ht="15.75" thickBot="1">
      <c r="A99" s="367"/>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8" customFormat="1" ht="15" thickTop="1">
      <c r="A100" s="406"/>
      <c r="B100" s="467" t="s">
        <v>1741</v>
      </c>
      <c r="C100" s="483"/>
      <c r="D100" s="483"/>
      <c r="E100" s="483"/>
      <c r="F100" s="483"/>
      <c r="G100" s="483"/>
      <c r="H100" s="511"/>
      <c r="I100" s="511"/>
      <c r="J100" s="511"/>
      <c r="K100" s="512"/>
      <c r="L100" s="513"/>
      <c r="M100" s="514"/>
      <c r="N100" s="878"/>
      <c r="O100" s="878"/>
      <c r="P100" s="487"/>
      <c r="Q100" s="488"/>
    </row>
    <row r="101" spans="1:17" s="408"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9"/>
      <c r="B102" s="467" t="s">
        <v>1742</v>
      </c>
      <c r="C102" s="483"/>
      <c r="D102" s="483"/>
      <c r="E102" s="483"/>
      <c r="F102" s="483"/>
      <c r="G102" s="483"/>
      <c r="H102" s="511"/>
      <c r="I102" s="511"/>
      <c r="J102" s="511"/>
      <c r="K102" s="512"/>
      <c r="L102" s="513"/>
      <c r="M102" s="514"/>
      <c r="N102" s="876"/>
      <c r="O102" s="876"/>
      <c r="P102" s="40"/>
      <c r="Q102" s="437"/>
    </row>
    <row r="103" spans="1:17" ht="15.75" thickBot="1">
      <c r="A103" s="367"/>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9"/>
      <c r="B104" s="467" t="s">
        <v>1744</v>
      </c>
      <c r="C104" s="483"/>
      <c r="D104" s="483"/>
      <c r="E104" s="483"/>
      <c r="F104" s="483"/>
      <c r="G104" s="483"/>
      <c r="H104" s="511"/>
      <c r="I104" s="511"/>
      <c r="J104" s="511"/>
      <c r="K104" s="512"/>
      <c r="L104" s="513"/>
      <c r="M104" s="514"/>
      <c r="N104" s="876"/>
      <c r="O104" s="876"/>
      <c r="P104" s="40"/>
      <c r="Q104" s="437"/>
    </row>
    <row r="105" spans="1:17" ht="15.75" thickBot="1">
      <c r="A105" s="367"/>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15" thickTop="1">
      <c r="A106" s="409"/>
      <c r="B106" s="558" t="s">
        <v>1830</v>
      </c>
      <c r="C106" s="507" t="s">
        <v>1721</v>
      </c>
      <c r="D106" s="507" t="s">
        <v>1722</v>
      </c>
      <c r="E106" s="507" t="s">
        <v>1723</v>
      </c>
      <c r="F106" s="507" t="s">
        <v>1724</v>
      </c>
      <c r="G106" s="507" t="s">
        <v>1725</v>
      </c>
      <c r="H106" s="468"/>
      <c r="I106" s="468"/>
      <c r="J106" s="468"/>
      <c r="K106" s="469"/>
      <c r="L106" s="470"/>
      <c r="M106" s="471"/>
      <c r="N106" s="877"/>
      <c r="O106" s="877"/>
      <c r="P106" s="559"/>
      <c r="Q106" s="560"/>
    </row>
    <row r="107" spans="1:17" ht="15.75" thickBot="1">
      <c r="A107" s="367"/>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8" customFormat="1" ht="15" thickTop="1">
      <c r="A108" s="406"/>
      <c r="B108" s="467">
        <f>B38</f>
        <v>111</v>
      </c>
      <c r="C108" s="483"/>
      <c r="D108" s="483"/>
      <c r="E108" s="483"/>
      <c r="F108" s="483"/>
      <c r="G108" s="483"/>
      <c r="H108" s="484"/>
      <c r="I108" s="484"/>
      <c r="J108" s="484"/>
      <c r="K108" s="484"/>
      <c r="L108" s="485"/>
      <c r="M108" s="486"/>
      <c r="N108" s="878"/>
      <c r="O108" s="878"/>
      <c r="P108" s="487"/>
      <c r="Q108" s="488"/>
    </row>
    <row r="109" spans="1:17" s="408" customFormat="1" ht="15.75" thickBot="1">
      <c r="A109" s="482"/>
      <c r="B109" s="464"/>
      <c r="C109" s="489"/>
      <c r="D109" s="465"/>
      <c r="E109" s="465"/>
      <c r="F109" s="465"/>
      <c r="G109" s="489"/>
      <c r="H109" s="491"/>
      <c r="I109" s="491"/>
      <c r="J109" s="491"/>
      <c r="K109" s="491"/>
      <c r="L109" s="491"/>
      <c r="M109" s="492"/>
      <c r="N109" s="878"/>
      <c r="O109" s="878"/>
      <c r="P109" s="487"/>
      <c r="Q109" s="488"/>
    </row>
    <row r="110" spans="1:17" ht="15" thickTop="1">
      <c r="A110" s="409"/>
      <c r="B110" s="467">
        <f>B39</f>
        <v>111</v>
      </c>
      <c r="C110" s="483"/>
      <c r="D110" s="483"/>
      <c r="E110" s="483"/>
      <c r="F110" s="483"/>
      <c r="G110" s="483"/>
      <c r="H110" s="484"/>
      <c r="I110" s="484"/>
      <c r="J110" s="484"/>
      <c r="K110" s="484"/>
      <c r="L110" s="485"/>
      <c r="M110" s="486"/>
      <c r="N110" s="876"/>
      <c r="O110" s="876"/>
      <c r="P110" s="40"/>
      <c r="Q110" s="437"/>
    </row>
    <row r="111" spans="1:17" ht="15.75" thickBot="1">
      <c r="A111" s="367"/>
      <c r="B111" s="472"/>
      <c r="C111" s="489"/>
      <c r="D111" s="465"/>
      <c r="E111" s="465"/>
      <c r="F111" s="465"/>
      <c r="G111" s="489"/>
      <c r="H111" s="491"/>
      <c r="I111" s="491"/>
      <c r="J111" s="491"/>
      <c r="K111" s="491"/>
      <c r="L111" s="491"/>
      <c r="M111" s="492"/>
      <c r="N111" s="877"/>
      <c r="O111" s="877"/>
      <c r="P111" s="40"/>
      <c r="Q111" s="437"/>
    </row>
    <row r="112" spans="1:17" ht="15" thickTop="1">
      <c r="A112" s="409"/>
      <c r="B112" s="475">
        <f>B40</f>
        <v>111</v>
      </c>
      <c r="C112" s="31"/>
      <c r="D112" s="31"/>
      <c r="E112" s="31"/>
      <c r="F112" s="31"/>
      <c r="G112" s="515"/>
      <c r="H112" s="515"/>
      <c r="I112" s="515"/>
      <c r="J112" s="515"/>
      <c r="K112" s="31"/>
      <c r="L112" s="455"/>
      <c r="M112" s="518"/>
      <c r="N112" s="876"/>
      <c r="O112" s="876"/>
      <c r="P112" s="40"/>
      <c r="Q112" s="437"/>
    </row>
    <row r="113" spans="1:17" ht="15.75" thickBot="1">
      <c r="A113" s="375"/>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2900-000000000000}">
      <formula1>项目类型</formula1>
    </dataValidation>
    <dataValidation type="list" allowBlank="1" showInputMessage="1" showErrorMessage="1" sqref="C20 G20 E20 I20" xr:uid="{00000000-0002-0000-2900-000001000000}">
      <formula1>公共配套设施</formula1>
    </dataValidation>
    <dataValidation type="list" allowBlank="1" showInputMessage="1" showErrorMessage="1" sqref="E18 G18 I18 C18" xr:uid="{00000000-0002-0000-2900-000002000000}">
      <formula1>交通便捷度</formula1>
    </dataValidation>
    <dataValidation type="list" allowBlank="1" showInputMessage="1" showErrorMessage="1" sqref="E24 G24 I24 C24" xr:uid="{00000000-0002-0000-2900-000003000000}">
      <formula1>环境</formula1>
    </dataValidation>
    <dataValidation type="list" allowBlank="1" showInputMessage="1" showErrorMessage="1" sqref="C8 E8 G8 I8" xr:uid="{00000000-0002-0000-2900-000004000000}">
      <formula1>工业交易情况</formula1>
    </dataValidation>
    <dataValidation type="list" allowBlank="1" showInputMessage="1" showErrorMessage="1" sqref="E9 G9 I9" xr:uid="{00000000-0002-0000-2900-000005000000}">
      <formula1>工业用途</formula1>
    </dataValidation>
    <dataValidation type="list" allowBlank="1" showInputMessage="1" showErrorMessage="1" sqref="C29 E29 G29 I29" xr:uid="{00000000-0002-0000-2900-000006000000}">
      <formula1>工业建筑类型</formula1>
    </dataValidation>
    <dataValidation type="list" allowBlank="1" showInputMessage="1" showErrorMessage="1" sqref="C31 E31 G31 I31" xr:uid="{00000000-0002-0000-2900-000007000000}">
      <formula1>工业建筑结构</formula1>
    </dataValidation>
    <dataValidation type="list" allowBlank="1" showInputMessage="1" showErrorMessage="1" sqref="C32 E32 G32 I32" xr:uid="{00000000-0002-0000-2900-000008000000}">
      <formula1>工业公共部分装修</formula1>
    </dataValidation>
    <dataValidation type="list" allowBlank="1" showInputMessage="1" showErrorMessage="1" sqref="C34 E34 G34 I34" xr:uid="{00000000-0002-0000-2900-000009000000}">
      <formula1>工业物业管理</formula1>
    </dataValidation>
    <dataValidation type="list" allowBlank="1" showInputMessage="1" showErrorMessage="1" sqref="C35 E35 G35 I35" xr:uid="{00000000-0002-0000-2900-00000A000000}">
      <formula1>工业基础设施水平</formula1>
    </dataValidation>
    <dataValidation type="list" allowBlank="1" showInputMessage="1" showErrorMessage="1" sqref="C36 E36 G36 I36" xr:uid="{00000000-0002-0000-2900-00000B000000}">
      <formula1>工业内部装修</formula1>
    </dataValidation>
    <dataValidation type="list" allowBlank="1" showInputMessage="1" showErrorMessage="1" sqref="C37 E37 G37 I37" xr:uid="{00000000-0002-0000-2900-00000C000000}">
      <formula1>内部装修维护情况</formula1>
    </dataValidation>
    <dataValidation type="list" allowBlank="1" showInputMessage="1" showErrorMessage="1" sqref="C16 E16 G16 I16" xr:uid="{00000000-0002-0000-2900-00000D000000}">
      <formula1>产业集聚程度</formula1>
    </dataValidation>
    <dataValidation type="list" allowBlank="1" showInputMessage="1" showErrorMessage="1" sqref="C22 E22 G22 I22"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C2" xr:uid="{00000000-0002-0000-2900-000010000000}">
      <formula1>"需扣减承租人权益,——"</formula1>
    </dataValidation>
    <dataValidation type="list" allowBlank="1" showInputMessage="1" showErrorMessage="1" sqref="F2" xr:uid="{00000000-0002-0000-2900-000011000000}">
      <formula1>估价方法</formula1>
    </dataValidation>
    <dataValidation type="list" allowBlank="1" showInputMessage="1" showErrorMessage="1" sqref="D42" xr:uid="{00000000-0002-0000-2900-000012000000}">
      <formula1>"简单平均,加权平均"</formula1>
    </dataValidation>
    <dataValidation type="list" allowBlank="1" showInputMessage="1" showErrorMessage="1" sqref="E1" xr:uid="{00000000-0002-0000-2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
  <sheetViews>
    <sheetView topLeftCell="A34" workbookViewId="0">
      <selection activeCell="T54" sqref="T54"/>
    </sheetView>
  </sheetViews>
  <sheetFormatPr defaultRowHeight="13.5"/>
  <cols>
    <col min="1" max="16384" width="9" style="3157"/>
  </cols>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5">
    <tabColor rgb="FF92D050"/>
    <pageSetUpPr fitToPage="1"/>
  </sheetPr>
  <dimension ref="A1:AC103"/>
  <sheetViews>
    <sheetView view="pageBreakPreview" zoomScale="85" zoomScaleNormal="60" zoomScaleSheetLayoutView="85" workbookViewId="0">
      <selection activeCell="B2" sqref="B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28" customWidth="1"/>
    <col min="12" max="12" width="12.25" style="429"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3395</v>
      </c>
      <c r="C1" s="1138" t="s">
        <v>1662</v>
      </c>
      <c r="D1" s="1139" t="s">
        <v>5692</v>
      </c>
      <c r="E1" s="3126" t="s">
        <v>5806</v>
      </c>
      <c r="F1" s="1732" t="s">
        <v>5807</v>
      </c>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f>IF(E1="项目模式",IF(C2="——",IF(B37="元/平方米",ROUND(C39*D3/10000,0),ROUND(F3*C39/10000,0)),IF(B37="元/平方米",ROUND(C39*D3/10000,0),ROUND(F3*C39/10000,0))-D2),IF(E1="单套模式",IF(C2="——",IF(B37="元/平方米",ROUND(C39*D3/10000,0),ROUND(F3*C39/10000,0)),IF(B37="元/平方米",ROUND(C39*D3/10000,0),ROUND(F3*C39/10000,0))-D2)))</f>
        <v>17227</v>
      </c>
      <c r="C2" s="1734" t="s">
        <v>43</v>
      </c>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9"/>
      <c r="M2" s="2500"/>
      <c r="N2" s="2500"/>
      <c r="O2" s="2500"/>
      <c r="P2" s="1083"/>
      <c r="Q2" s="341"/>
      <c r="R2" s="341"/>
      <c r="S2" s="341"/>
      <c r="T2" s="341"/>
      <c r="U2" s="341"/>
      <c r="V2" s="341"/>
      <c r="W2" s="341"/>
      <c r="X2" s="341"/>
      <c r="Y2" s="341"/>
      <c r="Z2" s="341"/>
      <c r="AA2" s="341"/>
      <c r="AB2" s="341"/>
      <c r="AC2" s="661"/>
    </row>
    <row r="3" spans="1:29" s="342" customFormat="1" ht="28.5" customHeight="1" thickBot="1">
      <c r="A3" s="195" t="s">
        <v>1464</v>
      </c>
      <c r="B3" s="534">
        <f>IF(AND(C2="——",B37="元/平方米"),C39,ROUND(B2*10000/D3,0))</f>
        <v>10744</v>
      </c>
      <c r="C3" s="344" t="s">
        <v>1768</v>
      </c>
      <c r="D3" s="343">
        <f>SUMIF('数据-汇总表'!$C19:$C33,D1,'数据-汇总表'!$E19:$E33)</f>
        <v>16034.629999999899</v>
      </c>
      <c r="E3" s="344" t="s">
        <v>1832</v>
      </c>
      <c r="F3" s="343">
        <f>SUMIF('数据-取费表'!A5:A15,D1,'数据-取费表'!AH5:AH15)</f>
        <v>427</v>
      </c>
      <c r="G3" s="852">
        <f>D3/F3</f>
        <v>37.551826697892032</v>
      </c>
      <c r="H3" s="852"/>
      <c r="I3" s="852"/>
      <c r="J3" s="852"/>
      <c r="K3" s="854"/>
      <c r="L3" s="2499"/>
      <c r="M3" s="2500">
        <f>IF(C2="——",IF(B37="元/平方米",ROUND(C39*D3/10000,0),ROUND(F3*C39/10000,0)),IF(B37="元/平方米",ROUND(C39*D3/10000,0),ROUND(F3*C39/10000,0))-D2)</f>
        <v>17227</v>
      </c>
      <c r="N3" s="2500"/>
      <c r="O3" s="2500"/>
      <c r="P3" s="1083"/>
      <c r="Q3" s="341"/>
      <c r="R3" s="341"/>
      <c r="S3" s="341"/>
      <c r="T3" s="341"/>
      <c r="U3" s="341"/>
      <c r="V3" s="341"/>
      <c r="W3" s="341"/>
      <c r="X3" s="341"/>
      <c r="Y3" s="341"/>
      <c r="Z3" s="341"/>
      <c r="AA3" s="341"/>
      <c r="AB3" s="674"/>
      <c r="AC3" s="661"/>
    </row>
    <row r="4" spans="1:29" ht="15">
      <c r="A4" s="345" t="s">
        <v>1769</v>
      </c>
      <c r="B4" s="346"/>
      <c r="C4" s="3468" t="s">
        <v>1770</v>
      </c>
      <c r="D4" s="3469"/>
      <c r="E4" s="3470" t="s">
        <v>1771</v>
      </c>
      <c r="F4" s="3471"/>
      <c r="G4" s="3468" t="s">
        <v>1772</v>
      </c>
      <c r="H4" s="3469"/>
      <c r="I4" s="3468" t="s">
        <v>1773</v>
      </c>
      <c r="J4" s="3469"/>
      <c r="K4" s="535" t="s">
        <v>1774</v>
      </c>
      <c r="L4" s="2482"/>
      <c r="M4" s="2483"/>
      <c r="N4" s="2483"/>
      <c r="O4" s="2483"/>
      <c r="P4" s="3472" t="s">
        <v>1775</v>
      </c>
      <c r="Q4" s="3473"/>
      <c r="R4" s="3454" t="s">
        <v>1771</v>
      </c>
      <c r="S4" s="3455"/>
      <c r="T4" s="3454" t="s">
        <v>1772</v>
      </c>
      <c r="U4" s="3455"/>
      <c r="V4" s="3480" t="s">
        <v>1773</v>
      </c>
      <c r="W4" s="3480"/>
      <c r="X4" s="1262"/>
      <c r="Y4" s="3454" t="s">
        <v>1775</v>
      </c>
      <c r="Z4" s="3455"/>
      <c r="AA4" s="3449" t="s">
        <v>1771</v>
      </c>
      <c r="AB4" s="3450" t="s">
        <v>1772</v>
      </c>
      <c r="AC4" s="3449" t="s">
        <v>1773</v>
      </c>
    </row>
    <row r="5" spans="1:29" ht="15.75" thickBot="1">
      <c r="A5" s="348"/>
      <c r="B5" s="349"/>
      <c r="C5" s="3460" t="s">
        <v>1673</v>
      </c>
      <c r="D5" s="3461"/>
      <c r="E5" s="3458" t="s">
        <v>5817</v>
      </c>
      <c r="F5" s="3459"/>
      <c r="G5" s="3464" t="s">
        <v>5818</v>
      </c>
      <c r="H5" s="3461"/>
      <c r="I5" s="3464" t="s">
        <v>5819</v>
      </c>
      <c r="J5" s="3461"/>
      <c r="K5" s="535"/>
      <c r="L5" s="2482"/>
      <c r="M5" s="2483"/>
      <c r="N5" s="2483"/>
      <c r="O5" s="2483"/>
      <c r="P5" s="3474"/>
      <c r="Q5" s="3475"/>
      <c r="R5" s="3456"/>
      <c r="S5" s="3457"/>
      <c r="T5" s="3456"/>
      <c r="U5" s="3457"/>
      <c r="V5" s="3480"/>
      <c r="W5" s="3480"/>
      <c r="X5" s="1262"/>
      <c r="Y5" s="3456"/>
      <c r="Z5" s="3457"/>
      <c r="AA5" s="3450"/>
      <c r="AB5" s="3450"/>
      <c r="AC5" s="3450"/>
    </row>
    <row r="6" spans="1:29" ht="15.75" hidden="1" thickBot="1">
      <c r="A6" s="350"/>
      <c r="B6" s="351"/>
      <c r="C6" s="3462" t="s">
        <v>1677</v>
      </c>
      <c r="D6" s="3463"/>
      <c r="E6" s="3465" t="s">
        <v>1677</v>
      </c>
      <c r="F6" s="3466"/>
      <c r="G6" s="3462" t="s">
        <v>1677</v>
      </c>
      <c r="H6" s="3463"/>
      <c r="I6" s="3462" t="s">
        <v>1677</v>
      </c>
      <c r="J6" s="3463"/>
      <c r="K6" s="535" t="s">
        <v>1678</v>
      </c>
      <c r="L6" s="2482"/>
      <c r="M6" s="2483"/>
      <c r="N6" s="2483"/>
      <c r="O6" s="2483"/>
      <c r="P6" s="3476"/>
      <c r="Q6" s="3477"/>
      <c r="R6" s="3456"/>
      <c r="S6" s="3457"/>
      <c r="T6" s="3478"/>
      <c r="U6" s="3479"/>
      <c r="V6" s="3480"/>
      <c r="W6" s="3480"/>
      <c r="X6" s="1262"/>
      <c r="Y6" s="3478"/>
      <c r="Z6" s="3479"/>
      <c r="AA6" s="3451"/>
      <c r="AB6" s="3451"/>
      <c r="AC6" s="3451"/>
    </row>
    <row r="7" spans="1:29" s="102" customFormat="1" ht="15.75" thickBot="1">
      <c r="A7" s="352" t="s">
        <v>1679</v>
      </c>
      <c r="B7" s="353"/>
      <c r="C7" s="354">
        <f>'数据-取费表'!B2</f>
        <v>45803</v>
      </c>
      <c r="D7" s="355">
        <v>100</v>
      </c>
      <c r="E7" s="356">
        <f>C7</f>
        <v>45803</v>
      </c>
      <c r="F7" s="357">
        <f>SUMIF(48:48,YEAR(E7)&amp;"-"&amp;MONTH(E7),49:49)</f>
        <v>100</v>
      </c>
      <c r="G7" s="356">
        <f>E7</f>
        <v>45803</v>
      </c>
      <c r="H7" s="355">
        <f>SUMIF(48:48,YEAR(G7)&amp;"-"&amp;MONTH(G7),49:49)</f>
        <v>100</v>
      </c>
      <c r="I7" s="356">
        <f>G7</f>
        <v>45803</v>
      </c>
      <c r="J7" s="355">
        <f>SUMIF(48:48,YEAR(I7)&amp;"-"&amp;MONTH(I7),49:49)</f>
        <v>100</v>
      </c>
      <c r="K7" s="38"/>
      <c r="L7" s="2484"/>
      <c r="M7" s="2435"/>
      <c r="N7" s="2435"/>
      <c r="O7" s="2435"/>
      <c r="P7" s="3452" t="s">
        <v>1680</v>
      </c>
      <c r="Q7" s="3481"/>
      <c r="R7" s="662" t="s">
        <v>14</v>
      </c>
      <c r="S7" s="663">
        <f t="shared" ref="S7:S14" si="0">F7</f>
        <v>100</v>
      </c>
      <c r="T7" s="662" t="s">
        <v>14</v>
      </c>
      <c r="U7" s="663">
        <f t="shared" ref="U7:U14" si="1">H7</f>
        <v>100</v>
      </c>
      <c r="V7" s="662" t="s">
        <v>14</v>
      </c>
      <c r="W7" s="663">
        <f t="shared" ref="W7:W14" si="2">J7</f>
        <v>100</v>
      </c>
      <c r="X7" s="664"/>
      <c r="Y7" s="3452" t="s">
        <v>1680</v>
      </c>
      <c r="Z7" s="3453"/>
      <c r="AA7" s="50">
        <f>D7/F7</f>
        <v>1</v>
      </c>
      <c r="AB7" s="50">
        <f>D7/H7</f>
        <v>1</v>
      </c>
      <c r="AC7" s="50">
        <f>D7/J7</f>
        <v>1</v>
      </c>
    </row>
    <row r="8" spans="1:29" s="102" customFormat="1" ht="15.75" thickBot="1">
      <c r="A8" s="352" t="s">
        <v>1681</v>
      </c>
      <c r="B8" s="353"/>
      <c r="C8" s="358" t="s">
        <v>5786</v>
      </c>
      <c r="D8" s="355">
        <v>100</v>
      </c>
      <c r="E8" s="358" t="s">
        <v>5786</v>
      </c>
      <c r="F8" s="357">
        <f>SUMIF(51:51,E8,52:52)-SUMIF(51:51,C8,52:52)+100</f>
        <v>100</v>
      </c>
      <c r="G8" s="358" t="s">
        <v>5786</v>
      </c>
      <c r="H8" s="355">
        <f>SUMIF(51:51,G8,52:52)-SUMIF(51:51,C8,52:52)+100</f>
        <v>100</v>
      </c>
      <c r="I8" s="358" t="s">
        <v>5786</v>
      </c>
      <c r="J8" s="355">
        <f>SUMIF(51:51,I8,52:52)-SUMIF(51:51,C8,52:52)+100</f>
        <v>100</v>
      </c>
      <c r="K8" s="38"/>
      <c r="L8" s="2484"/>
      <c r="M8" s="2435"/>
      <c r="N8" s="2435"/>
      <c r="O8" s="2435"/>
      <c r="P8" s="3452" t="s">
        <v>1683</v>
      </c>
      <c r="Q8" s="3453"/>
      <c r="R8" s="662" t="s">
        <v>14</v>
      </c>
      <c r="S8" s="663">
        <f t="shared" si="0"/>
        <v>100</v>
      </c>
      <c r="T8" s="662" t="s">
        <v>14</v>
      </c>
      <c r="U8" s="663">
        <f t="shared" si="1"/>
        <v>100</v>
      </c>
      <c r="V8" s="662" t="s">
        <v>14</v>
      </c>
      <c r="W8" s="663">
        <f t="shared" si="2"/>
        <v>100</v>
      </c>
      <c r="X8" s="664"/>
      <c r="Y8" s="3452" t="s">
        <v>1683</v>
      </c>
      <c r="Z8" s="3453"/>
      <c r="AA8" s="50">
        <f t="shared" ref="AA8:AA36" si="3">D8/F8</f>
        <v>1</v>
      </c>
      <c r="AB8" s="50">
        <f t="shared" ref="AB8:AB36" si="4">D8/H8</f>
        <v>1</v>
      </c>
      <c r="AC8" s="50">
        <f t="shared" ref="AC8:AC36" si="5">D8/J8</f>
        <v>1</v>
      </c>
    </row>
    <row r="9" spans="1:29" s="102" customFormat="1">
      <c r="A9" s="57" t="s">
        <v>1684</v>
      </c>
      <c r="B9" s="562" t="s">
        <v>1685</v>
      </c>
      <c r="C9" s="360" t="s">
        <v>5820</v>
      </c>
      <c r="D9" s="59">
        <v>100</v>
      </c>
      <c r="E9" s="362" t="s">
        <v>5820</v>
      </c>
      <c r="F9" s="59">
        <f>SUMIF(53:53,E9,54:54)-SUMIF(53:53,C9,54:54)+100</f>
        <v>100</v>
      </c>
      <c r="G9" s="361" t="s">
        <v>5820</v>
      </c>
      <c r="H9" s="59">
        <f>SUMIF(53:53,G9,54:54)-SUMIF(53:53,C9,54:54)+100</f>
        <v>100</v>
      </c>
      <c r="I9" s="361" t="s">
        <v>5820</v>
      </c>
      <c r="J9" s="59">
        <f>SUMIF(53:53,I9,54:54)-SUMIF(53:53,C9,54:54)+100</f>
        <v>100</v>
      </c>
      <c r="K9" s="38"/>
      <c r="L9" s="2484"/>
      <c r="M9" s="2435"/>
      <c r="N9" s="2435"/>
      <c r="O9" s="2435"/>
      <c r="P9" s="3467" t="s">
        <v>1686</v>
      </c>
      <c r="Q9" s="528" t="str">
        <f t="shared" ref="Q9:Q14" si="6">B9</f>
        <v>用途</v>
      </c>
      <c r="R9" s="662" t="s">
        <v>14</v>
      </c>
      <c r="S9" s="663">
        <f t="shared" si="0"/>
        <v>100</v>
      </c>
      <c r="T9" s="662" t="s">
        <v>14</v>
      </c>
      <c r="U9" s="663">
        <f t="shared" si="1"/>
        <v>100</v>
      </c>
      <c r="V9" s="662" t="s">
        <v>14</v>
      </c>
      <c r="W9" s="663">
        <f t="shared" si="2"/>
        <v>100</v>
      </c>
      <c r="X9" s="664"/>
      <c r="Y9" s="3422" t="s">
        <v>1687</v>
      </c>
      <c r="Z9" s="50" t="str">
        <f t="shared" ref="Z9:Z14" si="7">Q9</f>
        <v>用途</v>
      </c>
      <c r="AA9" s="50">
        <f t="shared" si="3"/>
        <v>1</v>
      </c>
      <c r="AB9" s="50">
        <f t="shared" si="4"/>
        <v>1</v>
      </c>
      <c r="AC9" s="50">
        <f t="shared" si="5"/>
        <v>1</v>
      </c>
    </row>
    <row r="10" spans="1:29" s="366" customFormat="1" ht="27.75" thickBot="1">
      <c r="A10" s="563"/>
      <c r="B10" s="564" t="s">
        <v>1688</v>
      </c>
      <c r="C10" s="3127" t="s">
        <v>5821</v>
      </c>
      <c r="D10" s="119">
        <v>100</v>
      </c>
      <c r="E10" s="3127" t="s">
        <v>5821</v>
      </c>
      <c r="F10" s="119">
        <f>SUMIF(55:55,E10,56:56)-SUMIF(55:55,C10,56:56)+100</f>
        <v>100</v>
      </c>
      <c r="G10" s="3127" t="s">
        <v>5821</v>
      </c>
      <c r="H10" s="119">
        <f>SUMIF(55:55,G10,56:56)-SUMIF(55:55,C10,56:56)+100</f>
        <v>100</v>
      </c>
      <c r="I10" s="3127" t="s">
        <v>5821</v>
      </c>
      <c r="J10" s="119">
        <f>SUMIF(55:55,I10,56:56)-SUMIF(55:55,C10,56:56)+100</f>
        <v>100</v>
      </c>
      <c r="K10" s="38"/>
      <c r="L10" s="2485"/>
      <c r="M10" s="2486"/>
      <c r="N10" s="2486"/>
      <c r="O10" s="2486"/>
      <c r="P10" s="3467"/>
      <c r="Q10" s="528" t="str">
        <f t="shared" si="6"/>
        <v>土地使用年限（年）</v>
      </c>
      <c r="R10" s="662" t="s">
        <v>14</v>
      </c>
      <c r="S10" s="663">
        <f t="shared" si="0"/>
        <v>100</v>
      </c>
      <c r="T10" s="662" t="s">
        <v>14</v>
      </c>
      <c r="U10" s="663">
        <f t="shared" si="1"/>
        <v>100</v>
      </c>
      <c r="V10" s="662" t="s">
        <v>14</v>
      </c>
      <c r="W10" s="663">
        <f t="shared" si="2"/>
        <v>100</v>
      </c>
      <c r="X10" s="664"/>
      <c r="Y10" s="3422"/>
      <c r="Z10" s="50" t="str">
        <f t="shared" si="7"/>
        <v>土地使用年限（年）</v>
      </c>
      <c r="AA10" s="50">
        <f t="shared" si="3"/>
        <v>1</v>
      </c>
      <c r="AB10" s="50">
        <f t="shared" si="4"/>
        <v>1</v>
      </c>
      <c r="AC10" s="50">
        <f t="shared" si="5"/>
        <v>1</v>
      </c>
    </row>
    <row r="11" spans="1:29" ht="15" hidden="1">
      <c r="A11" s="565"/>
      <c r="B11" s="566">
        <v>111</v>
      </c>
      <c r="C11" s="371"/>
      <c r="D11" s="119">
        <v>100</v>
      </c>
      <c r="E11" s="371"/>
      <c r="F11" s="119">
        <f>SUMIF(57:57,E11,58:58)-SUMIF(57:57,C11,58:58)+100</f>
        <v>100</v>
      </c>
      <c r="G11" s="371"/>
      <c r="H11" s="119">
        <f>SUMIF(57:57,G11,58:58)-SUMIF(57:57,C11,58:58)+100</f>
        <v>100</v>
      </c>
      <c r="I11" s="371"/>
      <c r="J11" s="119">
        <f>SUMIF(57:57,I11,58:58)-SUMIF(57:57,C11,58:58)+100</f>
        <v>100</v>
      </c>
      <c r="K11" s="537"/>
      <c r="L11" s="2487"/>
      <c r="M11" s="2483"/>
      <c r="N11" s="2483"/>
      <c r="O11" s="2483"/>
      <c r="P11" s="3467"/>
      <c r="Q11" s="528">
        <f t="shared" si="6"/>
        <v>111</v>
      </c>
      <c r="R11" s="662" t="s">
        <v>14</v>
      </c>
      <c r="S11" s="663">
        <f t="shared" si="0"/>
        <v>100</v>
      </c>
      <c r="T11" s="662" t="s">
        <v>14</v>
      </c>
      <c r="U11" s="663">
        <f t="shared" si="1"/>
        <v>100</v>
      </c>
      <c r="V11" s="662" t="s">
        <v>14</v>
      </c>
      <c r="W11" s="663">
        <f t="shared" si="2"/>
        <v>100</v>
      </c>
      <c r="X11" s="664"/>
      <c r="Y11" s="3422"/>
      <c r="Z11" s="50">
        <f t="shared" si="7"/>
        <v>111</v>
      </c>
      <c r="AA11" s="50">
        <f t="shared" si="3"/>
        <v>1</v>
      </c>
      <c r="AB11" s="50">
        <f t="shared" si="4"/>
        <v>1</v>
      </c>
      <c r="AC11" s="50">
        <f t="shared" si="5"/>
        <v>1</v>
      </c>
    </row>
    <row r="12" spans="1:29" s="102" customFormat="1" ht="15" hidden="1">
      <c r="A12" s="567"/>
      <c r="B12" s="566">
        <v>111</v>
      </c>
      <c r="C12" s="371"/>
      <c r="D12" s="372">
        <v>100</v>
      </c>
      <c r="E12" s="371"/>
      <c r="F12" s="119">
        <f>SUMIF(59:59,E12,60:60)-SUMIF(59:59,C12,60:60)+100</f>
        <v>100</v>
      </c>
      <c r="G12" s="371"/>
      <c r="H12" s="119">
        <f>SUMIF(59:59,G12,60:60)-SUMIF(59:59,C12,60:60)+100</f>
        <v>100</v>
      </c>
      <c r="I12" s="371"/>
      <c r="J12" s="119">
        <f>SUMIF(59:59,I12,60:60)-SUMIF(59:59,C12,60:60)+100</f>
        <v>100</v>
      </c>
      <c r="K12" s="537"/>
      <c r="L12" s="2484"/>
      <c r="M12" s="2435"/>
      <c r="N12" s="2435"/>
      <c r="O12" s="2435"/>
      <c r="P12" s="3467"/>
      <c r="Q12" s="528">
        <f t="shared" si="6"/>
        <v>111</v>
      </c>
      <c r="R12" s="662" t="s">
        <v>14</v>
      </c>
      <c r="S12" s="663">
        <f t="shared" si="0"/>
        <v>100</v>
      </c>
      <c r="T12" s="662" t="s">
        <v>14</v>
      </c>
      <c r="U12" s="663">
        <f t="shared" si="1"/>
        <v>100</v>
      </c>
      <c r="V12" s="662" t="s">
        <v>14</v>
      </c>
      <c r="W12" s="663">
        <f t="shared" si="2"/>
        <v>100</v>
      </c>
      <c r="X12" s="664"/>
      <c r="Y12" s="3422"/>
      <c r="Z12" s="50">
        <f t="shared" si="7"/>
        <v>111</v>
      </c>
      <c r="AA12" s="50">
        <f>D12/F12</f>
        <v>1</v>
      </c>
      <c r="AB12" s="50">
        <f>D12/H12</f>
        <v>1</v>
      </c>
      <c r="AC12" s="50">
        <f>D12/J12</f>
        <v>1</v>
      </c>
    </row>
    <row r="13" spans="1:29" ht="15.75" hidden="1" thickBot="1">
      <c r="A13" s="568"/>
      <c r="B13" s="566">
        <v>111</v>
      </c>
      <c r="C13" s="373"/>
      <c r="D13" s="374">
        <v>100</v>
      </c>
      <c r="E13" s="371"/>
      <c r="F13" s="119">
        <f>SUMIF(61:61,E13,62:62)-SUMIF(61:61,C13,62:62)+100</f>
        <v>100</v>
      </c>
      <c r="G13" s="371"/>
      <c r="H13" s="374">
        <f>SUMIF(61:61,G13,62:62)-SUMIF(61:61,C13,62:62)+100</f>
        <v>100</v>
      </c>
      <c r="I13" s="371"/>
      <c r="J13" s="374">
        <f>SUMIF(61:61,I13,62:62)-SUMIF(61:61,C13,62:62)+100</f>
        <v>100</v>
      </c>
      <c r="K13" s="537"/>
      <c r="L13" s="2488"/>
      <c r="M13" s="2483"/>
      <c r="N13" s="2483"/>
      <c r="O13" s="2483"/>
      <c r="P13" s="3467"/>
      <c r="Q13" s="528">
        <f t="shared" si="6"/>
        <v>111</v>
      </c>
      <c r="R13" s="662" t="s">
        <v>14</v>
      </c>
      <c r="S13" s="663">
        <f t="shared" si="0"/>
        <v>100</v>
      </c>
      <c r="T13" s="662" t="s">
        <v>14</v>
      </c>
      <c r="U13" s="663">
        <f t="shared" si="1"/>
        <v>100</v>
      </c>
      <c r="V13" s="662" t="s">
        <v>14</v>
      </c>
      <c r="W13" s="663">
        <f t="shared" si="2"/>
        <v>100</v>
      </c>
      <c r="X13" s="664"/>
      <c r="Y13" s="3422"/>
      <c r="Z13" s="50">
        <f t="shared" si="7"/>
        <v>111</v>
      </c>
      <c r="AA13" s="50">
        <f t="shared" si="3"/>
        <v>1</v>
      </c>
      <c r="AB13" s="50">
        <f t="shared" si="4"/>
        <v>1</v>
      </c>
      <c r="AC13" s="50">
        <f t="shared" si="5"/>
        <v>1</v>
      </c>
    </row>
    <row r="14" spans="1:29" ht="15">
      <c r="A14" s="345" t="s">
        <v>1690</v>
      </c>
      <c r="B14" s="552" t="s">
        <v>1833</v>
      </c>
      <c r="C14" s="1814">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38">
        <v>3</v>
      </c>
      <c r="L14" s="2488"/>
      <c r="M14" s="2483"/>
      <c r="N14" s="2483"/>
      <c r="O14" s="2483"/>
      <c r="P14" s="3482" t="s">
        <v>1691</v>
      </c>
      <c r="Q14" s="1260" t="str">
        <f t="shared" si="6"/>
        <v>交通便捷度</v>
      </c>
      <c r="R14" s="665" t="s">
        <v>14</v>
      </c>
      <c r="S14" s="666">
        <f t="shared" si="0"/>
        <v>100</v>
      </c>
      <c r="T14" s="665" t="s">
        <v>14</v>
      </c>
      <c r="U14" s="666">
        <f t="shared" si="1"/>
        <v>100</v>
      </c>
      <c r="V14" s="665" t="s">
        <v>14</v>
      </c>
      <c r="W14" s="666">
        <f t="shared" si="2"/>
        <v>100</v>
      </c>
      <c r="X14" s="1262"/>
      <c r="Y14" s="3482" t="s">
        <v>1691</v>
      </c>
      <c r="Z14" s="1261" t="str">
        <f t="shared" si="7"/>
        <v>交通便捷度</v>
      </c>
      <c r="AA14" s="1261">
        <f t="shared" si="3"/>
        <v>1</v>
      </c>
      <c r="AB14" s="1261">
        <f t="shared" si="4"/>
        <v>1</v>
      </c>
      <c r="AC14" s="1261">
        <f t="shared" si="5"/>
        <v>1</v>
      </c>
    </row>
    <row r="15" spans="1:29" ht="15">
      <c r="A15" s="348"/>
      <c r="B15" s="569"/>
      <c r="C15" s="386" t="s">
        <v>5792</v>
      </c>
      <c r="D15" s="387"/>
      <c r="E15" s="386" t="s">
        <v>5792</v>
      </c>
      <c r="F15" s="388"/>
      <c r="G15" s="386" t="s">
        <v>5792</v>
      </c>
      <c r="H15" s="389"/>
      <c r="I15" s="386" t="s">
        <v>5792</v>
      </c>
      <c r="J15" s="387"/>
      <c r="K15" s="539"/>
      <c r="L15" s="2488"/>
      <c r="M15" s="2483"/>
      <c r="N15" s="2483"/>
      <c r="O15" s="2483"/>
      <c r="P15" s="3483"/>
      <c r="Q15" s="1260"/>
      <c r="R15" s="665"/>
      <c r="S15" s="666"/>
      <c r="T15" s="665"/>
      <c r="U15" s="666"/>
      <c r="V15" s="665"/>
      <c r="W15" s="666"/>
      <c r="X15" s="1262"/>
      <c r="Y15" s="3483"/>
      <c r="Z15" s="1261"/>
      <c r="AA15" s="1261">
        <v>1</v>
      </c>
      <c r="AB15" s="1261">
        <v>1</v>
      </c>
      <c r="AC15" s="1261">
        <v>1</v>
      </c>
    </row>
    <row r="16" spans="1:29" ht="15">
      <c r="A16" s="348"/>
      <c r="B16" s="554" t="s">
        <v>1812</v>
      </c>
      <c r="C16" s="1751">
        <f>IF(B1="工业",估价对象房地状况!G5,估价对象房地状况!C7)</f>
        <v>0</v>
      </c>
      <c r="D16" s="394">
        <v>100</v>
      </c>
      <c r="E16" s="396"/>
      <c r="F16" s="397">
        <f>SUMIF(65:65,E17,66:66)-SUMIF(65:65,C17,66:66)+100</f>
        <v>100</v>
      </c>
      <c r="G16" s="396"/>
      <c r="H16" s="394">
        <f>SUMIF(65:65,G17,66:66)-SUMIF(65:65,C17,66:66)+100</f>
        <v>100</v>
      </c>
      <c r="I16" s="396"/>
      <c r="J16" s="394">
        <f>SUMIF(65:65,I17,66:66)-SUMIF(65:65,C17,66:66)+100</f>
        <v>97</v>
      </c>
      <c r="K16" s="538">
        <v>3</v>
      </c>
      <c r="L16" s="2488"/>
      <c r="M16" s="2483"/>
      <c r="N16" s="2483"/>
      <c r="O16" s="2483"/>
      <c r="P16" s="3483"/>
      <c r="Q16" s="1260" t="str">
        <f>B16</f>
        <v>公共配套设施</v>
      </c>
      <c r="R16" s="665" t="s">
        <v>14</v>
      </c>
      <c r="S16" s="666">
        <f>F16</f>
        <v>100</v>
      </c>
      <c r="T16" s="665" t="s">
        <v>14</v>
      </c>
      <c r="U16" s="666">
        <f>H16</f>
        <v>100</v>
      </c>
      <c r="V16" s="665" t="s">
        <v>14</v>
      </c>
      <c r="W16" s="666">
        <f>J16</f>
        <v>97</v>
      </c>
      <c r="X16" s="1262"/>
      <c r="Y16" s="3483"/>
      <c r="Z16" s="1261" t="str">
        <f>Q16</f>
        <v>公共配套设施</v>
      </c>
      <c r="AA16" s="1261">
        <f t="shared" si="3"/>
        <v>1</v>
      </c>
      <c r="AB16" s="1261">
        <f t="shared" si="4"/>
        <v>1</v>
      </c>
      <c r="AC16" s="1261">
        <f t="shared" si="5"/>
        <v>1.0309278350515463</v>
      </c>
    </row>
    <row r="17" spans="1:29" ht="15">
      <c r="A17" s="348"/>
      <c r="B17" s="401"/>
      <c r="C17" s="1752" t="s">
        <v>5788</v>
      </c>
      <c r="D17" s="387"/>
      <c r="E17" s="386" t="s">
        <v>5788</v>
      </c>
      <c r="F17" s="388"/>
      <c r="G17" s="386" t="s">
        <v>5788</v>
      </c>
      <c r="H17" s="387"/>
      <c r="I17" s="386" t="s">
        <v>5792</v>
      </c>
      <c r="J17" s="387"/>
      <c r="K17" s="539"/>
      <c r="L17" s="2488"/>
      <c r="M17" s="2483"/>
      <c r="N17" s="2483"/>
      <c r="O17" s="2483"/>
      <c r="P17" s="3483"/>
      <c r="Q17" s="1260"/>
      <c r="R17" s="665"/>
      <c r="S17" s="666"/>
      <c r="T17" s="665"/>
      <c r="U17" s="666"/>
      <c r="V17" s="665"/>
      <c r="W17" s="666"/>
      <c r="X17" s="1262"/>
      <c r="Y17" s="3483"/>
      <c r="Z17" s="1261"/>
      <c r="AA17" s="1261">
        <v>1</v>
      </c>
      <c r="AB17" s="1261">
        <v>1</v>
      </c>
      <c r="AC17" s="1261">
        <v>1</v>
      </c>
    </row>
    <row r="18" spans="1:29" ht="15">
      <c r="A18" s="348"/>
      <c r="B18" s="555" t="s">
        <v>1813</v>
      </c>
      <c r="C18" s="1751">
        <f>IF(B1="工业",估价对象房地状况!G6,估价对象房地状况!C8)</f>
        <v>0</v>
      </c>
      <c r="D18" s="389">
        <v>100</v>
      </c>
      <c r="E18" s="391"/>
      <c r="F18" s="397">
        <f>SUMIF(67:67,E19,68:68)-SUMIF(67:67,C19,68:68)+100</f>
        <v>100</v>
      </c>
      <c r="G18" s="391"/>
      <c r="H18" s="394">
        <f>SUMIF(67:67,G19,68:68)-SUMIF(67:67,C19,68:68)+100</f>
        <v>100</v>
      </c>
      <c r="I18" s="391"/>
      <c r="J18" s="394">
        <f>SUMIF(67:67,I19,68:68)-SUMIF(67:67,C19,68:68)+100</f>
        <v>100</v>
      </c>
      <c r="K18" s="538">
        <v>2</v>
      </c>
      <c r="L18" s="2488"/>
      <c r="M18" s="2483"/>
      <c r="N18" s="2483"/>
      <c r="O18" s="2483"/>
      <c r="P18" s="3483"/>
      <c r="Q18" s="1260" t="str">
        <f>B18</f>
        <v>基础设施水平</v>
      </c>
      <c r="R18" s="665" t="s">
        <v>14</v>
      </c>
      <c r="S18" s="666">
        <f>F18</f>
        <v>100</v>
      </c>
      <c r="T18" s="665" t="s">
        <v>14</v>
      </c>
      <c r="U18" s="666">
        <f>H18</f>
        <v>100</v>
      </c>
      <c r="V18" s="665" t="s">
        <v>14</v>
      </c>
      <c r="W18" s="666">
        <f>J18</f>
        <v>100</v>
      </c>
      <c r="X18" s="1262"/>
      <c r="Y18" s="3483"/>
      <c r="Z18" s="1261" t="str">
        <f>Q18</f>
        <v>基础设施水平</v>
      </c>
      <c r="AA18" s="1261">
        <f t="shared" ref="AA18" si="8">D18/F18</f>
        <v>1</v>
      </c>
      <c r="AB18" s="1261">
        <f t="shared" ref="AB18" si="9">D18/H18</f>
        <v>1</v>
      </c>
      <c r="AC18" s="1261">
        <f t="shared" ref="AC18" si="10">D18/J18</f>
        <v>1</v>
      </c>
    </row>
    <row r="19" spans="1:29" ht="15">
      <c r="A19" s="348"/>
      <c r="B19" s="555"/>
      <c r="C19" s="1752" t="s">
        <v>5789</v>
      </c>
      <c r="D19" s="389"/>
      <c r="E19" s="1752" t="s">
        <v>5789</v>
      </c>
      <c r="F19" s="392"/>
      <c r="G19" s="1752" t="s">
        <v>5789</v>
      </c>
      <c r="H19" s="387"/>
      <c r="I19" s="1752" t="s">
        <v>5789</v>
      </c>
      <c r="J19" s="387"/>
      <c r="K19" s="1061"/>
      <c r="L19" s="2488"/>
      <c r="M19" s="2483"/>
      <c r="N19" s="2483"/>
      <c r="O19" s="2483"/>
      <c r="P19" s="3483"/>
      <c r="Q19" s="1260"/>
      <c r="R19" s="665"/>
      <c r="S19" s="666"/>
      <c r="T19" s="665"/>
      <c r="U19" s="666"/>
      <c r="V19" s="665"/>
      <c r="W19" s="666"/>
      <c r="X19" s="1262"/>
      <c r="Y19" s="3483"/>
      <c r="Z19" s="1261"/>
      <c r="AA19" s="1261">
        <v>1</v>
      </c>
      <c r="AB19" s="1261">
        <v>1</v>
      </c>
      <c r="AC19" s="1261">
        <v>1</v>
      </c>
    </row>
    <row r="20" spans="1:29" ht="15">
      <c r="A20" s="348"/>
      <c r="B20" s="554" t="s">
        <v>1834</v>
      </c>
      <c r="C20" s="1751">
        <f>IF(B1="工业",估价对象房地状况!G7,估价对象房地状况!C9)</f>
        <v>0</v>
      </c>
      <c r="D20" s="394">
        <v>100</v>
      </c>
      <c r="E20" s="396"/>
      <c r="F20" s="397">
        <f>SUMIF(69:69,E21,70:70)-SUMIF(69:69,C21,70:70)+100</f>
        <v>100</v>
      </c>
      <c r="G20" s="396"/>
      <c r="H20" s="389">
        <f>SUMIF(69:69,G21,70:70)-SUMIF(69:69,C21,70:70)+100</f>
        <v>100</v>
      </c>
      <c r="I20" s="396"/>
      <c r="J20" s="389">
        <f>SUMIF(69:69,I21,70:70)-SUMIF(69:69,C21,70:70)+100</f>
        <v>97</v>
      </c>
      <c r="K20" s="538">
        <v>3</v>
      </c>
      <c r="L20" s="2488"/>
      <c r="M20" s="2483"/>
      <c r="N20" s="2483"/>
      <c r="O20" s="2483"/>
      <c r="P20" s="3483"/>
      <c r="Q20" s="1260" t="str">
        <f>B20</f>
        <v>自然及人文环境</v>
      </c>
      <c r="R20" s="665" t="s">
        <v>14</v>
      </c>
      <c r="S20" s="666">
        <f>F20</f>
        <v>100</v>
      </c>
      <c r="T20" s="665" t="s">
        <v>14</v>
      </c>
      <c r="U20" s="666">
        <f>H20</f>
        <v>100</v>
      </c>
      <c r="V20" s="665" t="s">
        <v>14</v>
      </c>
      <c r="W20" s="666">
        <f>J20</f>
        <v>97</v>
      </c>
      <c r="X20" s="1262"/>
      <c r="Y20" s="3483"/>
      <c r="Z20" s="1261" t="str">
        <f>Q20</f>
        <v>自然及人文环境</v>
      </c>
      <c r="AA20" s="1261">
        <f t="shared" si="3"/>
        <v>1</v>
      </c>
      <c r="AB20" s="1261">
        <f t="shared" si="4"/>
        <v>1</v>
      </c>
      <c r="AC20" s="1261">
        <f t="shared" si="5"/>
        <v>1.0309278350515463</v>
      </c>
    </row>
    <row r="21" spans="1:29" ht="15.75" thickBot="1">
      <c r="A21" s="348"/>
      <c r="B21" s="401"/>
      <c r="C21" s="386" t="s">
        <v>5788</v>
      </c>
      <c r="D21" s="387"/>
      <c r="E21" s="386" t="s">
        <v>5788</v>
      </c>
      <c r="F21" s="388"/>
      <c r="G21" s="386" t="s">
        <v>5788</v>
      </c>
      <c r="H21" s="387"/>
      <c r="I21" s="386" t="s">
        <v>5792</v>
      </c>
      <c r="J21" s="387"/>
      <c r="K21" s="539"/>
      <c r="L21" s="2488"/>
      <c r="M21" s="2483"/>
      <c r="N21" s="2483"/>
      <c r="O21" s="2483"/>
      <c r="P21" s="3483"/>
      <c r="Q21" s="1260"/>
      <c r="R21" s="665"/>
      <c r="S21" s="666"/>
      <c r="T21" s="665"/>
      <c r="U21" s="666"/>
      <c r="V21" s="665"/>
      <c r="W21" s="666"/>
      <c r="X21" s="1262"/>
      <c r="Y21" s="3483"/>
      <c r="Z21" s="1261"/>
      <c r="AA21" s="1261">
        <v>1</v>
      </c>
      <c r="AB21" s="1261">
        <v>1</v>
      </c>
      <c r="AC21" s="1261">
        <v>1</v>
      </c>
    </row>
    <row r="22" spans="1:29" ht="15" hidden="1">
      <c r="A22" s="348"/>
      <c r="B22" s="554" t="s">
        <v>1835</v>
      </c>
      <c r="C22" s="540"/>
      <c r="D22" s="389">
        <v>100</v>
      </c>
      <c r="E22" s="540"/>
      <c r="F22" s="400">
        <f>SUMIF(71:71,E22,72:72)-SUMIF(71:71,C22,72:72)+100</f>
        <v>100</v>
      </c>
      <c r="G22" s="540"/>
      <c r="H22" s="374">
        <f>SUMIF(71:71,G22,72:72)-SUMIF(71:71,C22,72:72)+100</f>
        <v>100</v>
      </c>
      <c r="I22" s="540"/>
      <c r="J22" s="374">
        <f>SUMIF(71:71,I22,72:72)-SUMIF(71:71,C22,72:72)+100</f>
        <v>100</v>
      </c>
      <c r="K22" s="536"/>
      <c r="L22" s="2488"/>
      <c r="M22" s="2483"/>
      <c r="N22" s="2483"/>
      <c r="O22" s="2483"/>
      <c r="P22" s="3483"/>
      <c r="Q22" s="1260" t="str">
        <f>B22</f>
        <v>楼层</v>
      </c>
      <c r="R22" s="665" t="s">
        <v>14</v>
      </c>
      <c r="S22" s="666">
        <f>F22</f>
        <v>100</v>
      </c>
      <c r="T22" s="665" t="s">
        <v>14</v>
      </c>
      <c r="U22" s="666">
        <f>H22</f>
        <v>100</v>
      </c>
      <c r="V22" s="665" t="s">
        <v>14</v>
      </c>
      <c r="W22" s="666">
        <f>J22</f>
        <v>100</v>
      </c>
      <c r="X22" s="1262"/>
      <c r="Y22" s="3483"/>
      <c r="Z22" s="1261" t="str">
        <f>Q22</f>
        <v>楼层</v>
      </c>
      <c r="AA22" s="1261">
        <f t="shared" si="3"/>
        <v>1</v>
      </c>
      <c r="AB22" s="1261">
        <f t="shared" si="4"/>
        <v>1</v>
      </c>
      <c r="AC22" s="1261">
        <f t="shared" si="5"/>
        <v>1</v>
      </c>
    </row>
    <row r="23" spans="1:29" ht="15" hidden="1">
      <c r="A23" s="348"/>
      <c r="B23" s="446">
        <v>111</v>
      </c>
      <c r="C23" s="371"/>
      <c r="D23" s="374">
        <v>100</v>
      </c>
      <c r="E23" s="371"/>
      <c r="F23" s="400">
        <f>SUMIF(73:73,E23,74:74)-SUMIF(73:73,C23,74:74)+100</f>
        <v>100</v>
      </c>
      <c r="G23" s="371"/>
      <c r="H23" s="374">
        <f>SUMIF(73:73,G23,74:74)-SUMIF(73:73,C23,74:74)+100</f>
        <v>100</v>
      </c>
      <c r="I23" s="371"/>
      <c r="J23" s="374">
        <f>SUMIF(73:73,I23,74:74)-SUMIF(73:73,C23,74:74)+100</f>
        <v>100</v>
      </c>
      <c r="K23" s="537"/>
      <c r="L23" s="2488"/>
      <c r="M23" s="2483"/>
      <c r="N23" s="2483"/>
      <c r="O23" s="2483"/>
      <c r="P23" s="3483"/>
      <c r="Q23" s="1260">
        <f>B23</f>
        <v>111</v>
      </c>
      <c r="R23" s="665" t="s">
        <v>14</v>
      </c>
      <c r="S23" s="666">
        <f>F23</f>
        <v>100</v>
      </c>
      <c r="T23" s="665" t="s">
        <v>14</v>
      </c>
      <c r="U23" s="666">
        <f>H23</f>
        <v>100</v>
      </c>
      <c r="V23" s="665" t="s">
        <v>14</v>
      </c>
      <c r="W23" s="666">
        <f>J23</f>
        <v>100</v>
      </c>
      <c r="X23" s="1262"/>
      <c r="Y23" s="3483"/>
      <c r="Z23" s="1261">
        <f>Q23</f>
        <v>111</v>
      </c>
      <c r="AA23" s="1261">
        <f t="shared" si="3"/>
        <v>1</v>
      </c>
      <c r="AB23" s="1261">
        <f t="shared" si="4"/>
        <v>1</v>
      </c>
      <c r="AC23" s="1261">
        <f t="shared" si="5"/>
        <v>1</v>
      </c>
    </row>
    <row r="24" spans="1:29" ht="15" hidden="1">
      <c r="A24" s="348"/>
      <c r="B24" s="446">
        <v>111</v>
      </c>
      <c r="C24" s="371"/>
      <c r="D24" s="374">
        <v>100</v>
      </c>
      <c r="E24" s="371"/>
      <c r="F24" s="400">
        <f>SUMIF(75:75,E24,76:76)-SUMIF(75:75,C24,76:76)+100</f>
        <v>100</v>
      </c>
      <c r="G24" s="371"/>
      <c r="H24" s="374">
        <f>SUMIF(75:75,G24,76:76)-SUMIF(75:75,C24,76:76)+100</f>
        <v>100</v>
      </c>
      <c r="I24" s="371"/>
      <c r="J24" s="374">
        <f>SUMIF(75:75,I24,76:76)-SUMIF(75:75,C24,76:76)+100</f>
        <v>100</v>
      </c>
      <c r="K24" s="537"/>
      <c r="L24" s="2488"/>
      <c r="M24" s="2483"/>
      <c r="N24" s="2483"/>
      <c r="O24" s="2483"/>
      <c r="P24" s="3483"/>
      <c r="Q24" s="1260">
        <f t="shared" ref="Q24:Q36" si="11">B24</f>
        <v>111</v>
      </c>
      <c r="R24" s="665" t="s">
        <v>14</v>
      </c>
      <c r="S24" s="666">
        <f>F24</f>
        <v>100</v>
      </c>
      <c r="T24" s="665" t="s">
        <v>14</v>
      </c>
      <c r="U24" s="666">
        <f>H24</f>
        <v>100</v>
      </c>
      <c r="V24" s="665" t="s">
        <v>14</v>
      </c>
      <c r="W24" s="666">
        <f>J24</f>
        <v>100</v>
      </c>
      <c r="X24" s="1262"/>
      <c r="Y24" s="3483"/>
      <c r="Z24" s="1261">
        <f>Q24</f>
        <v>111</v>
      </c>
      <c r="AA24" s="1261">
        <f t="shared" si="3"/>
        <v>1</v>
      </c>
      <c r="AB24" s="1261">
        <f t="shared" si="4"/>
        <v>1</v>
      </c>
      <c r="AC24" s="1261">
        <f t="shared" si="5"/>
        <v>1</v>
      </c>
    </row>
    <row r="25" spans="1:29" s="102" customFormat="1" ht="15.75" hidden="1" thickBot="1">
      <c r="A25" s="441"/>
      <c r="B25" s="557">
        <v>111</v>
      </c>
      <c r="C25" s="376"/>
      <c r="D25" s="570">
        <v>100</v>
      </c>
      <c r="E25" s="551"/>
      <c r="F25" s="571">
        <f>SUMIF(77:77,E25,78:78)-SUMIF(77:77,C25,78:78)+100</f>
        <v>100</v>
      </c>
      <c r="G25" s="551"/>
      <c r="H25" s="570">
        <f>SUMIF(77:77,G25,78:78)-SUMIF(77:77,C25,78:78)+100</f>
        <v>100</v>
      </c>
      <c r="I25" s="551"/>
      <c r="J25" s="570">
        <f>SUMIF(77:77,I25,78:78)-SUMIF(77:77,C25,78:78)+100</f>
        <v>100</v>
      </c>
      <c r="K25" s="537"/>
      <c r="L25" s="2484"/>
      <c r="M25" s="2435"/>
      <c r="N25" s="2435"/>
      <c r="O25" s="2435"/>
      <c r="P25" s="3483"/>
      <c r="Q25" s="528">
        <f t="shared" si="11"/>
        <v>111</v>
      </c>
      <c r="R25" s="662" t="s">
        <v>14</v>
      </c>
      <c r="S25" s="663">
        <f>F25</f>
        <v>100</v>
      </c>
      <c r="T25" s="662" t="s">
        <v>14</v>
      </c>
      <c r="U25" s="663">
        <f>H25</f>
        <v>100</v>
      </c>
      <c r="V25" s="662" t="s">
        <v>14</v>
      </c>
      <c r="W25" s="663">
        <f>J25</f>
        <v>100</v>
      </c>
      <c r="X25" s="664"/>
      <c r="Y25" s="3483"/>
      <c r="Z25" s="50">
        <f>Q25</f>
        <v>111</v>
      </c>
      <c r="AA25" s="1261">
        <f>D25/F25</f>
        <v>1</v>
      </c>
      <c r="AB25" s="1261">
        <f>D25/H25</f>
        <v>1</v>
      </c>
      <c r="AC25" s="1261">
        <f>D25/J25</f>
        <v>1</v>
      </c>
    </row>
    <row r="26" spans="1:29" ht="28.5">
      <c r="A26" s="572" t="s">
        <v>1694</v>
      </c>
      <c r="B26" s="59" t="s">
        <v>1836</v>
      </c>
      <c r="C26" s="1815" t="str">
        <f>B1</f>
        <v>住宅</v>
      </c>
      <c r="D26" s="387">
        <v>100</v>
      </c>
      <c r="E26" s="386" t="s">
        <v>3395</v>
      </c>
      <c r="F26" s="388">
        <f>SUMIF(79:79,E26,80:80)-SUMIF(79:79,C26,80:80)+100</f>
        <v>100</v>
      </c>
      <c r="G26" s="386" t="s">
        <v>3395</v>
      </c>
      <c r="H26" s="387">
        <f>SUMIF(79:79,G26,80:80)-SUMIF(79:79,C26,80:80)+100</f>
        <v>100</v>
      </c>
      <c r="I26" s="386" t="s">
        <v>3395</v>
      </c>
      <c r="J26" s="387">
        <f>SUMIF(79:79,I26,80:80)-SUMIF(79:79,C26,80:80)+100</f>
        <v>100</v>
      </c>
      <c r="K26" s="536">
        <v>5</v>
      </c>
      <c r="L26" s="2488"/>
      <c r="M26" s="2483"/>
      <c r="N26" s="2483"/>
      <c r="O26" s="2483"/>
      <c r="P26" s="3484" t="s">
        <v>1696</v>
      </c>
      <c r="Q26" s="1260" t="str">
        <f t="shared" si="11"/>
        <v>配套类型</v>
      </c>
      <c r="R26" s="665" t="s">
        <v>14</v>
      </c>
      <c r="S26" s="666">
        <f t="shared" ref="S26:S36" si="12">F26</f>
        <v>100</v>
      </c>
      <c r="T26" s="665" t="s">
        <v>14</v>
      </c>
      <c r="U26" s="666">
        <f t="shared" ref="U26:U36" si="13">H26</f>
        <v>100</v>
      </c>
      <c r="V26" s="665" t="s">
        <v>14</v>
      </c>
      <c r="W26" s="666">
        <f t="shared" ref="W26:W36" si="14">J26</f>
        <v>100</v>
      </c>
      <c r="X26" s="1262"/>
      <c r="Y26" s="3485" t="s">
        <v>1696</v>
      </c>
      <c r="Z26" s="1261" t="str">
        <f t="shared" ref="Z26:Z36" si="15">Q26</f>
        <v>配套类型</v>
      </c>
      <c r="AA26" s="1261">
        <f t="shared" si="3"/>
        <v>1</v>
      </c>
      <c r="AB26" s="1261">
        <f t="shared" si="4"/>
        <v>1</v>
      </c>
      <c r="AC26" s="1261">
        <f t="shared" si="5"/>
        <v>1</v>
      </c>
    </row>
    <row r="27" spans="1:29" s="408" customFormat="1" ht="15" hidden="1">
      <c r="A27" s="573"/>
      <c r="B27" s="119" t="s">
        <v>1837</v>
      </c>
      <c r="C27" s="574"/>
      <c r="D27" s="119">
        <v>100</v>
      </c>
      <c r="E27" s="574"/>
      <c r="F27" s="400">
        <f>SUMIF(81:81,E27,82:82)-SUMIF(81:81,C27,82:82)+100</f>
        <v>100</v>
      </c>
      <c r="G27" s="574"/>
      <c r="H27" s="374">
        <f>SUMIF(81:81,G27,82:82)-SUMIF(81:81,C27,82:82)+100</f>
        <v>100</v>
      </c>
      <c r="I27" s="574"/>
      <c r="J27" s="374">
        <f>SUMIF(81:81,I27,82:82)-SUMIF(81:81,C27,82:82)+100</f>
        <v>100</v>
      </c>
      <c r="K27" s="537"/>
      <c r="L27" s="2487"/>
      <c r="M27" s="2489"/>
      <c r="N27" s="2489"/>
      <c r="O27" s="2489"/>
      <c r="P27" s="3485"/>
      <c r="Q27" s="529" t="str">
        <f t="shared" si="11"/>
        <v>项目停车位配比</v>
      </c>
      <c r="R27" s="667" t="s">
        <v>14</v>
      </c>
      <c r="S27" s="668">
        <f t="shared" si="12"/>
        <v>100</v>
      </c>
      <c r="T27" s="667" t="s">
        <v>14</v>
      </c>
      <c r="U27" s="668">
        <f t="shared" si="13"/>
        <v>100</v>
      </c>
      <c r="V27" s="667" t="s">
        <v>14</v>
      </c>
      <c r="W27" s="668">
        <f t="shared" si="14"/>
        <v>100</v>
      </c>
      <c r="X27" s="669"/>
      <c r="Y27" s="3485"/>
      <c r="Z27" s="670" t="str">
        <f t="shared" si="15"/>
        <v>项目停车位配比</v>
      </c>
      <c r="AA27" s="1261">
        <f t="shared" si="3"/>
        <v>1</v>
      </c>
      <c r="AB27" s="1261">
        <f t="shared" si="4"/>
        <v>1</v>
      </c>
      <c r="AC27" s="1261">
        <f t="shared" si="5"/>
        <v>1</v>
      </c>
    </row>
    <row r="28" spans="1:29" ht="15">
      <c r="A28" s="575"/>
      <c r="B28" s="119" t="s">
        <v>1838</v>
      </c>
      <c r="C28" s="3184" t="s">
        <v>5811</v>
      </c>
      <c r="D28" s="374">
        <v>100</v>
      </c>
      <c r="E28" s="3184" t="s">
        <v>5811</v>
      </c>
      <c r="F28" s="400">
        <f>SUMIF(83:83,E28,84:84)-SUMIF(83:83,C28,84:84)+100</f>
        <v>100</v>
      </c>
      <c r="G28" s="3184" t="s">
        <v>5811</v>
      </c>
      <c r="H28" s="374">
        <f>SUMIF(83:83,G28,84:84)-SUMIF(83:83,C28,84:84)+100</f>
        <v>100</v>
      </c>
      <c r="I28" s="3184" t="s">
        <v>5811</v>
      </c>
      <c r="J28" s="374">
        <f>SUMIF(83:83,I28,84:84)-SUMIF(83:83,C28,84:84)+100</f>
        <v>100</v>
      </c>
      <c r="K28" s="536">
        <v>2</v>
      </c>
      <c r="L28" s="2488"/>
      <c r="M28" s="2483"/>
      <c r="N28" s="2483"/>
      <c r="O28" s="2483"/>
      <c r="P28" s="3485"/>
      <c r="Q28" s="1260" t="str">
        <f t="shared" si="11"/>
        <v>公共部分装修</v>
      </c>
      <c r="R28" s="665" t="s">
        <v>14</v>
      </c>
      <c r="S28" s="666">
        <f t="shared" si="12"/>
        <v>100</v>
      </c>
      <c r="T28" s="665" t="s">
        <v>14</v>
      </c>
      <c r="U28" s="666">
        <f t="shared" si="13"/>
        <v>100</v>
      </c>
      <c r="V28" s="665" t="s">
        <v>14</v>
      </c>
      <c r="W28" s="666">
        <f t="shared" si="14"/>
        <v>100</v>
      </c>
      <c r="X28" s="1262"/>
      <c r="Y28" s="3485"/>
      <c r="Z28" s="1261" t="str">
        <f t="shared" si="15"/>
        <v>公共部分装修</v>
      </c>
      <c r="AA28" s="1261">
        <f t="shared" si="3"/>
        <v>1</v>
      </c>
      <c r="AB28" s="1261">
        <f t="shared" si="4"/>
        <v>1</v>
      </c>
      <c r="AC28" s="1261">
        <f t="shared" si="5"/>
        <v>1</v>
      </c>
    </row>
    <row r="29" spans="1:29" ht="15">
      <c r="A29" s="575"/>
      <c r="B29" s="119" t="s">
        <v>1839</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6">
        <v>2</v>
      </c>
      <c r="L29" s="2488"/>
      <c r="M29" s="2483"/>
      <c r="N29" s="2483"/>
      <c r="O29" s="2483"/>
      <c r="P29" s="3485"/>
      <c r="Q29" s="1260" t="str">
        <f t="shared" si="11"/>
        <v>成新率</v>
      </c>
      <c r="R29" s="665" t="s">
        <v>14</v>
      </c>
      <c r="S29" s="666">
        <f t="shared" si="12"/>
        <v>100</v>
      </c>
      <c r="T29" s="665" t="s">
        <v>14</v>
      </c>
      <c r="U29" s="666">
        <f t="shared" si="13"/>
        <v>100</v>
      </c>
      <c r="V29" s="665" t="s">
        <v>14</v>
      </c>
      <c r="W29" s="666">
        <f t="shared" si="14"/>
        <v>100</v>
      </c>
      <c r="X29" s="1262"/>
      <c r="Y29" s="3485"/>
      <c r="Z29" s="1261" t="str">
        <f t="shared" si="15"/>
        <v>成新率</v>
      </c>
      <c r="AA29" s="1261">
        <f t="shared" si="3"/>
        <v>1</v>
      </c>
      <c r="AB29" s="1261">
        <f t="shared" si="4"/>
        <v>1</v>
      </c>
      <c r="AC29" s="1261">
        <f t="shared" si="5"/>
        <v>1</v>
      </c>
    </row>
    <row r="30" spans="1:29" ht="15">
      <c r="A30" s="575"/>
      <c r="B30" s="119" t="s">
        <v>1840</v>
      </c>
      <c r="C30" s="3187" t="s">
        <v>5812</v>
      </c>
      <c r="D30" s="374">
        <v>100</v>
      </c>
      <c r="E30" s="3187" t="s">
        <v>5812</v>
      </c>
      <c r="F30" s="400">
        <f>SUMIF(88:88,E30,89:89)-SUMIF(88:88,C30,89:89)+100</f>
        <v>100</v>
      </c>
      <c r="G30" s="3187" t="s">
        <v>5812</v>
      </c>
      <c r="H30" s="374">
        <f>SUMIF(88:88,E30,89:89)-SUMIF(88:88,C30,89:89)+100</f>
        <v>100</v>
      </c>
      <c r="I30" s="3187" t="s">
        <v>5812</v>
      </c>
      <c r="J30" s="374">
        <f>SUMIF(88:88,E30,89:89)-SUMIF(88:88,C30,89:89)+100</f>
        <v>100</v>
      </c>
      <c r="K30" s="536">
        <v>2</v>
      </c>
      <c r="L30" s="2488"/>
      <c r="M30" s="2483"/>
      <c r="N30" s="2483"/>
      <c r="O30" s="2483"/>
      <c r="P30" s="3485"/>
      <c r="Q30" s="1260" t="str">
        <f t="shared" si="11"/>
        <v>物业等级</v>
      </c>
      <c r="R30" s="665" t="s">
        <v>14</v>
      </c>
      <c r="S30" s="666">
        <f t="shared" si="12"/>
        <v>100</v>
      </c>
      <c r="T30" s="665" t="s">
        <v>14</v>
      </c>
      <c r="U30" s="666">
        <f t="shared" si="13"/>
        <v>100</v>
      </c>
      <c r="V30" s="665" t="s">
        <v>14</v>
      </c>
      <c r="W30" s="666">
        <f t="shared" si="14"/>
        <v>100</v>
      </c>
      <c r="X30" s="1262"/>
      <c r="Y30" s="3485"/>
      <c r="Z30" s="1261" t="str">
        <f t="shared" si="15"/>
        <v>物业等级</v>
      </c>
      <c r="AA30" s="1261">
        <f t="shared" si="3"/>
        <v>1</v>
      </c>
      <c r="AB30" s="1261">
        <f t="shared" si="4"/>
        <v>1</v>
      </c>
      <c r="AC30" s="1261">
        <f t="shared" si="5"/>
        <v>1</v>
      </c>
    </row>
    <row r="31" spans="1:29" s="102" customFormat="1" ht="15">
      <c r="A31" s="577"/>
      <c r="B31" s="119" t="s">
        <v>1841</v>
      </c>
      <c r="C31" s="407">
        <f>ROUND('最新范围-车位'!F429/'最新范围-车位'!A428,2)</f>
        <v>37.549999999999997</v>
      </c>
      <c r="D31" s="119">
        <v>100</v>
      </c>
      <c r="E31" s="407">
        <f>[1]车位案例!S19</f>
        <v>46.78</v>
      </c>
      <c r="F31" s="400">
        <f>LOOKUP(E31,91:91,92:92)-LOOKUP(C31,91:91,92:92)+100</f>
        <v>101</v>
      </c>
      <c r="G31" s="407">
        <f>[1]车位案例!S61</f>
        <v>38.549999999999997</v>
      </c>
      <c r="H31" s="374">
        <f>LOOKUP(G31,91:91,92:92)-LOOKUP(C31,91:91,92:92)+100</f>
        <v>100</v>
      </c>
      <c r="I31" s="407">
        <f>[1]车位案例!S101</f>
        <v>39.36</v>
      </c>
      <c r="J31" s="374">
        <f>LOOKUP(I31,91:91,92:92)-LOOKUP(C31,91:91,92:92)+100</f>
        <v>100</v>
      </c>
      <c r="K31" s="536">
        <v>2</v>
      </c>
      <c r="L31" s="2484"/>
      <c r="M31" s="2435"/>
      <c r="N31" s="2435"/>
      <c r="O31" s="2435"/>
      <c r="P31" s="3485"/>
      <c r="Q31" s="528" t="str">
        <f t="shared" si="11"/>
        <v>停车位面积</v>
      </c>
      <c r="R31" s="662" t="s">
        <v>14</v>
      </c>
      <c r="S31" s="663">
        <f t="shared" si="12"/>
        <v>101</v>
      </c>
      <c r="T31" s="662" t="s">
        <v>14</v>
      </c>
      <c r="U31" s="663">
        <f t="shared" si="13"/>
        <v>100</v>
      </c>
      <c r="V31" s="662" t="s">
        <v>14</v>
      </c>
      <c r="W31" s="663">
        <f t="shared" si="14"/>
        <v>100</v>
      </c>
      <c r="X31" s="664"/>
      <c r="Y31" s="3485"/>
      <c r="Z31" s="50" t="str">
        <f t="shared" si="15"/>
        <v>停车位面积</v>
      </c>
      <c r="AA31" s="50">
        <f t="shared" si="3"/>
        <v>0.99009900990099009</v>
      </c>
      <c r="AB31" s="50">
        <f t="shared" si="4"/>
        <v>1</v>
      </c>
      <c r="AC31" s="50">
        <f t="shared" si="5"/>
        <v>1</v>
      </c>
    </row>
    <row r="32" spans="1:29" ht="15.75" thickBot="1">
      <c r="A32" s="575"/>
      <c r="B32" s="119" t="s">
        <v>1842</v>
      </c>
      <c r="C32" s="3184" t="s">
        <v>5822</v>
      </c>
      <c r="D32" s="374">
        <v>100</v>
      </c>
      <c r="E32" s="3184" t="s">
        <v>5822</v>
      </c>
      <c r="F32" s="400">
        <f>SUMIF(93:93,E32,94:94)-SUMIF(93:93,C32,94:94)+100</f>
        <v>100</v>
      </c>
      <c r="G32" s="3184" t="s">
        <v>5822</v>
      </c>
      <c r="H32" s="374">
        <f>SUMIF(93:93,G32,94:94)-SUMIF(93:93,C32,94:94)+100</f>
        <v>100</v>
      </c>
      <c r="I32" s="3184" t="s">
        <v>5822</v>
      </c>
      <c r="J32" s="374">
        <f>SUMIF(93:93,I32,94:94)-SUMIF(93:93,C32,94:94)+100</f>
        <v>100</v>
      </c>
      <c r="K32" s="536">
        <v>2</v>
      </c>
      <c r="L32" s="2488"/>
      <c r="M32" s="2483"/>
      <c r="N32" s="2483"/>
      <c r="O32" s="2483"/>
      <c r="P32" s="3485" t="s">
        <v>1696</v>
      </c>
      <c r="Q32" s="1260" t="str">
        <f t="shared" si="11"/>
        <v>车位类型</v>
      </c>
      <c r="R32" s="665" t="s">
        <v>14</v>
      </c>
      <c r="S32" s="666">
        <f t="shared" si="12"/>
        <v>100</v>
      </c>
      <c r="T32" s="665" t="s">
        <v>14</v>
      </c>
      <c r="U32" s="666">
        <f t="shared" si="13"/>
        <v>100</v>
      </c>
      <c r="V32" s="665" t="s">
        <v>14</v>
      </c>
      <c r="W32" s="666">
        <f t="shared" si="14"/>
        <v>100</v>
      </c>
      <c r="X32" s="1262"/>
      <c r="Y32" s="3485" t="s">
        <v>1696</v>
      </c>
      <c r="Z32" s="1261" t="str">
        <f t="shared" si="15"/>
        <v>车位类型</v>
      </c>
      <c r="AA32" s="1261">
        <f t="shared" si="3"/>
        <v>1</v>
      </c>
      <c r="AB32" s="1261">
        <f t="shared" si="4"/>
        <v>1</v>
      </c>
      <c r="AC32" s="1261">
        <f t="shared" si="5"/>
        <v>1</v>
      </c>
    </row>
    <row r="33" spans="1:29" ht="15" hidden="1">
      <c r="A33" s="575"/>
      <c r="B33" s="119" t="s">
        <v>1843</v>
      </c>
      <c r="C33" s="399"/>
      <c r="D33" s="374">
        <v>100</v>
      </c>
      <c r="E33" s="399"/>
      <c r="F33" s="400">
        <f>SUMIF(95:95,E33,96:96)-SUMIF(95:95,C33,96:96)+100</f>
        <v>100</v>
      </c>
      <c r="G33" s="399"/>
      <c r="H33" s="374">
        <f>SUMIF(95:95,G33,96:96)-SUMIF(95:95,C33,96:96)+100</f>
        <v>100</v>
      </c>
      <c r="I33" s="399"/>
      <c r="J33" s="374">
        <f>SUMIF(95:95,I33,96:96)-SUMIF(95:95,C33,96:96)+100</f>
        <v>100</v>
      </c>
      <c r="K33" s="536"/>
      <c r="L33" s="2488"/>
      <c r="M33" s="2483"/>
      <c r="N33" s="2483"/>
      <c r="O33" s="2483"/>
      <c r="P33" s="3485"/>
      <c r="Q33" s="1260" t="str">
        <f t="shared" si="11"/>
        <v>是否直接入户</v>
      </c>
      <c r="R33" s="665" t="s">
        <v>14</v>
      </c>
      <c r="S33" s="666">
        <f t="shared" si="12"/>
        <v>100</v>
      </c>
      <c r="T33" s="665" t="s">
        <v>14</v>
      </c>
      <c r="U33" s="666">
        <f t="shared" si="13"/>
        <v>100</v>
      </c>
      <c r="V33" s="665" t="s">
        <v>14</v>
      </c>
      <c r="W33" s="666">
        <f t="shared" si="14"/>
        <v>100</v>
      </c>
      <c r="X33" s="1262"/>
      <c r="Y33" s="3485"/>
      <c r="Z33" s="1261" t="str">
        <f t="shared" si="15"/>
        <v>是否直接入户</v>
      </c>
      <c r="AA33" s="1261">
        <f t="shared" si="3"/>
        <v>1</v>
      </c>
      <c r="AB33" s="1261">
        <f t="shared" si="4"/>
        <v>1</v>
      </c>
      <c r="AC33" s="1261">
        <f t="shared" si="5"/>
        <v>1</v>
      </c>
    </row>
    <row r="34" spans="1:29" ht="15" hidden="1">
      <c r="A34" s="575"/>
      <c r="B34" s="446">
        <v>111</v>
      </c>
      <c r="C34" s="371"/>
      <c r="D34" s="374">
        <v>100</v>
      </c>
      <c r="E34" s="371"/>
      <c r="F34" s="400">
        <f>SUMIF(97:97,E34,98:98)-SUMIF(97:97,C34,98:98)+100</f>
        <v>100</v>
      </c>
      <c r="G34" s="371"/>
      <c r="H34" s="374">
        <f>SUMIF(97:97,G34,98:98)-SUMIF(97:97,C34,98:98)+100</f>
        <v>100</v>
      </c>
      <c r="I34" s="371"/>
      <c r="J34" s="374">
        <f>SUMIF(97:97,I34,98:98)-SUMIF(97:97,C34,98:98)+100</f>
        <v>100</v>
      </c>
      <c r="K34" s="537"/>
      <c r="L34" s="2488"/>
      <c r="M34" s="2483"/>
      <c r="N34" s="2483"/>
      <c r="O34" s="2483"/>
      <c r="P34" s="3485"/>
      <c r="Q34" s="1260">
        <f t="shared" si="11"/>
        <v>111</v>
      </c>
      <c r="R34" s="665" t="s">
        <v>14</v>
      </c>
      <c r="S34" s="666">
        <f t="shared" si="12"/>
        <v>100</v>
      </c>
      <c r="T34" s="665" t="s">
        <v>14</v>
      </c>
      <c r="U34" s="666">
        <f t="shared" si="13"/>
        <v>100</v>
      </c>
      <c r="V34" s="665" t="s">
        <v>14</v>
      </c>
      <c r="W34" s="666">
        <f t="shared" si="14"/>
        <v>100</v>
      </c>
      <c r="X34" s="1262"/>
      <c r="Y34" s="3485"/>
      <c r="Z34" s="1261">
        <f t="shared" si="15"/>
        <v>111</v>
      </c>
      <c r="AA34" s="1261">
        <f t="shared" si="3"/>
        <v>1</v>
      </c>
      <c r="AB34" s="1261">
        <f t="shared" si="4"/>
        <v>1</v>
      </c>
      <c r="AC34" s="1261">
        <f t="shared" si="5"/>
        <v>1</v>
      </c>
    </row>
    <row r="35" spans="1:29" s="408" customFormat="1" ht="15" hidden="1">
      <c r="A35" s="573"/>
      <c r="B35" s="446">
        <v>111</v>
      </c>
      <c r="C35" s="371"/>
      <c r="D35" s="374">
        <v>100</v>
      </c>
      <c r="E35" s="371"/>
      <c r="F35" s="400">
        <f>SUMIF(99:99,E35,100:100)-SUMIF(99:99,C35,100:100)+100</f>
        <v>100</v>
      </c>
      <c r="G35" s="371"/>
      <c r="H35" s="374">
        <f>SUMIF(99:99,G35,100:100)-SUMIF(99:99,C35,100:100)+100</f>
        <v>100</v>
      </c>
      <c r="I35" s="371"/>
      <c r="J35" s="374">
        <f>SUMIF(99:99,I35,100:100)-SUMIF(99:99,C35,100:100)+100</f>
        <v>100</v>
      </c>
      <c r="K35" s="537"/>
      <c r="L35" s="2487"/>
      <c r="M35" s="2489"/>
      <c r="N35" s="2489"/>
      <c r="O35" s="2489"/>
      <c r="P35" s="3485"/>
      <c r="Q35" s="529">
        <f t="shared" si="11"/>
        <v>111</v>
      </c>
      <c r="R35" s="667" t="s">
        <v>14</v>
      </c>
      <c r="S35" s="668">
        <f t="shared" si="12"/>
        <v>100</v>
      </c>
      <c r="T35" s="667" t="s">
        <v>14</v>
      </c>
      <c r="U35" s="668">
        <f t="shared" si="13"/>
        <v>100</v>
      </c>
      <c r="V35" s="667" t="s">
        <v>14</v>
      </c>
      <c r="W35" s="668">
        <f t="shared" si="14"/>
        <v>100</v>
      </c>
      <c r="X35" s="669"/>
      <c r="Y35" s="3485"/>
      <c r="Z35" s="670">
        <f t="shared" si="15"/>
        <v>111</v>
      </c>
      <c r="AA35" s="1261">
        <f t="shared" si="3"/>
        <v>1</v>
      </c>
      <c r="AB35" s="1261">
        <f t="shared" si="4"/>
        <v>1</v>
      </c>
      <c r="AC35" s="1261">
        <f t="shared" si="5"/>
        <v>1</v>
      </c>
    </row>
    <row r="36" spans="1:29" ht="15.75" hidden="1" thickBot="1">
      <c r="A36" s="578"/>
      <c r="B36" s="557">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7"/>
      <c r="L36" s="2488"/>
      <c r="M36" s="2483"/>
      <c r="N36" s="2483"/>
      <c r="O36" s="2483"/>
      <c r="P36" s="3485"/>
      <c r="Q36" s="1260">
        <f t="shared" si="11"/>
        <v>111</v>
      </c>
      <c r="R36" s="665" t="s">
        <v>14</v>
      </c>
      <c r="S36" s="666">
        <f t="shared" si="12"/>
        <v>100</v>
      </c>
      <c r="T36" s="665" t="s">
        <v>14</v>
      </c>
      <c r="U36" s="666">
        <f t="shared" si="13"/>
        <v>100</v>
      </c>
      <c r="V36" s="665" t="s">
        <v>14</v>
      </c>
      <c r="W36" s="666">
        <f t="shared" si="14"/>
        <v>100</v>
      </c>
      <c r="X36" s="1262"/>
      <c r="Y36" s="3485"/>
      <c r="Z36" s="1261">
        <f t="shared" si="15"/>
        <v>111</v>
      </c>
      <c r="AA36" s="1261">
        <f t="shared" si="3"/>
        <v>1</v>
      </c>
      <c r="AB36" s="1261">
        <f t="shared" si="4"/>
        <v>1</v>
      </c>
      <c r="AC36" s="1261">
        <f t="shared" si="5"/>
        <v>1</v>
      </c>
    </row>
    <row r="37" spans="1:29" ht="15">
      <c r="A37" s="414" t="s">
        <v>1844</v>
      </c>
      <c r="B37" s="1816" t="s">
        <v>5816</v>
      </c>
      <c r="C37" s="1078" t="s">
        <v>0</v>
      </c>
      <c r="D37" s="416"/>
      <c r="E37" s="417">
        <f>[1]车位案例!S20</f>
        <v>422667</v>
      </c>
      <c r="F37" s="418"/>
      <c r="G37" s="419">
        <f>[1]车位案例!S62</f>
        <v>414853</v>
      </c>
      <c r="H37" s="420"/>
      <c r="I37" s="417">
        <f>[1]车位案例!S102</f>
        <v>329864</v>
      </c>
      <c r="J37" s="420"/>
      <c r="K37" s="543"/>
      <c r="L37" s="2490"/>
      <c r="M37" s="2483"/>
      <c r="N37" s="2483"/>
      <c r="O37" s="2483"/>
      <c r="P37" s="3467" t="str">
        <f>A37</f>
        <v>成交单价</v>
      </c>
      <c r="Q37" s="3467"/>
      <c r="R37" s="3480">
        <f>E37</f>
        <v>422667</v>
      </c>
      <c r="S37" s="3480"/>
      <c r="T37" s="3480">
        <f>G37</f>
        <v>414853</v>
      </c>
      <c r="U37" s="3480"/>
      <c r="V37" s="3480">
        <f>I37</f>
        <v>329864</v>
      </c>
      <c r="W37" s="3480"/>
      <c r="X37" s="385"/>
      <c r="Y37" s="671"/>
      <c r="Z37" s="385"/>
      <c r="AA37" s="385"/>
      <c r="AB37" s="385"/>
      <c r="AC37" s="385"/>
    </row>
    <row r="38" spans="1:29" ht="15.75" thickBot="1">
      <c r="A38" s="421" t="s">
        <v>1845</v>
      </c>
      <c r="B38" s="422" t="str">
        <f>B37</f>
        <v>元/车位</v>
      </c>
      <c r="C38" s="1079">
        <f>R39</f>
        <v>403451</v>
      </c>
      <c r="D38" s="2136" t="s">
        <v>5827</v>
      </c>
      <c r="E38" s="1080">
        <f>R38</f>
        <v>418482</v>
      </c>
      <c r="F38" s="2137">
        <v>0.4</v>
      </c>
      <c r="G38" s="1079">
        <f>T38</f>
        <v>414853</v>
      </c>
      <c r="H38" s="2137">
        <v>0.4</v>
      </c>
      <c r="I38" s="1080">
        <f>V38</f>
        <v>350583</v>
      </c>
      <c r="J38" s="2137">
        <v>0.2</v>
      </c>
      <c r="K38" s="2139">
        <f>F38+H38+J38</f>
        <v>1</v>
      </c>
      <c r="L38" s="2490"/>
      <c r="M38" s="2483"/>
      <c r="N38" s="2483"/>
      <c r="O38" s="2483"/>
      <c r="P38" s="3467" t="str">
        <f>A38</f>
        <v>比较价值（元/平方米）</v>
      </c>
      <c r="Q38" s="3467"/>
      <c r="R38" s="3480">
        <f>IF(F1="售价",ROUND(PRODUCT(R37,AA7:AA36),0),ROUND(PRODUCT(R37,AA7:AA36),1))</f>
        <v>418482</v>
      </c>
      <c r="S38" s="3480"/>
      <c r="T38" s="3480">
        <f>IF(F1="售价",ROUND(PRODUCT(T37,AB7:AB36),0),ROUND(PRODUCT(T37,AB7:AB36),1))</f>
        <v>414853</v>
      </c>
      <c r="U38" s="3480"/>
      <c r="V38" s="3480">
        <f>IF(F1="售价",ROUND(PRODUCT(V37,AC7:AC36),0),ROUND(PRODUCT(V37,AC7:AC36),1))</f>
        <v>350583</v>
      </c>
      <c r="W38" s="3480"/>
      <c r="X38" s="385"/>
      <c r="Y38" s="385"/>
      <c r="Z38" s="385"/>
      <c r="AA38" s="385"/>
      <c r="AB38" s="385"/>
      <c r="AC38" s="385"/>
    </row>
    <row r="39" spans="1:29" ht="15.75" thickBot="1">
      <c r="A39" s="425" t="s">
        <v>1846</v>
      </c>
      <c r="B39" s="426"/>
      <c r="C39" s="351">
        <f>R39</f>
        <v>403451</v>
      </c>
      <c r="D39" s="351"/>
      <c r="E39" s="351"/>
      <c r="F39" s="351"/>
      <c r="G39" s="351"/>
      <c r="H39" s="351"/>
      <c r="I39" s="351"/>
      <c r="J39" s="351"/>
      <c r="K39" s="544"/>
      <c r="L39" s="2490"/>
      <c r="M39" s="2483"/>
      <c r="N39" s="2483"/>
      <c r="O39" s="2483"/>
      <c r="P39" s="3487" t="str">
        <f>A39</f>
        <v>估价对象XX用房的比较价值（楼面单价，元/平方米）</v>
      </c>
      <c r="Q39" s="3488"/>
      <c r="R39" s="3541">
        <f>IF(F1="售价",ROUND(IF(D38="简单平均",AVERAGE(R38:W38),R38*F38+T38*H38+V38*J38),0),ROUND(IF(D38="简单平均",AVERAGE(R38:V38),R38*F38+T38*H38+V38*J38),1))</f>
        <v>403451</v>
      </c>
      <c r="S39" s="3541"/>
      <c r="T39" s="3541"/>
      <c r="U39" s="3541"/>
      <c r="V39" s="3541"/>
      <c r="W39" s="3541"/>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0" t="s">
        <v>1847</v>
      </c>
      <c r="D42" s="431"/>
      <c r="E42" s="432">
        <f>IF(E37&lt;E38,E38/E37-1,E37/E38-1)</f>
        <v>1.0000430126027027E-2</v>
      </c>
      <c r="F42" s="433" t="str">
        <f>IF(OR(E42&gt;=0.3,E42&lt;=-0.3),"超过30%","")</f>
        <v/>
      </c>
      <c r="G42" s="432">
        <f>IF(G37&lt;G38,G38/G37-1,G37/G38-1)</f>
        <v>0</v>
      </c>
      <c r="H42" s="433" t="str">
        <f>IF(OR(G42&gt;=0.3,G42&lt;=-0.3),"超过30%","")</f>
        <v/>
      </c>
      <c r="I42" s="432">
        <f>IF(I37&lt;I38,I38/I37-1,I37/I38-1)</f>
        <v>6.2810734120728462E-2</v>
      </c>
      <c r="J42" s="433" t="str">
        <f>IF(OR(I42&gt;=0.3,I42&lt;=-0.3),"超过30%","")</f>
        <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0" t="s">
        <v>1848</v>
      </c>
      <c r="D43" s="434"/>
      <c r="E43" s="432">
        <f>IF(E38&lt;G38,G38/E38-1,E38/G38-1)</f>
        <v>8.7476768879579669E-3</v>
      </c>
      <c r="F43" s="433" t="str">
        <f>IF(OR(E43&gt;=0.2,E43&lt;=-0.2),"超过20%","")</f>
        <v/>
      </c>
      <c r="G43" s="432">
        <f>IF(G38&lt;I38,I38/G38-1,G38/I38-1)</f>
        <v>0.18332320734319696</v>
      </c>
      <c r="H43" s="433" t="str">
        <f>IF(OR(G43&gt;=0.2,G43&lt;=-0.2),"超过20%","")</f>
        <v/>
      </c>
      <c r="I43" s="432">
        <f>IF(I38&lt;E38,E38/I38-1,I38/E38-1)</f>
        <v>0.19367453641505716</v>
      </c>
      <c r="J43" s="433" t="str">
        <f>IF(OR(I43&gt;=0.2,I43&lt;=-0.2),"超过20%","")</f>
        <v/>
      </c>
      <c r="K43" s="2495"/>
      <c r="L43" s="2491"/>
      <c r="M43" s="2483"/>
      <c r="N43" s="2483"/>
      <c r="O43" s="2483"/>
      <c r="P43" s="2520"/>
      <c r="Q43" s="2483"/>
      <c r="R43" s="2483"/>
      <c r="S43" s="2483"/>
      <c r="T43" s="2483"/>
      <c r="U43" s="2483"/>
      <c r="V43" s="2483"/>
      <c r="W43" s="2483"/>
      <c r="X43" s="2483"/>
      <c r="Y43" s="2483"/>
      <c r="Z43" s="2483"/>
      <c r="AA43" s="2483"/>
      <c r="AB43" s="2483"/>
      <c r="AC43" s="2483"/>
    </row>
    <row r="44" spans="1:29" s="435" customFormat="1" ht="13.5" customHeight="1">
      <c r="A44" s="2493"/>
      <c r="B44" s="2493"/>
      <c r="C44" s="430" t="s">
        <v>1849</v>
      </c>
      <c r="D44" s="434"/>
      <c r="E44" s="432">
        <f>IF(E37&lt;G37,G37/E37-1,E37/G37-1)</f>
        <v>1.8835587545467991E-2</v>
      </c>
      <c r="F44" s="433" t="str">
        <f>IF(OR(E44&gt;=0.3,E44&lt;=-0.3),"超过30%","")</f>
        <v/>
      </c>
      <c r="G44" s="432">
        <f>IF(G37&lt;I37,I37/G37-1,G37/I37-1)</f>
        <v>0.25764860669851819</v>
      </c>
      <c r="H44" s="433" t="str">
        <f>IF(OR(G44&gt;=0.3,G44&lt;=-0.3),"超过30%","")</f>
        <v/>
      </c>
      <c r="I44" s="432">
        <f>IF(I37&lt;E37,E37/I37-1,I37/E37-1)</f>
        <v>0.28133715713142382</v>
      </c>
      <c r="J44" s="433" t="str">
        <f>IF(OR(I44&gt;=0.3,I44&lt;=-0.3),"超过30%","")</f>
        <v/>
      </c>
      <c r="K44" s="2498"/>
      <c r="L44" s="2492"/>
      <c r="M44" s="2493"/>
      <c r="N44" s="2493"/>
      <c r="O44" s="2493"/>
      <c r="P44" s="2521"/>
      <c r="Q44" s="2493"/>
      <c r="R44" s="2493"/>
      <c r="S44" s="2493"/>
      <c r="T44" s="2493"/>
      <c r="U44" s="2493"/>
      <c r="V44" s="2493"/>
      <c r="W44" s="2493"/>
      <c r="X44" s="2493"/>
      <c r="Y44" s="2493"/>
      <c r="Z44" s="2493"/>
      <c r="AA44" s="2493"/>
      <c r="AB44" s="2493"/>
      <c r="AC44" s="2493"/>
    </row>
    <row r="45" spans="1:29" s="435"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4" t="s">
        <v>1850</v>
      </c>
      <c r="B47" s="858"/>
      <c r="C47" s="883"/>
      <c r="D47" s="883"/>
      <c r="E47" s="883"/>
      <c r="F47" s="1085"/>
      <c r="G47" s="1085"/>
      <c r="H47" s="883"/>
      <c r="I47" s="883"/>
      <c r="J47" s="883"/>
      <c r="K47" s="884"/>
      <c r="L47" s="885"/>
      <c r="M47" s="883"/>
      <c r="N47" s="2533"/>
      <c r="O47" s="2533"/>
      <c r="P47" s="2522"/>
      <c r="Q47" s="2504"/>
      <c r="R47" s="2483"/>
      <c r="S47" s="2483"/>
      <c r="T47" s="2483"/>
      <c r="U47" s="2483"/>
      <c r="V47" s="2483"/>
      <c r="W47" s="2483"/>
      <c r="X47" s="2483"/>
      <c r="Y47" s="2483"/>
      <c r="Z47" s="2483"/>
      <c r="AA47" s="2483"/>
      <c r="AB47" s="2483"/>
      <c r="AC47" s="2483"/>
    </row>
    <row r="48" spans="1:29" s="440" customFormat="1" ht="15">
      <c r="A48" s="438" t="s">
        <v>1851</v>
      </c>
      <c r="B48" s="439"/>
      <c r="C48" s="1100" t="str">
        <f>YEAR(C7)&amp;"-"&amp;MONTH(C7)</f>
        <v>2025-5</v>
      </c>
      <c r="D48" s="1101">
        <f>EDATE(C48,-1)</f>
        <v>45748</v>
      </c>
      <c r="E48" s="1101">
        <f t="shared" ref="E48:O48" si="16">EDATE(D48,-1)</f>
        <v>45717</v>
      </c>
      <c r="F48" s="1101">
        <f t="shared" si="16"/>
        <v>45689</v>
      </c>
      <c r="G48" s="1101">
        <f t="shared" si="16"/>
        <v>45658</v>
      </c>
      <c r="H48" s="1101">
        <f t="shared" si="16"/>
        <v>45627</v>
      </c>
      <c r="I48" s="1101">
        <f t="shared" si="16"/>
        <v>45597</v>
      </c>
      <c r="J48" s="1101">
        <f t="shared" si="16"/>
        <v>45566</v>
      </c>
      <c r="K48" s="1101">
        <f t="shared" si="16"/>
        <v>45536</v>
      </c>
      <c r="L48" s="1101">
        <f t="shared" si="16"/>
        <v>45505</v>
      </c>
      <c r="M48" s="1101">
        <f t="shared" si="16"/>
        <v>45474</v>
      </c>
      <c r="N48" s="1101">
        <f t="shared" si="16"/>
        <v>45444</v>
      </c>
      <c r="O48" s="1101">
        <f t="shared" si="16"/>
        <v>45413</v>
      </c>
      <c r="P48" s="2523"/>
      <c r="Q48" s="2506"/>
      <c r="R48" s="2506"/>
      <c r="S48" s="2506"/>
      <c r="T48" s="2506"/>
      <c r="U48" s="2506"/>
      <c r="V48" s="2506"/>
      <c r="W48" s="2506"/>
      <c r="X48" s="2506"/>
      <c r="Y48" s="2506"/>
      <c r="Z48" s="2506"/>
      <c r="AA48" s="2506"/>
      <c r="AB48" s="2506"/>
      <c r="AC48" s="2506"/>
    </row>
    <row r="49" spans="1:29" s="102" customFormat="1" ht="15">
      <c r="A49" s="441"/>
      <c r="B49" s="442"/>
      <c r="C49" s="1094">
        <v>100</v>
      </c>
      <c r="D49" s="444"/>
      <c r="E49" s="444"/>
      <c r="F49" s="444"/>
      <c r="G49" s="444"/>
      <c r="H49" s="444"/>
      <c r="I49" s="444"/>
      <c r="J49" s="444"/>
      <c r="K49" s="444"/>
      <c r="L49" s="444"/>
      <c r="M49" s="445"/>
      <c r="N49" s="444"/>
      <c r="O49" s="445"/>
      <c r="P49" s="2524"/>
      <c r="Q49" s="2435"/>
      <c r="R49" s="2435"/>
      <c r="S49" s="2435"/>
      <c r="T49" s="2435"/>
      <c r="U49" s="2435"/>
      <c r="V49" s="2435"/>
      <c r="W49" s="2435"/>
      <c r="X49" s="2435"/>
      <c r="Y49" s="2435"/>
      <c r="Z49" s="2435"/>
      <c r="AA49" s="2435"/>
      <c r="AB49" s="2435"/>
      <c r="AC49" s="2435"/>
    </row>
    <row r="50" spans="1:29" s="102" customFormat="1" ht="15.75" thickBot="1">
      <c r="A50" s="447" t="s">
        <v>1716</v>
      </c>
      <c r="B50" s="448"/>
      <c r="C50" s="449"/>
      <c r="D50" s="450"/>
      <c r="E50" s="450"/>
      <c r="F50" s="450"/>
      <c r="G50" s="450"/>
      <c r="H50" s="450"/>
      <c r="I50" s="450"/>
      <c r="J50" s="450"/>
      <c r="K50" s="450"/>
      <c r="L50" s="450"/>
      <c r="M50" s="451"/>
      <c r="N50" s="450"/>
      <c r="O50" s="451"/>
      <c r="P50" s="2524"/>
      <c r="Q50" s="2504"/>
      <c r="R50" s="2435"/>
      <c r="S50" s="2435"/>
      <c r="T50" s="2435"/>
      <c r="U50" s="2435"/>
      <c r="V50" s="2435"/>
      <c r="W50" s="2435"/>
      <c r="X50" s="2435"/>
      <c r="Y50" s="2435"/>
      <c r="Z50" s="2435"/>
      <c r="AA50" s="2435"/>
      <c r="AB50" s="2435"/>
      <c r="AC50" s="2435"/>
    </row>
    <row r="51" spans="1:29" s="102" customFormat="1" ht="15">
      <c r="A51" s="453" t="s">
        <v>1681</v>
      </c>
      <c r="B51" s="442"/>
      <c r="C51" s="454" t="s">
        <v>1776</v>
      </c>
      <c r="D51" s="31"/>
      <c r="E51" s="31"/>
      <c r="F51" s="31"/>
      <c r="G51" s="31"/>
      <c r="H51" s="31"/>
      <c r="I51" s="31"/>
      <c r="J51" s="31"/>
      <c r="K51" s="31"/>
      <c r="L51" s="455"/>
      <c r="M51" s="456"/>
      <c r="N51" s="2516"/>
      <c r="O51" s="2516"/>
      <c r="P51" s="2525"/>
      <c r="Q51" s="2504"/>
      <c r="R51" s="2435"/>
      <c r="S51" s="2435"/>
      <c r="T51" s="2435"/>
      <c r="U51" s="2435"/>
      <c r="V51" s="2435"/>
      <c r="W51" s="2435"/>
      <c r="X51" s="2435"/>
      <c r="Y51" s="2435"/>
      <c r="Z51" s="2435"/>
      <c r="AA51" s="2435"/>
      <c r="AB51" s="2435"/>
      <c r="AC51" s="2435"/>
    </row>
    <row r="52" spans="1:29" s="102" customFormat="1" ht="15.75" thickBot="1">
      <c r="A52" s="453"/>
      <c r="B52" s="442"/>
      <c r="C52" s="561">
        <v>100</v>
      </c>
      <c r="D52" s="444"/>
      <c r="E52" s="444"/>
      <c r="F52" s="444"/>
      <c r="G52" s="444"/>
      <c r="H52" s="444"/>
      <c r="I52" s="444"/>
      <c r="J52" s="444"/>
      <c r="K52" s="444"/>
      <c r="L52" s="444"/>
      <c r="M52" s="446"/>
      <c r="N52" s="2516"/>
      <c r="O52" s="2516"/>
      <c r="P52" s="2524"/>
      <c r="Q52" s="2504"/>
      <c r="R52" s="2435"/>
      <c r="S52" s="2435"/>
      <c r="T52" s="2435"/>
      <c r="U52" s="2435"/>
      <c r="V52" s="2435"/>
      <c r="W52" s="2435"/>
      <c r="X52" s="2435"/>
      <c r="Y52" s="2435"/>
      <c r="Z52" s="2435"/>
      <c r="AA52" s="2435"/>
      <c r="AB52" s="2435"/>
      <c r="AC52" s="2435"/>
    </row>
    <row r="53" spans="1:29">
      <c r="A53" s="379" t="s">
        <v>1719</v>
      </c>
      <c r="B53" s="458" t="s">
        <v>1685</v>
      </c>
      <c r="C53" s="459" t="str">
        <f>C9</f>
        <v>车位</v>
      </c>
      <c r="D53" s="460"/>
      <c r="E53" s="460"/>
      <c r="F53" s="460"/>
      <c r="G53" s="460"/>
      <c r="H53" s="460"/>
      <c r="I53" s="460"/>
      <c r="J53" s="460"/>
      <c r="K53" s="461"/>
      <c r="L53" s="462"/>
      <c r="M53" s="463"/>
      <c r="N53" s="2517"/>
      <c r="O53" s="2517"/>
      <c r="P53" s="2526"/>
      <c r="Q53" s="2504"/>
      <c r="R53" s="2483"/>
      <c r="S53" s="2483"/>
      <c r="T53" s="2483"/>
      <c r="U53" s="2483"/>
      <c r="V53" s="2483"/>
      <c r="W53" s="2483"/>
      <c r="X53" s="2483"/>
      <c r="Y53" s="2483"/>
      <c r="Z53" s="2483"/>
      <c r="AA53" s="2483"/>
      <c r="AB53" s="2483"/>
      <c r="AC53" s="2483"/>
    </row>
    <row r="54" spans="1:29" ht="15.75" thickBot="1">
      <c r="A54" s="367"/>
      <c r="B54" s="464"/>
      <c r="C54" s="465">
        <v>100</v>
      </c>
      <c r="D54" s="465"/>
      <c r="E54" s="465"/>
      <c r="F54" s="465"/>
      <c r="G54" s="465"/>
      <c r="H54" s="465"/>
      <c r="I54" s="465"/>
      <c r="J54" s="465"/>
      <c r="K54" s="465"/>
      <c r="L54" s="465"/>
      <c r="M54" s="466"/>
      <c r="N54" s="2518"/>
      <c r="O54" s="2518"/>
      <c r="P54" s="2526"/>
      <c r="Q54" s="2504"/>
      <c r="R54" s="2483"/>
      <c r="S54" s="2483"/>
      <c r="T54" s="2483"/>
      <c r="U54" s="2483"/>
      <c r="V54" s="2483"/>
      <c r="W54" s="2483"/>
      <c r="X54" s="2483"/>
      <c r="Y54" s="2483"/>
      <c r="Z54" s="2483"/>
      <c r="AA54" s="2483"/>
      <c r="AB54" s="2483"/>
      <c r="AC54" s="2483"/>
    </row>
    <row r="55" spans="1:29" ht="27.75" thickTop="1">
      <c r="A55" s="367"/>
      <c r="B55" s="467" t="s">
        <v>1688</v>
      </c>
      <c r="C55" s="511"/>
      <c r="D55" s="511"/>
      <c r="E55" s="511"/>
      <c r="F55" s="511"/>
      <c r="G55" s="511"/>
      <c r="H55" s="511"/>
      <c r="I55" s="511"/>
      <c r="J55" s="511"/>
      <c r="K55" s="512"/>
      <c r="L55" s="513"/>
      <c r="M55" s="514"/>
      <c r="N55" s="2517"/>
      <c r="O55" s="2517"/>
      <c r="P55" s="2526"/>
      <c r="Q55" s="2504"/>
      <c r="R55" s="2483"/>
      <c r="S55" s="2483"/>
      <c r="T55" s="2483"/>
      <c r="U55" s="2483"/>
      <c r="V55" s="2483"/>
      <c r="W55" s="2483"/>
      <c r="X55" s="2483"/>
      <c r="Y55" s="2483"/>
      <c r="Z55" s="2483"/>
      <c r="AA55" s="2483"/>
      <c r="AB55" s="2483"/>
      <c r="AC55" s="2483"/>
    </row>
    <row r="56" spans="1:29" ht="15.75" thickBot="1">
      <c r="A56" s="367"/>
      <c r="B56" s="472"/>
      <c r="C56" s="465"/>
      <c r="D56" s="465"/>
      <c r="E56" s="465"/>
      <c r="F56" s="465"/>
      <c r="G56" s="465"/>
      <c r="H56" s="465"/>
      <c r="I56" s="465"/>
      <c r="J56" s="465"/>
      <c r="K56" s="465"/>
      <c r="L56" s="465"/>
      <c r="M56" s="466"/>
      <c r="N56" s="2518"/>
      <c r="O56" s="2518"/>
      <c r="P56" s="2526"/>
      <c r="Q56" s="2504"/>
      <c r="R56" s="2483"/>
      <c r="S56" s="2483"/>
      <c r="T56" s="2483"/>
      <c r="U56" s="2483"/>
      <c r="V56" s="2483"/>
      <c r="W56" s="2483"/>
      <c r="X56" s="2483"/>
      <c r="Y56" s="2483"/>
      <c r="Z56" s="2483"/>
      <c r="AA56" s="2483"/>
      <c r="AB56" s="2483"/>
      <c r="AC56" s="2483"/>
    </row>
    <row r="57" spans="1:29" ht="15.75" thickTop="1">
      <c r="A57" s="367"/>
      <c r="B57" s="579">
        <f>B11</f>
        <v>111</v>
      </c>
      <c r="C57" s="478"/>
      <c r="D57" s="478"/>
      <c r="E57" s="478"/>
      <c r="F57" s="478"/>
      <c r="G57" s="478"/>
      <c r="H57" s="478"/>
      <c r="I57" s="478"/>
      <c r="J57" s="478"/>
      <c r="K57" s="479"/>
      <c r="L57" s="480"/>
      <c r="M57" s="481"/>
      <c r="N57" s="2517"/>
      <c r="O57" s="2517"/>
      <c r="P57" s="2526"/>
      <c r="Q57" s="2504"/>
      <c r="R57" s="2483"/>
      <c r="S57" s="2483"/>
      <c r="T57" s="2483"/>
      <c r="U57" s="2483"/>
      <c r="V57" s="2483"/>
      <c r="W57" s="2483"/>
      <c r="X57" s="2483"/>
      <c r="Y57" s="2483"/>
      <c r="Z57" s="2483"/>
      <c r="AA57" s="2483"/>
      <c r="AB57" s="2483"/>
      <c r="AC57" s="2483"/>
    </row>
    <row r="58" spans="1:29" ht="15.75" thickBot="1">
      <c r="A58" s="367"/>
      <c r="B58" s="464"/>
      <c r="C58" s="489"/>
      <c r="D58" s="465"/>
      <c r="E58" s="465"/>
      <c r="F58" s="465"/>
      <c r="G58" s="465"/>
      <c r="H58" s="465"/>
      <c r="I58" s="465"/>
      <c r="J58" s="465"/>
      <c r="K58" s="465"/>
      <c r="L58" s="465"/>
      <c r="M58" s="466"/>
      <c r="N58" s="2518"/>
      <c r="O58" s="2518"/>
      <c r="P58" s="2526"/>
      <c r="Q58" s="2504"/>
      <c r="R58" s="2483"/>
      <c r="S58" s="2483"/>
      <c r="T58" s="2483"/>
      <c r="U58" s="2483"/>
      <c r="V58" s="2483"/>
      <c r="W58" s="2483"/>
      <c r="X58" s="2483"/>
      <c r="Y58" s="2483"/>
      <c r="Z58" s="2483"/>
      <c r="AA58" s="2483"/>
      <c r="AB58" s="2483"/>
      <c r="AC58" s="2483"/>
    </row>
    <row r="59" spans="1:29" s="408" customFormat="1" ht="15.75" thickTop="1">
      <c r="A59" s="482"/>
      <c r="B59" s="467">
        <f>B12</f>
        <v>111</v>
      </c>
      <c r="C59" s="478"/>
      <c r="D59" s="478"/>
      <c r="E59" s="478"/>
      <c r="F59" s="478"/>
      <c r="G59" s="483"/>
      <c r="H59" s="484"/>
      <c r="I59" s="484"/>
      <c r="J59" s="484"/>
      <c r="K59" s="484"/>
      <c r="L59" s="485"/>
      <c r="M59" s="486"/>
      <c r="N59" s="2519"/>
      <c r="O59" s="2519"/>
      <c r="P59" s="2527"/>
      <c r="Q59" s="2511"/>
      <c r="R59" s="2489"/>
      <c r="S59" s="2489"/>
      <c r="T59" s="2489"/>
      <c r="U59" s="2489"/>
      <c r="V59" s="2489"/>
      <c r="W59" s="2489"/>
      <c r="X59" s="2489"/>
      <c r="Y59" s="2489"/>
      <c r="Z59" s="2489"/>
      <c r="AA59" s="2489"/>
      <c r="AB59" s="2489"/>
      <c r="AC59" s="2489"/>
    </row>
    <row r="60" spans="1:29" s="408" customFormat="1" ht="15.75" thickBot="1">
      <c r="A60" s="482"/>
      <c r="B60" s="472"/>
      <c r="C60" s="489"/>
      <c r="D60" s="465"/>
      <c r="E60" s="465"/>
      <c r="F60" s="465"/>
      <c r="G60" s="465"/>
      <c r="H60" s="465"/>
      <c r="I60" s="465"/>
      <c r="J60" s="465"/>
      <c r="K60" s="465"/>
      <c r="L60" s="465"/>
      <c r="M60" s="466"/>
      <c r="N60" s="2518"/>
      <c r="O60" s="2518"/>
      <c r="P60" s="2527"/>
      <c r="Q60" s="2511"/>
      <c r="R60" s="2489"/>
      <c r="S60" s="2489"/>
      <c r="T60" s="2489"/>
      <c r="U60" s="2489"/>
      <c r="V60" s="2489"/>
      <c r="W60" s="2489"/>
      <c r="X60" s="2489"/>
      <c r="Y60" s="2489"/>
      <c r="Z60" s="2489"/>
      <c r="AA60" s="2489"/>
      <c r="AB60" s="2489"/>
      <c r="AC60" s="2489"/>
    </row>
    <row r="61" spans="1:29" s="408" customFormat="1" ht="15.75" thickTop="1">
      <c r="A61" s="482"/>
      <c r="B61" s="467">
        <f>B13</f>
        <v>111</v>
      </c>
      <c r="C61" s="483"/>
      <c r="D61" s="483"/>
      <c r="E61" s="483"/>
      <c r="F61" s="483"/>
      <c r="G61" s="483"/>
      <c r="H61" s="484"/>
      <c r="I61" s="484"/>
      <c r="J61" s="484"/>
      <c r="K61" s="484"/>
      <c r="L61" s="485"/>
      <c r="M61" s="486"/>
      <c r="N61" s="2519"/>
      <c r="O61" s="2519"/>
      <c r="P61" s="2528"/>
      <c r="Q61" s="2513"/>
      <c r="R61" s="2489"/>
      <c r="S61" s="2489"/>
      <c r="T61" s="2489"/>
      <c r="U61" s="2489"/>
      <c r="V61" s="2489"/>
      <c r="W61" s="2489"/>
      <c r="X61" s="2489"/>
      <c r="Y61" s="2489"/>
      <c r="Z61" s="2489"/>
      <c r="AA61" s="2489"/>
      <c r="AB61" s="2489"/>
      <c r="AC61" s="2489"/>
    </row>
    <row r="62" spans="1:29" s="408" customFormat="1" ht="15.75" thickBot="1">
      <c r="A62" s="482"/>
      <c r="B62" s="472"/>
      <c r="C62" s="489"/>
      <c r="D62" s="489"/>
      <c r="E62" s="489"/>
      <c r="F62" s="489"/>
      <c r="G62" s="489"/>
      <c r="H62" s="491"/>
      <c r="I62" s="491"/>
      <c r="J62" s="491"/>
      <c r="K62" s="491"/>
      <c r="L62" s="491"/>
      <c r="M62" s="492"/>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58" t="s">
        <v>1726</v>
      </c>
      <c r="C63" s="502" t="s">
        <v>1721</v>
      </c>
      <c r="D63" s="502" t="s">
        <v>1722</v>
      </c>
      <c r="E63" s="502" t="s">
        <v>1723</v>
      </c>
      <c r="F63" s="502" t="s">
        <v>1724</v>
      </c>
      <c r="G63" s="502" t="s">
        <v>1725</v>
      </c>
      <c r="H63" s="459"/>
      <c r="I63" s="459"/>
      <c r="J63" s="459"/>
      <c r="K63" s="503"/>
      <c r="L63" s="504"/>
      <c r="M63" s="505"/>
      <c r="N63" s="2517"/>
      <c r="O63" s="2517"/>
      <c r="P63" s="2530"/>
      <c r="Q63" s="2504"/>
      <c r="R63" s="2483"/>
      <c r="S63" s="2483"/>
      <c r="T63" s="2483"/>
      <c r="U63" s="2483"/>
      <c r="V63" s="2483"/>
      <c r="W63" s="2483"/>
      <c r="X63" s="2483"/>
      <c r="Y63" s="2483"/>
      <c r="Z63" s="2483"/>
      <c r="AA63" s="2483"/>
      <c r="AB63" s="2483"/>
      <c r="AC63" s="2483"/>
    </row>
    <row r="64" spans="1:29" ht="15.75" thickBot="1">
      <c r="A64" s="367"/>
      <c r="B64" s="472"/>
      <c r="C64" s="473">
        <v>100</v>
      </c>
      <c r="D64" s="473">
        <f>C64-$K14</f>
        <v>97</v>
      </c>
      <c r="E64" s="473">
        <f>D64-$K14</f>
        <v>94</v>
      </c>
      <c r="F64" s="473">
        <f>E64-$K14</f>
        <v>91</v>
      </c>
      <c r="G64" s="473">
        <f>F64-$K14</f>
        <v>88</v>
      </c>
      <c r="H64" s="473"/>
      <c r="I64" s="473"/>
      <c r="J64" s="473"/>
      <c r="K64" s="473"/>
      <c r="L64" s="473"/>
      <c r="M64" s="474"/>
      <c r="N64" s="2518"/>
      <c r="O64" s="2518"/>
      <c r="P64" s="2526"/>
      <c r="Q64" s="2504"/>
      <c r="R64" s="2483"/>
      <c r="S64" s="2483"/>
      <c r="T64" s="2483"/>
      <c r="U64" s="2483"/>
      <c r="V64" s="2483"/>
      <c r="W64" s="2483"/>
      <c r="X64" s="2483"/>
      <c r="Y64" s="2483"/>
      <c r="Z64" s="2483"/>
      <c r="AA64" s="2483"/>
      <c r="AB64" s="2483"/>
      <c r="AC64" s="2483"/>
    </row>
    <row r="65" spans="1:29" ht="15.75" thickTop="1">
      <c r="A65" s="367"/>
      <c r="B65" s="467" t="s">
        <v>1727</v>
      </c>
      <c r="C65" s="507" t="s">
        <v>1721</v>
      </c>
      <c r="D65" s="507" t="s">
        <v>1722</v>
      </c>
      <c r="E65" s="507" t="s">
        <v>1723</v>
      </c>
      <c r="F65" s="507" t="s">
        <v>1724</v>
      </c>
      <c r="G65" s="507" t="s">
        <v>1725</v>
      </c>
      <c r="H65" s="468"/>
      <c r="I65" s="468"/>
      <c r="J65" s="468"/>
      <c r="K65" s="469"/>
      <c r="L65" s="470"/>
      <c r="M65" s="471"/>
      <c r="N65" s="2517"/>
      <c r="O65" s="2517"/>
      <c r="P65" s="2526"/>
      <c r="Q65" s="2504"/>
      <c r="R65" s="2483"/>
      <c r="S65" s="2483"/>
      <c r="T65" s="2483"/>
      <c r="U65" s="2483"/>
      <c r="V65" s="2483"/>
      <c r="W65" s="2483"/>
      <c r="X65" s="2483"/>
      <c r="Y65" s="2483"/>
      <c r="Z65" s="2483"/>
      <c r="AA65" s="2483"/>
      <c r="AB65" s="2483"/>
      <c r="AC65" s="2483"/>
    </row>
    <row r="66" spans="1:29" ht="15.75" thickBot="1">
      <c r="A66" s="367"/>
      <c r="B66" s="472"/>
      <c r="C66" s="473">
        <v>100</v>
      </c>
      <c r="D66" s="473">
        <f>C66-$K16</f>
        <v>97</v>
      </c>
      <c r="E66" s="473">
        <f>D66-$K16</f>
        <v>94</v>
      </c>
      <c r="F66" s="473">
        <f>E66-$K16</f>
        <v>91</v>
      </c>
      <c r="G66" s="473">
        <f>F66-$K16</f>
        <v>88</v>
      </c>
      <c r="H66" s="473"/>
      <c r="I66" s="473"/>
      <c r="J66" s="473"/>
      <c r="K66" s="473"/>
      <c r="L66" s="473"/>
      <c r="M66" s="474"/>
      <c r="N66" s="2518"/>
      <c r="O66" s="2518"/>
      <c r="P66" s="2526"/>
      <c r="Q66" s="2504"/>
      <c r="R66" s="2483"/>
      <c r="S66" s="2483"/>
      <c r="T66" s="2483"/>
      <c r="U66" s="2483"/>
      <c r="V66" s="2483"/>
      <c r="W66" s="2483"/>
      <c r="X66" s="2483"/>
      <c r="Y66" s="2483"/>
      <c r="Z66" s="2483"/>
      <c r="AA66" s="2483"/>
      <c r="AB66" s="2483"/>
      <c r="AC66" s="2483"/>
    </row>
    <row r="67" spans="1:29" ht="15.75" thickTop="1">
      <c r="A67" s="367"/>
      <c r="B67" s="475" t="s">
        <v>1813</v>
      </c>
      <c r="C67" s="579" t="s">
        <v>1799</v>
      </c>
      <c r="D67" s="579" t="s">
        <v>1800</v>
      </c>
      <c r="E67" s="579" t="s">
        <v>1801</v>
      </c>
      <c r="F67" s="579" t="s">
        <v>1802</v>
      </c>
      <c r="G67" s="579" t="s">
        <v>1803</v>
      </c>
      <c r="H67" s="468"/>
      <c r="I67" s="468"/>
      <c r="J67" s="468"/>
      <c r="K67" s="468"/>
      <c r="L67" s="468"/>
      <c r="M67" s="1060"/>
      <c r="N67" s="2518"/>
      <c r="O67" s="2518"/>
      <c r="P67" s="2526"/>
      <c r="Q67" s="2504"/>
      <c r="R67" s="2483"/>
      <c r="S67" s="2483"/>
      <c r="T67" s="2483"/>
      <c r="U67" s="2483"/>
      <c r="V67" s="2483"/>
      <c r="W67" s="2483"/>
      <c r="X67" s="2483"/>
      <c r="Y67" s="2483"/>
      <c r="Z67" s="2483"/>
      <c r="AA67" s="2483"/>
      <c r="AB67" s="2483"/>
      <c r="AC67" s="2483"/>
    </row>
    <row r="68" spans="1:29" ht="15.75" thickBot="1">
      <c r="A68" s="367"/>
      <c r="B68" s="475"/>
      <c r="C68" s="473">
        <v>100</v>
      </c>
      <c r="D68" s="473">
        <f>C68-$K18</f>
        <v>98</v>
      </c>
      <c r="E68" s="473">
        <f>D68-$K18</f>
        <v>96</v>
      </c>
      <c r="F68" s="473">
        <f>E68-$K18</f>
        <v>94</v>
      </c>
      <c r="G68" s="473">
        <f>F68-$K18</f>
        <v>92</v>
      </c>
      <c r="H68" s="579"/>
      <c r="I68" s="579"/>
      <c r="J68" s="579"/>
      <c r="K68" s="579"/>
      <c r="L68" s="579"/>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7" t="s">
        <v>1733</v>
      </c>
      <c r="C69" s="507" t="s">
        <v>1721</v>
      </c>
      <c r="D69" s="507" t="s">
        <v>1722</v>
      </c>
      <c r="E69" s="507" t="s">
        <v>1723</v>
      </c>
      <c r="F69" s="507" t="s">
        <v>1724</v>
      </c>
      <c r="G69" s="507" t="s">
        <v>1725</v>
      </c>
      <c r="H69" s="468"/>
      <c r="I69" s="468"/>
      <c r="J69" s="468"/>
      <c r="K69" s="469"/>
      <c r="L69" s="470"/>
      <c r="M69" s="471"/>
      <c r="N69" s="2517"/>
      <c r="O69" s="2517"/>
      <c r="P69" s="2526"/>
      <c r="Q69" s="2504"/>
      <c r="R69" s="2483"/>
      <c r="S69" s="2483"/>
      <c r="T69" s="2483"/>
      <c r="U69" s="2483"/>
      <c r="V69" s="2483"/>
      <c r="W69" s="2483"/>
      <c r="X69" s="2483"/>
      <c r="Y69" s="2483"/>
      <c r="Z69" s="2483"/>
      <c r="AA69" s="2483"/>
      <c r="AB69" s="2483"/>
      <c r="AC69" s="2483"/>
    </row>
    <row r="70" spans="1:29" ht="15.75" thickBot="1">
      <c r="A70" s="367"/>
      <c r="B70" s="472"/>
      <c r="C70" s="473">
        <v>100</v>
      </c>
      <c r="D70" s="473">
        <f>C70-$K20</f>
        <v>97</v>
      </c>
      <c r="E70" s="473">
        <f>D70-$K20</f>
        <v>94</v>
      </c>
      <c r="F70" s="473">
        <f>E70-$K20</f>
        <v>91</v>
      </c>
      <c r="G70" s="473">
        <f>F70-$K20</f>
        <v>88</v>
      </c>
      <c r="H70" s="473"/>
      <c r="I70" s="473"/>
      <c r="J70" s="473"/>
      <c r="K70" s="473"/>
      <c r="L70" s="473"/>
      <c r="M70" s="474"/>
      <c r="N70" s="2518"/>
      <c r="O70" s="2518"/>
      <c r="P70" s="2526"/>
      <c r="Q70" s="2504"/>
      <c r="R70" s="2483"/>
      <c r="S70" s="2483"/>
      <c r="T70" s="2483"/>
      <c r="U70" s="2483"/>
      <c r="V70" s="2483"/>
      <c r="W70" s="2483"/>
      <c r="X70" s="2483"/>
      <c r="Y70" s="2483"/>
      <c r="Z70" s="2483"/>
      <c r="AA70" s="2483"/>
      <c r="AB70" s="2483"/>
      <c r="AC70" s="2483"/>
    </row>
    <row r="71" spans="1:29" ht="15.75" thickTop="1">
      <c r="A71" s="367"/>
      <c r="B71" s="467" t="s">
        <v>1852</v>
      </c>
      <c r="C71" s="483"/>
      <c r="D71" s="483"/>
      <c r="E71" s="483"/>
      <c r="F71" s="483"/>
      <c r="G71" s="483"/>
      <c r="H71" s="511"/>
      <c r="I71" s="511"/>
      <c r="J71" s="511"/>
      <c r="K71" s="512"/>
      <c r="L71" s="513"/>
      <c r="M71" s="514"/>
      <c r="N71" s="2517"/>
      <c r="O71" s="2517"/>
      <c r="P71" s="2526"/>
      <c r="Q71" s="2504"/>
      <c r="R71" s="2483"/>
      <c r="S71" s="2483"/>
      <c r="T71" s="2483"/>
      <c r="U71" s="2483"/>
      <c r="V71" s="2483"/>
      <c r="W71" s="2483"/>
      <c r="X71" s="2483"/>
      <c r="Y71" s="2483"/>
      <c r="Z71" s="2483"/>
      <c r="AA71" s="2483"/>
      <c r="AB71" s="2483"/>
      <c r="AC71" s="2483"/>
    </row>
    <row r="72" spans="1:29" ht="15.75" thickBot="1">
      <c r="A72" s="367"/>
      <c r="B72" s="472"/>
      <c r="C72" s="473">
        <v>100</v>
      </c>
      <c r="D72" s="473">
        <f>C72-$K22</f>
        <v>100</v>
      </c>
      <c r="E72" s="473">
        <f>D72-$K22</f>
        <v>100</v>
      </c>
      <c r="F72" s="473">
        <f>E72-$K22</f>
        <v>100</v>
      </c>
      <c r="G72" s="473">
        <f>F72-$K22</f>
        <v>100</v>
      </c>
      <c r="H72" s="473"/>
      <c r="I72" s="473"/>
      <c r="J72" s="473"/>
      <c r="K72" s="473"/>
      <c r="L72" s="473"/>
      <c r="M72" s="474"/>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7">
        <f>B23</f>
        <v>111</v>
      </c>
      <c r="C73" s="478"/>
      <c r="D73" s="478"/>
      <c r="E73" s="478"/>
      <c r="F73" s="478"/>
      <c r="G73" s="483"/>
      <c r="H73" s="483"/>
      <c r="I73" s="483"/>
      <c r="J73" s="483"/>
      <c r="K73" s="483"/>
      <c r="L73" s="508"/>
      <c r="M73" s="509"/>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2"/>
      <c r="C74" s="489"/>
      <c r="D74" s="465"/>
      <c r="E74" s="465"/>
      <c r="F74" s="465"/>
      <c r="G74" s="465"/>
      <c r="H74" s="465"/>
      <c r="I74" s="465"/>
      <c r="J74" s="465"/>
      <c r="K74" s="465"/>
      <c r="L74" s="465"/>
      <c r="M74" s="466"/>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7">
        <f>B24</f>
        <v>111</v>
      </c>
      <c r="C75" s="478"/>
      <c r="D75" s="478"/>
      <c r="E75" s="478"/>
      <c r="F75" s="478"/>
      <c r="G75" s="483"/>
      <c r="H75" s="483"/>
      <c r="I75" s="483"/>
      <c r="J75" s="483"/>
      <c r="K75" s="483"/>
      <c r="L75" s="483"/>
      <c r="M75" s="509"/>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2"/>
      <c r="C76" s="489"/>
      <c r="D76" s="465"/>
      <c r="E76" s="465"/>
      <c r="F76" s="465"/>
      <c r="G76" s="465"/>
      <c r="H76" s="465"/>
      <c r="I76" s="465"/>
      <c r="J76" s="465"/>
      <c r="K76" s="465"/>
      <c r="L76" s="465"/>
      <c r="M76" s="466"/>
      <c r="N76" s="2518"/>
      <c r="O76" s="2518"/>
      <c r="P76" s="2526"/>
      <c r="Q76" s="2504"/>
      <c r="R76" s="2435"/>
      <c r="S76" s="2435"/>
      <c r="T76" s="2435"/>
      <c r="U76" s="2435"/>
      <c r="V76" s="2435"/>
      <c r="W76" s="2435"/>
      <c r="X76" s="2435"/>
      <c r="Y76" s="2435"/>
      <c r="Z76" s="2435"/>
      <c r="AA76" s="2435"/>
      <c r="AB76" s="2435"/>
      <c r="AC76" s="2435"/>
    </row>
    <row r="77" spans="1:29" s="408" customFormat="1" ht="15.75" thickTop="1">
      <c r="A77" s="482"/>
      <c r="B77" s="467">
        <f>B25</f>
        <v>111</v>
      </c>
      <c r="C77" s="483"/>
      <c r="D77" s="483"/>
      <c r="E77" s="483"/>
      <c r="F77" s="483"/>
      <c r="G77" s="483"/>
      <c r="H77" s="484"/>
      <c r="I77" s="484"/>
      <c r="J77" s="484"/>
      <c r="K77" s="484"/>
      <c r="L77" s="485"/>
      <c r="M77" s="486"/>
      <c r="N77" s="2519"/>
      <c r="O77" s="2519"/>
      <c r="P77" s="2527"/>
      <c r="Q77" s="2511"/>
      <c r="R77" s="2489"/>
      <c r="S77" s="2489"/>
      <c r="T77" s="2489"/>
      <c r="U77" s="2489"/>
      <c r="V77" s="2489"/>
      <c r="W77" s="2489"/>
      <c r="X77" s="2489"/>
      <c r="Y77" s="2489"/>
      <c r="Z77" s="2489"/>
      <c r="AA77" s="2489"/>
      <c r="AB77" s="2489"/>
      <c r="AC77" s="2489"/>
    </row>
    <row r="78" spans="1:29" s="408" customFormat="1" ht="15.75" thickBot="1">
      <c r="A78" s="482"/>
      <c r="B78" s="472"/>
      <c r="C78" s="489"/>
      <c r="D78" s="489"/>
      <c r="E78" s="489"/>
      <c r="F78" s="489"/>
      <c r="G78" s="465"/>
      <c r="H78" s="465"/>
      <c r="I78" s="465"/>
      <c r="J78" s="465"/>
      <c r="K78" s="465"/>
      <c r="L78" s="465"/>
      <c r="M78" s="466"/>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58" t="s">
        <v>1853</v>
      </c>
      <c r="C79" s="459" t="str">
        <f>C26</f>
        <v>住宅</v>
      </c>
      <c r="D79" s="460"/>
      <c r="E79" s="460"/>
      <c r="F79" s="460"/>
      <c r="G79" s="460"/>
      <c r="H79" s="460"/>
      <c r="I79" s="460"/>
      <c r="J79" s="460"/>
      <c r="K79" s="461"/>
      <c r="L79" s="462"/>
      <c r="M79" s="463"/>
      <c r="N79" s="2517"/>
      <c r="O79" s="2517"/>
      <c r="P79" s="2526"/>
      <c r="Q79" s="2504"/>
      <c r="R79" s="2483"/>
      <c r="S79" s="2483"/>
      <c r="T79" s="2483"/>
      <c r="U79" s="2483"/>
      <c r="V79" s="2483"/>
      <c r="W79" s="2483"/>
      <c r="X79" s="2483"/>
      <c r="Y79" s="2483"/>
      <c r="Z79" s="2483"/>
      <c r="AA79" s="2483"/>
      <c r="AB79" s="2483"/>
      <c r="AC79" s="2483"/>
    </row>
    <row r="80" spans="1:29" ht="15.75" thickBot="1">
      <c r="A80" s="367"/>
      <c r="B80" s="472"/>
      <c r="C80" s="473">
        <v>100</v>
      </c>
      <c r="D80" s="473">
        <f t="shared" ref="D80:M80" si="17">C80-$K26</f>
        <v>95</v>
      </c>
      <c r="E80" s="473">
        <f t="shared" si="17"/>
        <v>90</v>
      </c>
      <c r="F80" s="473">
        <f t="shared" si="17"/>
        <v>85</v>
      </c>
      <c r="G80" s="473">
        <f t="shared" si="17"/>
        <v>80</v>
      </c>
      <c r="H80" s="473">
        <f t="shared" si="17"/>
        <v>75</v>
      </c>
      <c r="I80" s="473">
        <f t="shared" si="17"/>
        <v>70</v>
      </c>
      <c r="J80" s="473">
        <f t="shared" si="17"/>
        <v>65</v>
      </c>
      <c r="K80" s="473">
        <f t="shared" si="17"/>
        <v>60</v>
      </c>
      <c r="L80" s="473">
        <f t="shared" si="17"/>
        <v>55</v>
      </c>
      <c r="M80" s="474">
        <f t="shared" si="17"/>
        <v>50</v>
      </c>
      <c r="N80" s="2518"/>
      <c r="O80" s="2518"/>
      <c r="P80" s="2526"/>
      <c r="Q80" s="2504"/>
      <c r="R80" s="2483"/>
      <c r="S80" s="2483"/>
      <c r="T80" s="2483"/>
      <c r="U80" s="2483"/>
      <c r="V80" s="2483"/>
      <c r="W80" s="2483"/>
      <c r="X80" s="2483"/>
      <c r="Y80" s="2483"/>
      <c r="Z80" s="2483"/>
      <c r="AA80" s="2483"/>
      <c r="AB80" s="2483"/>
      <c r="AC80" s="2483"/>
    </row>
    <row r="81" spans="1:29" ht="15.75" thickTop="1">
      <c r="A81" s="367"/>
      <c r="B81" s="467" t="s">
        <v>1854</v>
      </c>
      <c r="C81" s="580"/>
      <c r="D81" s="580"/>
      <c r="E81" s="580"/>
      <c r="F81" s="580"/>
      <c r="G81" s="580"/>
      <c r="H81" s="580"/>
      <c r="I81" s="580"/>
      <c r="J81" s="580"/>
      <c r="K81" s="581"/>
      <c r="L81" s="582"/>
      <c r="M81" s="583"/>
      <c r="N81" s="2516"/>
      <c r="O81" s="2516"/>
      <c r="P81" s="2526"/>
      <c r="Q81" s="2504"/>
      <c r="R81" s="2483"/>
      <c r="S81" s="2483"/>
      <c r="T81" s="2483"/>
      <c r="U81" s="2483"/>
      <c r="V81" s="2483"/>
      <c r="W81" s="2483"/>
      <c r="X81" s="2483"/>
      <c r="Y81" s="2483"/>
      <c r="Z81" s="2483"/>
      <c r="AA81" s="2483"/>
      <c r="AB81" s="2483"/>
      <c r="AC81" s="2483"/>
    </row>
    <row r="82" spans="1:29" s="408" customFormat="1" ht="15.75" thickBot="1">
      <c r="A82" s="482"/>
      <c r="B82" s="472"/>
      <c r="C82" s="489"/>
      <c r="D82" s="465"/>
      <c r="E82" s="465"/>
      <c r="F82" s="465"/>
      <c r="G82" s="465"/>
      <c r="H82" s="465"/>
      <c r="I82" s="465"/>
      <c r="J82" s="465"/>
      <c r="K82" s="465"/>
      <c r="L82" s="465"/>
      <c r="M82" s="466"/>
      <c r="N82" s="2518"/>
      <c r="O82" s="2518"/>
      <c r="P82" s="2527"/>
      <c r="Q82" s="2511"/>
      <c r="R82" s="2489"/>
      <c r="S82" s="2489"/>
      <c r="T82" s="2489"/>
      <c r="U82" s="2489"/>
      <c r="V82" s="2489"/>
      <c r="W82" s="2489"/>
      <c r="X82" s="2489"/>
      <c r="Y82" s="2489"/>
      <c r="Z82" s="2489"/>
      <c r="AA82" s="2489"/>
      <c r="AB82" s="2489"/>
      <c r="AC82" s="2489"/>
    </row>
    <row r="83" spans="1:29" ht="15" thickTop="1">
      <c r="A83" s="409"/>
      <c r="B83" s="467" t="s">
        <v>1740</v>
      </c>
      <c r="C83" s="483"/>
      <c r="D83" s="483"/>
      <c r="E83" s="511"/>
      <c r="F83" s="511"/>
      <c r="G83" s="511"/>
      <c r="H83" s="511"/>
      <c r="I83" s="511"/>
      <c r="J83" s="511"/>
      <c r="K83" s="512"/>
      <c r="L83" s="513"/>
      <c r="M83" s="514"/>
      <c r="N83" s="2517"/>
      <c r="O83" s="2517"/>
      <c r="P83" s="2526"/>
      <c r="Q83" s="2504"/>
      <c r="R83" s="2483"/>
      <c r="S83" s="2483"/>
      <c r="T83" s="2483"/>
      <c r="U83" s="2483"/>
      <c r="V83" s="2483"/>
      <c r="W83" s="2483"/>
      <c r="X83" s="2483"/>
      <c r="Y83" s="2483"/>
      <c r="Z83" s="2483"/>
      <c r="AA83" s="2483"/>
      <c r="AB83" s="2483"/>
      <c r="AC83" s="2483"/>
    </row>
    <row r="84" spans="1:29" ht="15.75" thickBot="1">
      <c r="A84" s="367"/>
      <c r="B84" s="472"/>
      <c r="C84" s="473">
        <v>100</v>
      </c>
      <c r="D84" s="473">
        <f t="shared" ref="D84:M84" si="18">C84-$K28</f>
        <v>98</v>
      </c>
      <c r="E84" s="473">
        <f t="shared" si="18"/>
        <v>96</v>
      </c>
      <c r="F84" s="473">
        <f t="shared" si="18"/>
        <v>94</v>
      </c>
      <c r="G84" s="473">
        <f t="shared" si="18"/>
        <v>92</v>
      </c>
      <c r="H84" s="473">
        <f t="shared" si="18"/>
        <v>90</v>
      </c>
      <c r="I84" s="473">
        <f t="shared" si="18"/>
        <v>88</v>
      </c>
      <c r="J84" s="473">
        <f t="shared" si="18"/>
        <v>86</v>
      </c>
      <c r="K84" s="473">
        <f t="shared" si="18"/>
        <v>84</v>
      </c>
      <c r="L84" s="473">
        <f t="shared" si="18"/>
        <v>82</v>
      </c>
      <c r="M84" s="474">
        <f t="shared" si="18"/>
        <v>80</v>
      </c>
      <c r="N84" s="2518"/>
      <c r="O84" s="2518"/>
      <c r="P84" s="2526"/>
      <c r="Q84" s="2504"/>
      <c r="R84" s="2483"/>
      <c r="S84" s="2483"/>
      <c r="T84" s="2483"/>
      <c r="U84" s="2483"/>
      <c r="V84" s="2483"/>
      <c r="W84" s="2483"/>
      <c r="X84" s="2483"/>
      <c r="Y84" s="2483"/>
      <c r="Z84" s="2483"/>
      <c r="AA84" s="2483"/>
      <c r="AB84" s="2483"/>
      <c r="AC84" s="2483"/>
    </row>
    <row r="85" spans="1:29" ht="15" thickTop="1">
      <c r="A85" s="409"/>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7"/>
      <c r="O85" s="2517"/>
      <c r="P85" s="2526"/>
      <c r="Q85" s="2504"/>
      <c r="R85" s="2483"/>
      <c r="S85" s="2483"/>
      <c r="T85" s="2483"/>
      <c r="U85" s="2483"/>
      <c r="V85" s="2483"/>
      <c r="W85" s="2483"/>
      <c r="X85" s="2483"/>
      <c r="Y85" s="2483"/>
      <c r="Z85" s="2483"/>
      <c r="AA85" s="2483"/>
      <c r="AB85" s="2483"/>
      <c r="AC85" s="2483"/>
    </row>
    <row r="86" spans="1:29">
      <c r="A86" s="409"/>
      <c r="B86" s="475"/>
      <c r="C86" s="528">
        <v>0.5</v>
      </c>
      <c r="D86" s="528">
        <v>0.6</v>
      </c>
      <c r="E86" s="528">
        <v>0.7</v>
      </c>
      <c r="F86" s="528">
        <v>0.8</v>
      </c>
      <c r="G86" s="528">
        <v>0.9</v>
      </c>
      <c r="H86" s="528">
        <v>1.0001</v>
      </c>
      <c r="I86" s="546"/>
      <c r="J86" s="546"/>
      <c r="K86" s="547"/>
      <c r="L86" s="548"/>
      <c r="M86" s="549"/>
      <c r="N86" s="2517"/>
      <c r="O86" s="2517"/>
      <c r="P86" s="2526"/>
      <c r="Q86" s="2504"/>
      <c r="R86" s="2483"/>
      <c r="S86" s="2483"/>
      <c r="T86" s="2483"/>
      <c r="U86" s="2483"/>
      <c r="V86" s="2483"/>
      <c r="W86" s="2483"/>
      <c r="X86" s="2483"/>
      <c r="Y86" s="2483"/>
      <c r="Z86" s="2483"/>
      <c r="AA86" s="2483"/>
      <c r="AB86" s="2483"/>
      <c r="AC86" s="2483"/>
    </row>
    <row r="87" spans="1:29" ht="15.75" thickBot="1">
      <c r="A87" s="367"/>
      <c r="B87" s="472"/>
      <c r="C87" s="510">
        <v>100</v>
      </c>
      <c r="D87" s="473">
        <f>C87+$K$29</f>
        <v>102</v>
      </c>
      <c r="E87" s="473">
        <f t="shared" ref="E87:M87" si="19">D87+$K$29</f>
        <v>104</v>
      </c>
      <c r="F87" s="473">
        <f t="shared" si="19"/>
        <v>106</v>
      </c>
      <c r="G87" s="473">
        <f t="shared" si="19"/>
        <v>108</v>
      </c>
      <c r="H87" s="473">
        <f t="shared" si="19"/>
        <v>110</v>
      </c>
      <c r="I87" s="473">
        <f t="shared" si="19"/>
        <v>112</v>
      </c>
      <c r="J87" s="473">
        <f t="shared" si="19"/>
        <v>114</v>
      </c>
      <c r="K87" s="473">
        <f t="shared" si="19"/>
        <v>116</v>
      </c>
      <c r="L87" s="473">
        <f t="shared" si="19"/>
        <v>118</v>
      </c>
      <c r="M87" s="473">
        <f t="shared" si="19"/>
        <v>120</v>
      </c>
      <c r="N87" s="2518"/>
      <c r="O87" s="2518"/>
      <c r="P87" s="2526"/>
      <c r="Q87" s="2504"/>
      <c r="R87" s="2483"/>
      <c r="S87" s="2483"/>
      <c r="T87" s="2483"/>
      <c r="U87" s="2483"/>
      <c r="V87" s="2483"/>
      <c r="W87" s="2483"/>
      <c r="X87" s="2483"/>
      <c r="Y87" s="2483"/>
      <c r="Z87" s="2483"/>
      <c r="AA87" s="2483"/>
      <c r="AB87" s="2483"/>
      <c r="AC87" s="2483"/>
    </row>
    <row r="88" spans="1:29" ht="15" thickTop="1">
      <c r="A88" s="409"/>
      <c r="B88" s="475" t="s">
        <v>1856</v>
      </c>
      <c r="C88" s="460"/>
      <c r="D88" s="460"/>
      <c r="E88" s="460"/>
      <c r="F88" s="460"/>
      <c r="G88" s="460"/>
      <c r="H88" s="460"/>
      <c r="I88" s="460"/>
      <c r="J88" s="460"/>
      <c r="K88" s="461"/>
      <c r="L88" s="462"/>
      <c r="M88" s="463"/>
      <c r="N88" s="2517"/>
      <c r="O88" s="2517"/>
      <c r="P88" s="2526"/>
      <c r="Q88" s="2504"/>
      <c r="R88" s="2483"/>
      <c r="S88" s="2483"/>
      <c r="T88" s="2483"/>
      <c r="U88" s="2483"/>
      <c r="V88" s="2483"/>
      <c r="W88" s="2483"/>
      <c r="X88" s="2483"/>
      <c r="Y88" s="2483"/>
      <c r="Z88" s="2483"/>
      <c r="AA88" s="2483"/>
      <c r="AB88" s="2483"/>
      <c r="AC88" s="2483"/>
    </row>
    <row r="89" spans="1:29" ht="15.75" thickBot="1">
      <c r="A89" s="367"/>
      <c r="B89" s="472"/>
      <c r="C89" s="510">
        <v>100</v>
      </c>
      <c r="D89" s="473">
        <f t="shared" ref="D89:M89" si="20">C89+$K30</f>
        <v>102</v>
      </c>
      <c r="E89" s="473">
        <f t="shared" si="20"/>
        <v>104</v>
      </c>
      <c r="F89" s="473">
        <f t="shared" si="20"/>
        <v>106</v>
      </c>
      <c r="G89" s="473">
        <f t="shared" si="20"/>
        <v>108</v>
      </c>
      <c r="H89" s="473">
        <f t="shared" si="20"/>
        <v>110</v>
      </c>
      <c r="I89" s="473">
        <f t="shared" si="20"/>
        <v>112</v>
      </c>
      <c r="J89" s="473">
        <f t="shared" si="20"/>
        <v>114</v>
      </c>
      <c r="K89" s="473">
        <f t="shared" si="20"/>
        <v>116</v>
      </c>
      <c r="L89" s="473">
        <f t="shared" si="20"/>
        <v>118</v>
      </c>
      <c r="M89" s="473">
        <f t="shared" si="20"/>
        <v>120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7" t="s">
        <v>1857</v>
      </c>
      <c r="C90" s="507" t="str">
        <f>C91&amp;"(含)"&amp;"-"&amp;D91</f>
        <v>0(含)-35</v>
      </c>
      <c r="D90" s="507" t="str">
        <f t="shared" ref="D90:L90" si="21">D91&amp;"(含)"&amp;"-"&amp;E91</f>
        <v>35(含)-45</v>
      </c>
      <c r="E90" s="507" t="str">
        <f t="shared" si="21"/>
        <v>45(含)-55</v>
      </c>
      <c r="F90" s="507" t="str">
        <f t="shared" si="21"/>
        <v>55(含)-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5"/>
      <c r="C91" s="6">
        <v>0</v>
      </c>
      <c r="D91" s="6">
        <v>35</v>
      </c>
      <c r="E91" s="6">
        <v>45</v>
      </c>
      <c r="F91" s="6">
        <v>55</v>
      </c>
      <c r="G91" s="6"/>
      <c r="H91" s="6"/>
      <c r="I91" s="6"/>
      <c r="J91" s="522"/>
      <c r="K91" s="522"/>
      <c r="L91" s="523"/>
      <c r="M91" s="524"/>
      <c r="N91" s="2519"/>
      <c r="O91" s="2519"/>
      <c r="P91" s="2527"/>
      <c r="Q91" s="2511"/>
      <c r="R91" s="2489"/>
      <c r="S91" s="2489"/>
      <c r="T91" s="2489"/>
      <c r="U91" s="2489"/>
      <c r="V91" s="2489"/>
      <c r="W91" s="2489"/>
      <c r="X91" s="2489"/>
      <c r="Y91" s="2489"/>
      <c r="Z91" s="2489"/>
      <c r="AA91" s="2489"/>
      <c r="AB91" s="2489"/>
      <c r="AC91" s="2489"/>
    </row>
    <row r="92" spans="1:29" s="408" customFormat="1" ht="15.75" thickBot="1">
      <c r="A92" s="482"/>
      <c r="B92" s="472"/>
      <c r="C92" s="489">
        <v>100</v>
      </c>
      <c r="D92" s="465">
        <v>101</v>
      </c>
      <c r="E92" s="465">
        <v>102</v>
      </c>
      <c r="F92" s="465">
        <v>103</v>
      </c>
      <c r="G92" s="465"/>
      <c r="H92" s="465"/>
      <c r="I92" s="465"/>
      <c r="J92" s="465"/>
      <c r="K92" s="465"/>
      <c r="L92" s="465"/>
      <c r="M92" s="466"/>
      <c r="N92" s="2519"/>
      <c r="O92" s="2519"/>
      <c r="P92" s="2527"/>
      <c r="Q92" s="2511"/>
      <c r="R92" s="2489"/>
      <c r="S92" s="2489"/>
      <c r="T92" s="2489"/>
      <c r="U92" s="2489"/>
      <c r="V92" s="2489"/>
      <c r="W92" s="2489"/>
      <c r="X92" s="2489"/>
      <c r="Y92" s="2489"/>
      <c r="Z92" s="2489"/>
      <c r="AA92" s="2489"/>
      <c r="AB92" s="2489"/>
      <c r="AC92" s="2489"/>
    </row>
    <row r="93" spans="1:29" ht="15" thickTop="1">
      <c r="A93" s="409"/>
      <c r="B93" s="467" t="s">
        <v>1858</v>
      </c>
      <c r="C93" s="483"/>
      <c r="D93" s="483"/>
      <c r="E93" s="511"/>
      <c r="F93" s="511"/>
      <c r="G93" s="511"/>
      <c r="H93" s="511"/>
      <c r="I93" s="511"/>
      <c r="J93" s="511"/>
      <c r="K93" s="512"/>
      <c r="L93" s="513"/>
      <c r="M93" s="514"/>
      <c r="N93" s="2517"/>
      <c r="O93" s="2517"/>
      <c r="P93" s="2526"/>
      <c r="Q93" s="2504"/>
      <c r="R93" s="2483"/>
      <c r="S93" s="2483"/>
      <c r="T93" s="2483"/>
      <c r="U93" s="2483"/>
      <c r="V93" s="2483"/>
      <c r="W93" s="2483"/>
      <c r="X93" s="2483"/>
      <c r="Y93" s="2483"/>
      <c r="Z93" s="2483"/>
      <c r="AA93" s="2483"/>
      <c r="AB93" s="2483"/>
      <c r="AC93" s="2483"/>
    </row>
    <row r="94" spans="1:29" ht="15.75" thickBot="1">
      <c r="A94" s="367"/>
      <c r="B94" s="472"/>
      <c r="C94" s="473">
        <v>100</v>
      </c>
      <c r="D94" s="473">
        <f t="shared" ref="D94:M94" si="22">C94-$K32</f>
        <v>98</v>
      </c>
      <c r="E94" s="473">
        <f t="shared" si="22"/>
        <v>96</v>
      </c>
      <c r="F94" s="473">
        <f t="shared" si="22"/>
        <v>94</v>
      </c>
      <c r="G94" s="473">
        <f t="shared" si="22"/>
        <v>92</v>
      </c>
      <c r="H94" s="473">
        <f t="shared" si="22"/>
        <v>90</v>
      </c>
      <c r="I94" s="473">
        <f t="shared" si="22"/>
        <v>88</v>
      </c>
      <c r="J94" s="473">
        <f t="shared" si="22"/>
        <v>86</v>
      </c>
      <c r="K94" s="473">
        <f t="shared" si="22"/>
        <v>84</v>
      </c>
      <c r="L94" s="473">
        <f t="shared" si="22"/>
        <v>82</v>
      </c>
      <c r="M94" s="474">
        <f t="shared" si="22"/>
        <v>80</v>
      </c>
      <c r="N94" s="2518"/>
      <c r="O94" s="2518"/>
      <c r="P94" s="2526"/>
      <c r="Q94" s="2504"/>
      <c r="R94" s="2483"/>
      <c r="S94" s="2483"/>
      <c r="T94" s="2483"/>
      <c r="U94" s="2483"/>
      <c r="V94" s="2483"/>
      <c r="W94" s="2483"/>
      <c r="X94" s="2483"/>
      <c r="Y94" s="2483"/>
      <c r="Z94" s="2483"/>
      <c r="AA94" s="2483"/>
      <c r="AB94" s="2483"/>
      <c r="AC94" s="2483"/>
    </row>
    <row r="95" spans="1:29" ht="15" thickTop="1">
      <c r="A95" s="409"/>
      <c r="B95" s="467" t="s">
        <v>1859</v>
      </c>
      <c r="C95" s="460"/>
      <c r="D95" s="460"/>
      <c r="E95" s="460"/>
      <c r="F95" s="460"/>
      <c r="G95" s="460"/>
      <c r="H95" s="460"/>
      <c r="I95" s="460"/>
      <c r="J95" s="460"/>
      <c r="K95" s="461"/>
      <c r="L95" s="462"/>
      <c r="M95" s="463"/>
      <c r="N95" s="2517"/>
      <c r="O95" s="2517"/>
      <c r="P95" s="2526"/>
      <c r="Q95" s="2504"/>
      <c r="R95" s="2483"/>
      <c r="S95" s="2483"/>
      <c r="T95" s="2483"/>
      <c r="U95" s="2483"/>
      <c r="V95" s="2483"/>
      <c r="W95" s="2483"/>
      <c r="X95" s="2483"/>
      <c r="Y95" s="2483"/>
      <c r="Z95" s="2483"/>
      <c r="AA95" s="2483"/>
      <c r="AB95" s="2483"/>
      <c r="AC95" s="2483"/>
    </row>
    <row r="96" spans="1:29" ht="15.75" thickBot="1">
      <c r="A96" s="367"/>
      <c r="B96" s="472"/>
      <c r="C96" s="473">
        <v>100</v>
      </c>
      <c r="D96" s="473">
        <f>C96-$K33</f>
        <v>100</v>
      </c>
      <c r="E96" s="473">
        <f>D96-$K33</f>
        <v>100</v>
      </c>
      <c r="F96" s="473">
        <f>E96-$K33</f>
        <v>100</v>
      </c>
      <c r="G96" s="473">
        <f>F96-$K33</f>
        <v>100</v>
      </c>
      <c r="H96" s="473"/>
      <c r="I96" s="473"/>
      <c r="J96" s="473"/>
      <c r="K96" s="473"/>
      <c r="L96" s="473"/>
      <c r="M96" s="474"/>
      <c r="N96" s="2518"/>
      <c r="O96" s="2518"/>
      <c r="P96" s="2526"/>
      <c r="Q96" s="2504"/>
      <c r="R96" s="2483"/>
      <c r="S96" s="2483"/>
      <c r="T96" s="2483"/>
      <c r="U96" s="2483"/>
      <c r="V96" s="2483"/>
      <c r="W96" s="2483"/>
      <c r="X96" s="2483"/>
      <c r="Y96" s="2483"/>
      <c r="Z96" s="2483"/>
      <c r="AA96" s="2483"/>
      <c r="AB96" s="2483"/>
      <c r="AC96" s="2483"/>
    </row>
    <row r="97" spans="1:29" ht="15" thickTop="1">
      <c r="A97" s="409"/>
      <c r="B97" s="558">
        <f>B34</f>
        <v>111</v>
      </c>
      <c r="C97" s="478"/>
      <c r="D97" s="478"/>
      <c r="E97" s="478"/>
      <c r="F97" s="478"/>
      <c r="G97" s="483"/>
      <c r="H97" s="484"/>
      <c r="I97" s="484"/>
      <c r="J97" s="484"/>
      <c r="K97" s="484"/>
      <c r="L97" s="485"/>
      <c r="M97" s="486"/>
      <c r="N97" s="2518"/>
      <c r="O97" s="2518"/>
      <c r="P97" s="2531"/>
      <c r="Q97" s="2532"/>
      <c r="R97" s="2483"/>
      <c r="S97" s="2483"/>
      <c r="T97" s="2483"/>
      <c r="U97" s="2483"/>
      <c r="V97" s="2483"/>
      <c r="W97" s="2483"/>
      <c r="X97" s="2483"/>
      <c r="Y97" s="2483"/>
      <c r="Z97" s="2483"/>
      <c r="AA97" s="2483"/>
      <c r="AB97" s="2483"/>
      <c r="AC97" s="2483"/>
    </row>
    <row r="98" spans="1:29" ht="15.75" thickBot="1">
      <c r="A98" s="367"/>
      <c r="B98" s="472"/>
      <c r="C98" s="489"/>
      <c r="D98" s="465"/>
      <c r="E98" s="465"/>
      <c r="F98" s="465"/>
      <c r="G98" s="489"/>
      <c r="H98" s="491"/>
      <c r="I98" s="491"/>
      <c r="J98" s="491"/>
      <c r="K98" s="491"/>
      <c r="L98" s="491"/>
      <c r="M98" s="492"/>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7">
        <f>B35</f>
        <v>111</v>
      </c>
      <c r="C99" s="478"/>
      <c r="D99" s="478"/>
      <c r="E99" s="478"/>
      <c r="F99" s="478"/>
      <c r="G99" s="483"/>
      <c r="H99" s="484"/>
      <c r="I99" s="484"/>
      <c r="J99" s="484"/>
      <c r="K99" s="484"/>
      <c r="L99" s="485"/>
      <c r="M99" s="486"/>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2"/>
      <c r="B100" s="464"/>
      <c r="C100" s="489"/>
      <c r="D100" s="465"/>
      <c r="E100" s="465"/>
      <c r="F100" s="465"/>
      <c r="G100" s="489"/>
      <c r="H100" s="491"/>
      <c r="I100" s="491"/>
      <c r="J100" s="491"/>
      <c r="K100" s="491"/>
      <c r="L100" s="491"/>
      <c r="M100" s="492"/>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7">
        <f>B36</f>
        <v>111</v>
      </c>
      <c r="C101" s="483"/>
      <c r="D101" s="483"/>
      <c r="E101" s="483"/>
      <c r="F101" s="483"/>
      <c r="G101" s="483"/>
      <c r="H101" s="484"/>
      <c r="I101" s="484"/>
      <c r="J101" s="484"/>
      <c r="K101" s="484"/>
      <c r="L101" s="485"/>
      <c r="M101" s="486"/>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2"/>
      <c r="C102" s="489"/>
      <c r="D102" s="489"/>
      <c r="E102" s="489"/>
      <c r="F102" s="489"/>
      <c r="G102" s="489"/>
      <c r="H102" s="491"/>
      <c r="I102" s="491"/>
      <c r="J102" s="491"/>
      <c r="K102" s="491"/>
      <c r="L102" s="491"/>
      <c r="M102" s="492"/>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2B00-000000000000}">
      <formula1>项目类型</formula1>
    </dataValidation>
    <dataValidation type="list" allowBlank="1" showInputMessage="1" showErrorMessage="1" sqref="G17 C17 E17 I17" xr:uid="{00000000-0002-0000-2B00-000001000000}">
      <formula1>公共配套设施</formula1>
    </dataValidation>
    <dataValidation type="list" allowBlank="1" showInputMessage="1" showErrorMessage="1" sqref="G15 E15 C15 I15" xr:uid="{00000000-0002-0000-2B00-000002000000}">
      <formula1>交通便捷度</formula1>
    </dataValidation>
    <dataValidation type="list" allowBlank="1" showInputMessage="1" showErrorMessage="1" sqref="C8 E8 G8 I8" xr:uid="{00000000-0002-0000-2B00-000003000000}">
      <formula1>车位交易情况</formula1>
    </dataValidation>
    <dataValidation type="list" allowBlank="1" showInputMessage="1" showErrorMessage="1" sqref="E9 G9 I9" xr:uid="{00000000-0002-0000-2B00-000004000000}">
      <formula1>车位用途</formula1>
    </dataValidation>
    <dataValidation type="list" allowBlank="1" showInputMessage="1" showErrorMessage="1" sqref="C22 E22 G22 I22" xr:uid="{00000000-0002-0000-2B00-000005000000}">
      <formula1>车位楼层</formula1>
    </dataValidation>
    <dataValidation type="list" allowBlank="1" showInputMessage="1" showErrorMessage="1" sqref="C30 E30 G30 I30" xr:uid="{00000000-0002-0000-2B00-000006000000}">
      <formula1>车位物业等级</formula1>
    </dataValidation>
    <dataValidation type="list" allowBlank="1" showInputMessage="1" showErrorMessage="1" sqref="C32 E32 G32 I32" xr:uid="{00000000-0002-0000-2B00-000007000000}">
      <formula1>车位类型</formula1>
    </dataValidation>
    <dataValidation type="list" allowBlank="1" showInputMessage="1" showErrorMessage="1" sqref="C33 E33 G33 I33" xr:uid="{00000000-0002-0000-2B00-000008000000}">
      <formula1>是否直接入户</formula1>
    </dataValidation>
    <dataValidation type="list" allowBlank="1" showInputMessage="1" showErrorMessage="1" sqref="B1" xr:uid="{00000000-0002-0000-2B00-000009000000}">
      <formula1>地类判定</formula1>
    </dataValidation>
    <dataValidation type="list" allowBlank="1" showInputMessage="1" showErrorMessage="1" sqref="I26 E26 G26" xr:uid="{00000000-0002-0000-2B00-00000A000000}">
      <formula1>车位配套类型</formula1>
    </dataValidation>
    <dataValidation type="list" allowBlank="1" showInputMessage="1" showErrorMessage="1" sqref="C28 E28 G28 I28" xr:uid="{00000000-0002-0000-2B00-00000B000000}">
      <formula1>车位公共部分装修</formula1>
    </dataValidation>
    <dataValidation type="list" allowBlank="1" showInputMessage="1" showErrorMessage="1" sqref="B37" xr:uid="{00000000-0002-0000-2B00-00000C000000}">
      <formula1>"元/平方米,元/车位"</formula1>
    </dataValidation>
    <dataValidation type="list" allowBlank="1" showInputMessage="1" showErrorMessage="1" sqref="C21 E21 G21 I21" xr:uid="{00000000-0002-0000-2B00-00000D000000}">
      <formula1>环境</formula1>
    </dataValidation>
    <dataValidation type="list" allowBlank="1" showInputMessage="1" showErrorMessage="1" sqref="C19 E19 G19 I19" xr:uid="{00000000-0002-0000-2B00-00000E000000}">
      <formula1>基础设施水平</formula1>
    </dataValidation>
    <dataValidation type="list" allowBlank="1" showInputMessage="1" showErrorMessage="1" sqref="F1" xr:uid="{00000000-0002-0000-2B00-00000F000000}">
      <formula1>"售价,租金"</formula1>
    </dataValidation>
    <dataValidation type="list" allowBlank="1" showInputMessage="1" showErrorMessage="1" sqref="C2" xr:uid="{00000000-0002-0000-2B00-000010000000}">
      <formula1>"需扣减承租人权益,——"</formula1>
    </dataValidation>
    <dataValidation type="list" allowBlank="1" showInputMessage="1" showErrorMessage="1" sqref="F2" xr:uid="{00000000-0002-0000-2B00-000011000000}">
      <formula1>估价方法</formula1>
    </dataValidation>
    <dataValidation type="list" allowBlank="1" showInputMessage="1" showErrorMessage="1" sqref="D38" xr:uid="{00000000-0002-0000-2B00-000012000000}">
      <formula1>"简单平均,加权平均"</formula1>
    </dataValidation>
    <dataValidation type="list" allowBlank="1" showInputMessage="1" showErrorMessage="1" sqref="E1" xr:uid="{00000000-0002-0000-2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S19:S102"/>
  <sheetViews>
    <sheetView topLeftCell="A70" zoomScale="85" zoomScaleNormal="85" workbookViewId="0">
      <selection activeCell="Y75" sqref="Y75"/>
    </sheetView>
  </sheetViews>
  <sheetFormatPr defaultRowHeight="13.5"/>
  <cols>
    <col min="1" max="16384" width="9" style="3157"/>
  </cols>
  <sheetData>
    <row r="19" spans="19:19">
      <c r="S19" s="3157">
        <f>ROUND(421/9,2)</f>
        <v>46.78</v>
      </c>
    </row>
    <row r="20" spans="19:19">
      <c r="S20" s="3157">
        <f>ROUND(380.4*10000/9,0)</f>
        <v>422667</v>
      </c>
    </row>
    <row r="61" spans="19:19">
      <c r="S61" s="3157">
        <f>ROUND(1465/38,2)</f>
        <v>38.549999999999997</v>
      </c>
    </row>
    <row r="62" spans="19:19">
      <c r="S62" s="3157">
        <f>ROUND(1576.44*10000/38,0)</f>
        <v>414853</v>
      </c>
    </row>
    <row r="101" spans="19:19">
      <c r="S101" s="3157">
        <f>ROUND(551/14,2)</f>
        <v>39.36</v>
      </c>
    </row>
    <row r="102" spans="19:19">
      <c r="S102" s="3157">
        <f>ROUND(461.81*10000/14,0)</f>
        <v>329864</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tabColor rgb="FF92D050"/>
    <pageSetUpPr fitToPage="1"/>
  </sheetPr>
  <dimension ref="A1:AD241"/>
  <sheetViews>
    <sheetView view="pageBreakPreview" zoomScaleNormal="70" zoomScaleSheetLayoutView="100" workbookViewId="0">
      <selection activeCell="B2" sqref="B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1" thickBot="1">
      <c r="A1" s="1136" t="s">
        <v>1831</v>
      </c>
      <c r="B1" s="1137" t="s">
        <v>3324</v>
      </c>
      <c r="C1" s="1138" t="s">
        <v>1662</v>
      </c>
      <c r="D1" s="1139" t="s">
        <v>5691</v>
      </c>
      <c r="E1" s="3126" t="s">
        <v>5806</v>
      </c>
      <c r="F1" s="1732" t="s">
        <v>5807</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1" thickTop="1">
      <c r="A2" s="1135" t="s">
        <v>1462</v>
      </c>
      <c r="B2" s="1082">
        <f>IF(E1="项目模式",IF(C2="——",ROUND(C37*D3/10000,0),ROUND(C37*D3/10000,0)-D2),IF(E1="单套模式",IF(C2="——",ROUND(C37*D3/10000,4),ROUND(C37*D3/10000,4)-D2)))</f>
        <v>48244</v>
      </c>
      <c r="C2" s="1734" t="s">
        <v>43</v>
      </c>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9"/>
      <c r="M2" s="2500"/>
      <c r="N2" s="2500"/>
      <c r="O2" s="2500"/>
      <c r="P2" s="341"/>
      <c r="Q2" s="341"/>
      <c r="R2" s="341"/>
      <c r="S2" s="341"/>
      <c r="T2" s="341"/>
      <c r="U2" s="341"/>
      <c r="V2" s="341"/>
      <c r="W2" s="341"/>
      <c r="X2" s="341"/>
      <c r="Y2" s="341"/>
      <c r="Z2" s="341"/>
      <c r="AA2" s="341"/>
      <c r="AB2" s="341"/>
      <c r="AC2" s="661"/>
    </row>
    <row r="3" spans="1:29" s="342" customFormat="1" ht="21" thickBot="1">
      <c r="A3" s="195" t="s">
        <v>1464</v>
      </c>
      <c r="B3" s="534">
        <f>IF(C2="——",C37,ROUND(B2*10000/D3,0))</f>
        <v>31337</v>
      </c>
      <c r="C3" s="344" t="s">
        <v>1768</v>
      </c>
      <c r="D3" s="343">
        <f>SUMIF('数据-汇总表'!$C19:$C33,D1,'数据-汇总表'!$E19:$E33)</f>
        <v>15395.17</v>
      </c>
      <c r="E3" s="852"/>
      <c r="F3" s="853"/>
      <c r="G3" s="852"/>
      <c r="H3" s="852"/>
      <c r="I3" s="852"/>
      <c r="J3" s="852"/>
      <c r="K3" s="854"/>
      <c r="L3" s="2499"/>
      <c r="M3" s="2500"/>
      <c r="N3" s="2500"/>
      <c r="O3" s="2500"/>
      <c r="P3" s="341"/>
      <c r="Q3" s="341"/>
      <c r="R3" s="341"/>
      <c r="S3" s="341"/>
      <c r="T3" s="341"/>
      <c r="U3" s="341"/>
      <c r="V3" s="341"/>
      <c r="W3" s="341"/>
      <c r="X3" s="341"/>
      <c r="Y3" s="341"/>
      <c r="Z3" s="341"/>
      <c r="AA3" s="341"/>
      <c r="AB3" s="674"/>
      <c r="AC3" s="661"/>
    </row>
    <row r="4" spans="1:29" ht="15">
      <c r="A4" s="345" t="s">
        <v>1769</v>
      </c>
      <c r="B4" s="346"/>
      <c r="C4" s="3468" t="s">
        <v>1770</v>
      </c>
      <c r="D4" s="3469"/>
      <c r="E4" s="3470" t="s">
        <v>1771</v>
      </c>
      <c r="F4" s="3471"/>
      <c r="G4" s="3468" t="s">
        <v>1772</v>
      </c>
      <c r="H4" s="3469"/>
      <c r="I4" s="3468" t="s">
        <v>1773</v>
      </c>
      <c r="J4" s="3469"/>
      <c r="K4" s="535" t="s">
        <v>1774</v>
      </c>
      <c r="L4" s="2482"/>
      <c r="M4" s="2483"/>
      <c r="N4" s="2483"/>
      <c r="O4" s="2483"/>
      <c r="P4" s="3472" t="s">
        <v>1775</v>
      </c>
      <c r="Q4" s="3473"/>
      <c r="R4" s="3454" t="s">
        <v>1771</v>
      </c>
      <c r="S4" s="3455"/>
      <c r="T4" s="3454" t="s">
        <v>1772</v>
      </c>
      <c r="U4" s="3455"/>
      <c r="V4" s="3480" t="s">
        <v>1773</v>
      </c>
      <c r="W4" s="3480"/>
      <c r="X4" s="1262"/>
      <c r="Y4" s="3454" t="s">
        <v>1775</v>
      </c>
      <c r="Z4" s="3455"/>
      <c r="AA4" s="3449" t="s">
        <v>1771</v>
      </c>
      <c r="AB4" s="3450" t="s">
        <v>1772</v>
      </c>
      <c r="AC4" s="3449" t="s">
        <v>1773</v>
      </c>
    </row>
    <row r="5" spans="1:29" ht="15.75" thickBot="1">
      <c r="A5" s="348"/>
      <c r="B5" s="349"/>
      <c r="C5" s="3460" t="s">
        <v>1673</v>
      </c>
      <c r="D5" s="3461"/>
      <c r="E5" s="3458" t="s">
        <v>5817</v>
      </c>
      <c r="F5" s="3459"/>
      <c r="G5" s="3464" t="s">
        <v>5818</v>
      </c>
      <c r="H5" s="3461"/>
      <c r="I5" s="3464" t="s">
        <v>5819</v>
      </c>
      <c r="J5" s="3461"/>
      <c r="K5" s="535"/>
      <c r="L5" s="2482"/>
      <c r="M5" s="2483"/>
      <c r="N5" s="2483"/>
      <c r="O5" s="2483"/>
      <c r="P5" s="3474"/>
      <c r="Q5" s="3475"/>
      <c r="R5" s="3456"/>
      <c r="S5" s="3457"/>
      <c r="T5" s="3456"/>
      <c r="U5" s="3457"/>
      <c r="V5" s="3480"/>
      <c r="W5" s="3480"/>
      <c r="X5" s="1262"/>
      <c r="Y5" s="3456"/>
      <c r="Z5" s="3457"/>
      <c r="AA5" s="3450"/>
      <c r="AB5" s="3450"/>
      <c r="AC5" s="3450"/>
    </row>
    <row r="6" spans="1:29" ht="15.75" hidden="1" thickBot="1">
      <c r="A6" s="350"/>
      <c r="B6" s="351"/>
      <c r="C6" s="3462" t="s">
        <v>1677</v>
      </c>
      <c r="D6" s="3463"/>
      <c r="E6" s="3465" t="s">
        <v>1677</v>
      </c>
      <c r="F6" s="3466"/>
      <c r="G6" s="3462" t="s">
        <v>1677</v>
      </c>
      <c r="H6" s="3463"/>
      <c r="I6" s="3462" t="s">
        <v>1677</v>
      </c>
      <c r="J6" s="3463"/>
      <c r="K6" s="535" t="s">
        <v>1678</v>
      </c>
      <c r="L6" s="2482"/>
      <c r="M6" s="2483"/>
      <c r="N6" s="2483"/>
      <c r="O6" s="2483"/>
      <c r="P6" s="3476"/>
      <c r="Q6" s="3477"/>
      <c r="R6" s="3456"/>
      <c r="S6" s="3457"/>
      <c r="T6" s="3478"/>
      <c r="U6" s="3479"/>
      <c r="V6" s="3480"/>
      <c r="W6" s="3480"/>
      <c r="X6" s="1262"/>
      <c r="Y6" s="3478"/>
      <c r="Z6" s="3479"/>
      <c r="AA6" s="3451"/>
      <c r="AB6" s="3451"/>
      <c r="AC6" s="3451"/>
    </row>
    <row r="7" spans="1:29" s="102" customFormat="1" ht="15.75" thickBot="1">
      <c r="A7" s="352" t="s">
        <v>1679</v>
      </c>
      <c r="B7" s="353"/>
      <c r="C7" s="354">
        <f>'数据-取费表'!B2</f>
        <v>45803</v>
      </c>
      <c r="D7" s="355">
        <v>100</v>
      </c>
      <c r="E7" s="356">
        <f>C7</f>
        <v>45803</v>
      </c>
      <c r="F7" s="357">
        <f>SUMIF(46:46,YEAR(E7)&amp;"-"&amp;MONTH(E7),47:47)</f>
        <v>100</v>
      </c>
      <c r="G7" s="1817">
        <f>E7</f>
        <v>45803</v>
      </c>
      <c r="H7" s="355">
        <f>SUMIF(46:46,YEAR(G7)&amp;"-"&amp;MONTH(G7),47:47)</f>
        <v>100</v>
      </c>
      <c r="I7" s="356">
        <f>G7</f>
        <v>45803</v>
      </c>
      <c r="J7" s="355">
        <f>SUMIF(46:46,YEAR(I7)&amp;"-"&amp;MONTH(I7),47:47)</f>
        <v>100</v>
      </c>
      <c r="K7" s="38"/>
      <c r="L7" s="2484"/>
      <c r="M7" s="2435"/>
      <c r="N7" s="2435"/>
      <c r="O7" s="2435"/>
      <c r="P7" s="3452" t="s">
        <v>1680</v>
      </c>
      <c r="Q7" s="3481"/>
      <c r="R7" s="662" t="s">
        <v>14</v>
      </c>
      <c r="S7" s="663">
        <f t="shared" ref="S7:S14" si="0">F7</f>
        <v>100</v>
      </c>
      <c r="T7" s="662" t="s">
        <v>14</v>
      </c>
      <c r="U7" s="663">
        <f t="shared" ref="U7:U14" si="1">H7</f>
        <v>100</v>
      </c>
      <c r="V7" s="662" t="s">
        <v>14</v>
      </c>
      <c r="W7" s="663">
        <f t="shared" ref="W7:W14" si="2">J7</f>
        <v>100</v>
      </c>
      <c r="X7" s="664"/>
      <c r="Y7" s="3452" t="s">
        <v>1680</v>
      </c>
      <c r="Z7" s="3453"/>
      <c r="AA7" s="50">
        <f>D7/F7</f>
        <v>1</v>
      </c>
      <c r="AB7" s="50">
        <f>D7/H7</f>
        <v>1</v>
      </c>
      <c r="AC7" s="50">
        <f>D7/J7</f>
        <v>1</v>
      </c>
    </row>
    <row r="8" spans="1:29" s="102" customFormat="1" ht="15.75" thickBot="1">
      <c r="A8" s="352" t="s">
        <v>1681</v>
      </c>
      <c r="B8" s="353"/>
      <c r="C8" s="358" t="s">
        <v>5786</v>
      </c>
      <c r="D8" s="355">
        <v>100</v>
      </c>
      <c r="E8" s="358" t="s">
        <v>5786</v>
      </c>
      <c r="F8" s="357">
        <f>SUMIF(49:49,E8,50:50)-SUMIF(49:49,C8,50:50)+100</f>
        <v>100</v>
      </c>
      <c r="G8" s="358" t="s">
        <v>5786</v>
      </c>
      <c r="H8" s="355">
        <f>SUMIF(49:49,G8,50:50)-SUMIF(49:49,C8,50:50)+100</f>
        <v>100</v>
      </c>
      <c r="I8" s="358" t="s">
        <v>5786</v>
      </c>
      <c r="J8" s="355">
        <f>SUMIF(49:49,I8,50:50)-SUMIF(49:49,C8,50:50)+100</f>
        <v>100</v>
      </c>
      <c r="K8" s="38"/>
      <c r="L8" s="2484"/>
      <c r="M8" s="2435"/>
      <c r="N8" s="2435"/>
      <c r="O8" s="2435"/>
      <c r="P8" s="3452" t="s">
        <v>1683</v>
      </c>
      <c r="Q8" s="3453"/>
      <c r="R8" s="662" t="s">
        <v>14</v>
      </c>
      <c r="S8" s="663">
        <f t="shared" si="0"/>
        <v>100</v>
      </c>
      <c r="T8" s="662" t="s">
        <v>14</v>
      </c>
      <c r="U8" s="663">
        <f t="shared" si="1"/>
        <v>100</v>
      </c>
      <c r="V8" s="662" t="s">
        <v>14</v>
      </c>
      <c r="W8" s="663">
        <f t="shared" si="2"/>
        <v>100</v>
      </c>
      <c r="X8" s="664"/>
      <c r="Y8" s="3452" t="s">
        <v>1683</v>
      </c>
      <c r="Z8" s="3453"/>
      <c r="AA8" s="50">
        <f t="shared" ref="AA8:AA34" si="3">D8/F8</f>
        <v>1</v>
      </c>
      <c r="AB8" s="50">
        <f t="shared" ref="AB8:AB34" si="4">D8/H8</f>
        <v>1</v>
      </c>
      <c r="AC8" s="50">
        <f t="shared" ref="AC8:AC34" si="5">D8/J8</f>
        <v>1</v>
      </c>
    </row>
    <row r="9" spans="1:29" s="102" customFormat="1">
      <c r="A9" s="359" t="s">
        <v>1684</v>
      </c>
      <c r="B9" s="60" t="s">
        <v>1685</v>
      </c>
      <c r="C9" s="3186" t="s">
        <v>5824</v>
      </c>
      <c r="D9" s="59">
        <v>100</v>
      </c>
      <c r="E9" s="362" t="s">
        <v>3324</v>
      </c>
      <c r="F9" s="60">
        <f>SUMIF(51:51,E9,52:52)-SUMIF(51:51,C9,52:52)+100</f>
        <v>100</v>
      </c>
      <c r="G9" s="362" t="s">
        <v>3324</v>
      </c>
      <c r="H9" s="59">
        <f>SUMIF(51:51,G9,52:52)-SUMIF(51:51,C9,52:52)+100</f>
        <v>100</v>
      </c>
      <c r="I9" s="362" t="s">
        <v>3324</v>
      </c>
      <c r="J9" s="59">
        <f>SUMIF(51:51,I9,52:52)-SUMIF(51:51,C9,52:52)+100</f>
        <v>100</v>
      </c>
      <c r="K9" s="38"/>
      <c r="L9" s="2484"/>
      <c r="M9" s="2435"/>
      <c r="N9" s="2435"/>
      <c r="O9" s="2536"/>
      <c r="P9" s="3467" t="s">
        <v>1686</v>
      </c>
      <c r="Q9" s="528" t="str">
        <f t="shared" ref="Q9:Q14" si="6">B9</f>
        <v>用途</v>
      </c>
      <c r="R9" s="662" t="s">
        <v>14</v>
      </c>
      <c r="S9" s="663">
        <f t="shared" si="0"/>
        <v>100</v>
      </c>
      <c r="T9" s="662" t="s">
        <v>14</v>
      </c>
      <c r="U9" s="663">
        <f t="shared" si="1"/>
        <v>100</v>
      </c>
      <c r="V9" s="662" t="s">
        <v>14</v>
      </c>
      <c r="W9" s="663">
        <f t="shared" si="2"/>
        <v>100</v>
      </c>
      <c r="X9" s="664"/>
      <c r="Y9" s="3422" t="s">
        <v>1687</v>
      </c>
      <c r="Z9" s="50" t="str">
        <f t="shared" ref="Z9:Z14" si="7">Q9</f>
        <v>用途</v>
      </c>
      <c r="AA9" s="50">
        <f t="shared" si="3"/>
        <v>1</v>
      </c>
      <c r="AB9" s="50">
        <f t="shared" si="4"/>
        <v>1</v>
      </c>
      <c r="AC9" s="50">
        <f t="shared" si="5"/>
        <v>1</v>
      </c>
    </row>
    <row r="10" spans="1:29" s="366" customFormat="1" ht="27.75" thickBot="1">
      <c r="A10" s="363"/>
      <c r="B10" s="364" t="s">
        <v>1688</v>
      </c>
      <c r="C10" s="3127" t="s">
        <v>5821</v>
      </c>
      <c r="D10" s="119">
        <v>100</v>
      </c>
      <c r="E10" s="3127" t="s">
        <v>5821</v>
      </c>
      <c r="F10" s="364">
        <f>SUMIF(53:53,E10,54:54)-SUMIF(53:53,C10,54:54)+100</f>
        <v>100</v>
      </c>
      <c r="G10" s="3127" t="s">
        <v>5821</v>
      </c>
      <c r="H10" s="119">
        <f>SUMIF(53:53,G10,54:54)-SUMIF(53:53,C10,54:54)+100</f>
        <v>100</v>
      </c>
      <c r="I10" s="3127" t="s">
        <v>5821</v>
      </c>
      <c r="J10" s="119">
        <f>SUMIF(53:53,I10,54:54)-SUMIF(53:53,C10,54:54)+100</f>
        <v>100</v>
      </c>
      <c r="K10" s="38"/>
      <c r="L10" s="2485"/>
      <c r="M10" s="2486"/>
      <c r="N10" s="2486"/>
      <c r="O10" s="2537"/>
      <c r="P10" s="3467"/>
      <c r="Q10" s="528" t="str">
        <f t="shared" si="6"/>
        <v>土地使用年限（年）</v>
      </c>
      <c r="R10" s="662" t="s">
        <v>14</v>
      </c>
      <c r="S10" s="663">
        <f t="shared" si="0"/>
        <v>100</v>
      </c>
      <c r="T10" s="662" t="s">
        <v>14</v>
      </c>
      <c r="U10" s="663">
        <f t="shared" si="1"/>
        <v>100</v>
      </c>
      <c r="V10" s="662" t="s">
        <v>14</v>
      </c>
      <c r="W10" s="663">
        <f t="shared" si="2"/>
        <v>100</v>
      </c>
      <c r="X10" s="664"/>
      <c r="Y10" s="3422"/>
      <c r="Z10" s="50" t="str">
        <f t="shared" si="7"/>
        <v>土地使用年限（年）</v>
      </c>
      <c r="AA10" s="50">
        <f t="shared" si="3"/>
        <v>1</v>
      </c>
      <c r="AB10" s="50">
        <f t="shared" si="4"/>
        <v>1</v>
      </c>
      <c r="AC10" s="50">
        <f t="shared" si="5"/>
        <v>1</v>
      </c>
    </row>
    <row r="11" spans="1:29" ht="15" hidden="1">
      <c r="A11" s="367"/>
      <c r="B11" s="445">
        <v>111</v>
      </c>
      <c r="C11" s="371"/>
      <c r="D11" s="119">
        <v>100</v>
      </c>
      <c r="E11" s="407"/>
      <c r="F11" s="364">
        <f>SUMIF(55:55,E11,56:56)-SUMIF(55:55,C11,56:56)+100</f>
        <v>100</v>
      </c>
      <c r="G11" s="407"/>
      <c r="H11" s="119">
        <f>SUMIF(55:55,G11,56:56)-SUMIF(55:55,C11,56:56)+100</f>
        <v>100</v>
      </c>
      <c r="I11" s="407"/>
      <c r="J11" s="119">
        <f>SUMIF(55:55,I11,56:56)-SUMIF(55:55,C11,56:56)+100</f>
        <v>100</v>
      </c>
      <c r="K11" s="537"/>
      <c r="L11" s="2487"/>
      <c r="M11" s="2483"/>
      <c r="N11" s="2483"/>
      <c r="O11" s="2538"/>
      <c r="P11" s="3467"/>
      <c r="Q11" s="528">
        <f t="shared" si="6"/>
        <v>111</v>
      </c>
      <c r="R11" s="662" t="s">
        <v>14</v>
      </c>
      <c r="S11" s="663">
        <f t="shared" si="0"/>
        <v>100</v>
      </c>
      <c r="T11" s="662" t="s">
        <v>14</v>
      </c>
      <c r="U11" s="663">
        <f t="shared" si="1"/>
        <v>100</v>
      </c>
      <c r="V11" s="662" t="s">
        <v>14</v>
      </c>
      <c r="W11" s="663">
        <f t="shared" si="2"/>
        <v>100</v>
      </c>
      <c r="X11" s="664"/>
      <c r="Y11" s="3422"/>
      <c r="Z11" s="50">
        <f t="shared" si="7"/>
        <v>111</v>
      </c>
      <c r="AA11" s="50">
        <f t="shared" si="3"/>
        <v>1</v>
      </c>
      <c r="AB11" s="50">
        <f t="shared" si="4"/>
        <v>1</v>
      </c>
      <c r="AC11" s="50">
        <f t="shared" si="5"/>
        <v>1</v>
      </c>
    </row>
    <row r="12" spans="1:29" s="102" customFormat="1" ht="15" hidden="1">
      <c r="A12" s="370"/>
      <c r="B12" s="445">
        <v>111</v>
      </c>
      <c r="C12" s="371"/>
      <c r="D12" s="372">
        <v>100</v>
      </c>
      <c r="E12" s="407"/>
      <c r="F12" s="364">
        <f>SUMIF(57:57,E12,58:58)-SUMIF(57:57,C12,58:58)+100</f>
        <v>100</v>
      </c>
      <c r="G12" s="407"/>
      <c r="H12" s="119">
        <f>SUMIF(57:57,G12,58:58)-SUMIF(57:57,C12,58:58)+100</f>
        <v>100</v>
      </c>
      <c r="I12" s="407"/>
      <c r="J12" s="119">
        <f>SUMIF(57:57,I12,58:58)-SUMIF(57:57,C12,58:58)+100</f>
        <v>100</v>
      </c>
      <c r="K12" s="537"/>
      <c r="L12" s="2484"/>
      <c r="M12" s="2435"/>
      <c r="N12" s="2435"/>
      <c r="O12" s="2536"/>
      <c r="P12" s="3467"/>
      <c r="Q12" s="528">
        <f t="shared" si="6"/>
        <v>111</v>
      </c>
      <c r="R12" s="662" t="s">
        <v>14</v>
      </c>
      <c r="S12" s="663">
        <f t="shared" si="0"/>
        <v>100</v>
      </c>
      <c r="T12" s="662" t="s">
        <v>14</v>
      </c>
      <c r="U12" s="663">
        <f t="shared" si="1"/>
        <v>100</v>
      </c>
      <c r="V12" s="662" t="s">
        <v>14</v>
      </c>
      <c r="W12" s="663">
        <f t="shared" si="2"/>
        <v>100</v>
      </c>
      <c r="X12" s="664"/>
      <c r="Y12" s="3422"/>
      <c r="Z12" s="50">
        <f t="shared" si="7"/>
        <v>111</v>
      </c>
      <c r="AA12" s="50">
        <f>D12/F12</f>
        <v>1</v>
      </c>
      <c r="AB12" s="50">
        <f>D12/H12</f>
        <v>1</v>
      </c>
      <c r="AC12" s="50">
        <f>D12/J12</f>
        <v>1</v>
      </c>
    </row>
    <row r="13" spans="1:29" ht="15.75" hidden="1" thickBot="1">
      <c r="A13" s="367"/>
      <c r="B13" s="445">
        <v>111</v>
      </c>
      <c r="C13" s="373"/>
      <c r="D13" s="374">
        <v>100</v>
      </c>
      <c r="E13" s="407"/>
      <c r="F13" s="364">
        <f>SUMIF(59:59,E13,60:60)-SUMIF(59:59,C13,60:60)+100</f>
        <v>100</v>
      </c>
      <c r="G13" s="1818"/>
      <c r="H13" s="377">
        <f>SUMIF(59:59,G13,60:60)-SUMIF(59:59,C13,60:60)+100</f>
        <v>100</v>
      </c>
      <c r="I13" s="407"/>
      <c r="J13" s="374">
        <f>SUMIF(59:59,I13,60:60)-SUMIF(59:59,C13,60:60)+100</f>
        <v>100</v>
      </c>
      <c r="K13" s="537"/>
      <c r="L13" s="2488"/>
      <c r="M13" s="2483"/>
      <c r="N13" s="2483"/>
      <c r="O13" s="2538"/>
      <c r="P13" s="3467"/>
      <c r="Q13" s="528">
        <f t="shared" si="6"/>
        <v>111</v>
      </c>
      <c r="R13" s="662" t="s">
        <v>14</v>
      </c>
      <c r="S13" s="663">
        <f t="shared" si="0"/>
        <v>100</v>
      </c>
      <c r="T13" s="662" t="s">
        <v>14</v>
      </c>
      <c r="U13" s="663">
        <f t="shared" si="1"/>
        <v>100</v>
      </c>
      <c r="V13" s="662" t="s">
        <v>14</v>
      </c>
      <c r="W13" s="663">
        <f t="shared" si="2"/>
        <v>100</v>
      </c>
      <c r="X13" s="664"/>
      <c r="Y13" s="3422"/>
      <c r="Z13" s="50">
        <f t="shared" si="7"/>
        <v>111</v>
      </c>
      <c r="AA13" s="50">
        <f t="shared" si="3"/>
        <v>1</v>
      </c>
      <c r="AB13" s="50">
        <f t="shared" si="4"/>
        <v>1</v>
      </c>
      <c r="AC13" s="50">
        <f t="shared" si="5"/>
        <v>1</v>
      </c>
    </row>
    <row r="14" spans="1:29" ht="15">
      <c r="A14" s="379" t="s">
        <v>1690</v>
      </c>
      <c r="B14" s="58" t="s">
        <v>1833</v>
      </c>
      <c r="C14" s="1814">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38">
        <v>3</v>
      </c>
      <c r="L14" s="2488"/>
      <c r="M14" s="2483"/>
      <c r="N14" s="2483"/>
      <c r="O14" s="2538"/>
      <c r="P14" s="3482" t="s">
        <v>1691</v>
      </c>
      <c r="Q14" s="1260" t="str">
        <f t="shared" si="6"/>
        <v>交通便捷度</v>
      </c>
      <c r="R14" s="665" t="s">
        <v>14</v>
      </c>
      <c r="S14" s="666">
        <f t="shared" si="0"/>
        <v>100</v>
      </c>
      <c r="T14" s="665" t="s">
        <v>14</v>
      </c>
      <c r="U14" s="666">
        <f t="shared" si="1"/>
        <v>100</v>
      </c>
      <c r="V14" s="665" t="s">
        <v>14</v>
      </c>
      <c r="W14" s="666">
        <f t="shared" si="2"/>
        <v>100</v>
      </c>
      <c r="X14" s="1262"/>
      <c r="Y14" s="3482" t="s">
        <v>1691</v>
      </c>
      <c r="Z14" s="1261" t="str">
        <f t="shared" si="7"/>
        <v>交通便捷度</v>
      </c>
      <c r="AA14" s="1261">
        <f t="shared" si="3"/>
        <v>1</v>
      </c>
      <c r="AB14" s="1261">
        <f t="shared" si="4"/>
        <v>1</v>
      </c>
      <c r="AC14" s="1261">
        <f t="shared" si="5"/>
        <v>1</v>
      </c>
    </row>
    <row r="15" spans="1:29" ht="15">
      <c r="A15" s="367"/>
      <c r="B15" s="385"/>
      <c r="C15" s="386" t="s">
        <v>5792</v>
      </c>
      <c r="D15" s="387"/>
      <c r="E15" s="386" t="s">
        <v>5792</v>
      </c>
      <c r="F15" s="388"/>
      <c r="G15" s="386" t="s">
        <v>5792</v>
      </c>
      <c r="H15" s="389"/>
      <c r="I15" s="386" t="s">
        <v>5792</v>
      </c>
      <c r="J15" s="387"/>
      <c r="K15" s="539"/>
      <c r="L15" s="2488"/>
      <c r="M15" s="2483"/>
      <c r="N15" s="2483"/>
      <c r="O15" s="2538"/>
      <c r="P15" s="3483"/>
      <c r="Q15" s="1260"/>
      <c r="R15" s="665"/>
      <c r="S15" s="666"/>
      <c r="T15" s="665"/>
      <c r="U15" s="666"/>
      <c r="V15" s="665"/>
      <c r="W15" s="666"/>
      <c r="X15" s="1262"/>
      <c r="Y15" s="3483"/>
      <c r="Z15" s="1261"/>
      <c r="AA15" s="1261">
        <v>1</v>
      </c>
      <c r="AB15" s="1261">
        <v>1</v>
      </c>
      <c r="AC15" s="1261">
        <v>1</v>
      </c>
    </row>
    <row r="16" spans="1:29" ht="15">
      <c r="A16" s="367"/>
      <c r="B16" s="390" t="s">
        <v>1812</v>
      </c>
      <c r="C16" s="1751">
        <f>IF(B1="工业",估价对象房地状况!G5,估价对象房地状况!C7)</f>
        <v>0</v>
      </c>
      <c r="D16" s="394">
        <v>100</v>
      </c>
      <c r="E16" s="396">
        <v>0</v>
      </c>
      <c r="F16" s="397">
        <f>SUMIF(63:63,E17,64:64)-SUMIF(63:63,C17,64:64)+100</f>
        <v>100</v>
      </c>
      <c r="G16" s="398">
        <v>0</v>
      </c>
      <c r="H16" s="394">
        <f>SUMIF(63:63,G17,64:64)-SUMIF(63:63,C17,64:64)+100</f>
        <v>100</v>
      </c>
      <c r="I16" s="396">
        <v>0</v>
      </c>
      <c r="J16" s="394">
        <f>SUMIF(63:63,I17,64:64)-SUMIF(63:63,C17,64:64)+100</f>
        <v>97</v>
      </c>
      <c r="K16" s="538">
        <v>3</v>
      </c>
      <c r="L16" s="2488"/>
      <c r="M16" s="2483"/>
      <c r="N16" s="2483"/>
      <c r="O16" s="2538"/>
      <c r="P16" s="3483"/>
      <c r="Q16" s="1260" t="str">
        <f>B16</f>
        <v>公共配套设施</v>
      </c>
      <c r="R16" s="665" t="s">
        <v>14</v>
      </c>
      <c r="S16" s="666">
        <f>F16</f>
        <v>100</v>
      </c>
      <c r="T16" s="665" t="s">
        <v>14</v>
      </c>
      <c r="U16" s="666">
        <f>H16</f>
        <v>100</v>
      </c>
      <c r="V16" s="665" t="s">
        <v>14</v>
      </c>
      <c r="W16" s="666">
        <f>J16</f>
        <v>97</v>
      </c>
      <c r="X16" s="1262"/>
      <c r="Y16" s="3483"/>
      <c r="Z16" s="1261" t="str">
        <f>Q16</f>
        <v>公共配套设施</v>
      </c>
      <c r="AA16" s="1261">
        <f t="shared" si="3"/>
        <v>1</v>
      </c>
      <c r="AB16" s="1261">
        <f t="shared" si="4"/>
        <v>1</v>
      </c>
      <c r="AC16" s="1261">
        <f t="shared" si="5"/>
        <v>1.0309278350515463</v>
      </c>
    </row>
    <row r="17" spans="1:29" ht="15">
      <c r="A17" s="367"/>
      <c r="B17" s="395"/>
      <c r="C17" s="3195" t="s">
        <v>5788</v>
      </c>
      <c r="D17" s="387"/>
      <c r="E17" s="386" t="s">
        <v>5788</v>
      </c>
      <c r="F17" s="388"/>
      <c r="G17" s="386" t="s">
        <v>5788</v>
      </c>
      <c r="H17" s="387"/>
      <c r="I17" s="386" t="s">
        <v>5792</v>
      </c>
      <c r="J17" s="387"/>
      <c r="K17" s="539"/>
      <c r="L17" s="2488"/>
      <c r="M17" s="2483"/>
      <c r="N17" s="2483"/>
      <c r="O17" s="2538"/>
      <c r="P17" s="3483"/>
      <c r="Q17" s="1260"/>
      <c r="R17" s="665"/>
      <c r="S17" s="666"/>
      <c r="T17" s="665"/>
      <c r="U17" s="666"/>
      <c r="V17" s="665"/>
      <c r="W17" s="666"/>
      <c r="X17" s="1262"/>
      <c r="Y17" s="3483"/>
      <c r="Z17" s="1261"/>
      <c r="AA17" s="1261">
        <v>1</v>
      </c>
      <c r="AB17" s="1261">
        <v>1</v>
      </c>
      <c r="AC17" s="1261">
        <v>1</v>
      </c>
    </row>
    <row r="18" spans="1:29" ht="15">
      <c r="A18" s="367"/>
      <c r="B18" s="584" t="s">
        <v>1813</v>
      </c>
      <c r="C18" s="1751">
        <f>IF(B1="工业",估价对象房地状况!G6,估价对象房地状况!C8)</f>
        <v>0</v>
      </c>
      <c r="D18" s="394">
        <v>100</v>
      </c>
      <c r="E18" s="391">
        <v>0</v>
      </c>
      <c r="F18" s="397">
        <f>SUMIF(65:65,E19,66:66)-SUMIF(65:65,C19,66:66)+100</f>
        <v>100</v>
      </c>
      <c r="G18" s="393">
        <v>0</v>
      </c>
      <c r="H18" s="394">
        <f>SUMIF(65:65,G19,66:66)-SUMIF(65:65,C19,66:66)+100</f>
        <v>100</v>
      </c>
      <c r="I18" s="396">
        <v>0</v>
      </c>
      <c r="J18" s="394">
        <f>SUMIF(65:65,I19,66:66)-SUMIF(65:65,C19,66:66)+100</f>
        <v>100</v>
      </c>
      <c r="K18" s="538">
        <v>2</v>
      </c>
      <c r="L18" s="2488"/>
      <c r="M18" s="2483"/>
      <c r="N18" s="2483"/>
      <c r="O18" s="2538"/>
      <c r="P18" s="3483"/>
      <c r="Q18" s="1260" t="str">
        <f>B18</f>
        <v>基础设施水平</v>
      </c>
      <c r="R18" s="665" t="s">
        <v>14</v>
      </c>
      <c r="S18" s="666">
        <f>F18</f>
        <v>100</v>
      </c>
      <c r="T18" s="665" t="s">
        <v>14</v>
      </c>
      <c r="U18" s="666">
        <f>H18</f>
        <v>100</v>
      </c>
      <c r="V18" s="665" t="s">
        <v>14</v>
      </c>
      <c r="W18" s="666">
        <f>J18</f>
        <v>100</v>
      </c>
      <c r="X18" s="1262"/>
      <c r="Y18" s="3483"/>
      <c r="Z18" s="1261" t="str">
        <f>Q18</f>
        <v>基础设施水平</v>
      </c>
      <c r="AA18" s="1261">
        <f t="shared" ref="AA18" si="8">D18/F18</f>
        <v>1</v>
      </c>
      <c r="AB18" s="1261">
        <f t="shared" ref="AB18" si="9">D18/H18</f>
        <v>1</v>
      </c>
      <c r="AC18" s="1261">
        <f t="shared" ref="AC18" si="10">D18/J18</f>
        <v>1</v>
      </c>
    </row>
    <row r="19" spans="1:29" ht="15">
      <c r="A19" s="367"/>
      <c r="B19" s="584"/>
      <c r="C19" s="1752" t="s">
        <v>5789</v>
      </c>
      <c r="D19" s="389"/>
      <c r="E19" s="1752" t="s">
        <v>5789</v>
      </c>
      <c r="F19" s="392"/>
      <c r="G19" s="1752" t="s">
        <v>5789</v>
      </c>
      <c r="H19" s="387"/>
      <c r="I19" s="386" t="s">
        <v>5789</v>
      </c>
      <c r="J19" s="387"/>
      <c r="K19" s="1061"/>
      <c r="L19" s="2488"/>
      <c r="M19" s="2483"/>
      <c r="N19" s="2483"/>
      <c r="O19" s="2538"/>
      <c r="P19" s="3483"/>
      <c r="Q19" s="1260"/>
      <c r="R19" s="665"/>
      <c r="S19" s="666"/>
      <c r="T19" s="665"/>
      <c r="U19" s="666"/>
      <c r="V19" s="665"/>
      <c r="W19" s="666"/>
      <c r="X19" s="1262"/>
      <c r="Y19" s="3483"/>
      <c r="Z19" s="1261"/>
      <c r="AA19" s="1261">
        <v>1</v>
      </c>
      <c r="AB19" s="1261">
        <v>1</v>
      </c>
      <c r="AC19" s="1261">
        <v>1</v>
      </c>
    </row>
    <row r="20" spans="1:29" ht="15">
      <c r="A20" s="367"/>
      <c r="B20" s="390" t="s">
        <v>1834</v>
      </c>
      <c r="C20" s="1751">
        <f>IF(B1="工业",估价对象房地状况!G7,估价对象房地状况!C9)</f>
        <v>0</v>
      </c>
      <c r="D20" s="394">
        <v>100</v>
      </c>
      <c r="E20" s="396">
        <v>0</v>
      </c>
      <c r="F20" s="397">
        <f>SUMIF(67:67,E21,68:68)-SUMIF(67:67,C21,68:68)+100</f>
        <v>100</v>
      </c>
      <c r="G20" s="398">
        <v>0</v>
      </c>
      <c r="H20" s="389">
        <f>SUMIF(67:67,G21,68:68)-SUMIF(67:67,C21,68:68)+100</f>
        <v>100</v>
      </c>
      <c r="I20" s="391">
        <v>0</v>
      </c>
      <c r="J20" s="389">
        <f>SUMIF(67:67,I21,68:68)-SUMIF(67:67,C21,68:68)+100</f>
        <v>97</v>
      </c>
      <c r="K20" s="538">
        <v>3</v>
      </c>
      <c r="L20" s="2488"/>
      <c r="M20" s="2483"/>
      <c r="N20" s="2483"/>
      <c r="O20" s="2538"/>
      <c r="P20" s="3483"/>
      <c r="Q20" s="1260" t="str">
        <f>B20</f>
        <v>自然及人文环境</v>
      </c>
      <c r="R20" s="665" t="s">
        <v>14</v>
      </c>
      <c r="S20" s="666">
        <f>F20</f>
        <v>100</v>
      </c>
      <c r="T20" s="665" t="s">
        <v>14</v>
      </c>
      <c r="U20" s="666">
        <f>H20</f>
        <v>100</v>
      </c>
      <c r="V20" s="665" t="s">
        <v>14</v>
      </c>
      <c r="W20" s="666">
        <f>J20</f>
        <v>97</v>
      </c>
      <c r="X20" s="1262"/>
      <c r="Y20" s="3483"/>
      <c r="Z20" s="1261" t="str">
        <f>Q20</f>
        <v>自然及人文环境</v>
      </c>
      <c r="AA20" s="1261">
        <f t="shared" si="3"/>
        <v>1</v>
      </c>
      <c r="AB20" s="1261">
        <f t="shared" si="4"/>
        <v>1</v>
      </c>
      <c r="AC20" s="1261">
        <f t="shared" si="5"/>
        <v>1.0309278350515463</v>
      </c>
    </row>
    <row r="21" spans="1:29" ht="15.75" thickBot="1">
      <c r="A21" s="367"/>
      <c r="B21" s="395"/>
      <c r="C21" s="386" t="s">
        <v>5788</v>
      </c>
      <c r="D21" s="387"/>
      <c r="E21" s="386" t="s">
        <v>5788</v>
      </c>
      <c r="F21" s="388"/>
      <c r="G21" s="386" t="s">
        <v>5788</v>
      </c>
      <c r="H21" s="387"/>
      <c r="I21" s="386" t="s">
        <v>5792</v>
      </c>
      <c r="J21" s="387"/>
      <c r="K21" s="539"/>
      <c r="L21" s="2488"/>
      <c r="M21" s="2483"/>
      <c r="N21" s="2483"/>
      <c r="O21" s="2538"/>
      <c r="P21" s="3483"/>
      <c r="Q21" s="1260"/>
      <c r="R21" s="665"/>
      <c r="S21" s="666"/>
      <c r="T21" s="665"/>
      <c r="U21" s="666"/>
      <c r="V21" s="665"/>
      <c r="W21" s="666"/>
      <c r="X21" s="1262"/>
      <c r="Y21" s="3483"/>
      <c r="Z21" s="1261"/>
      <c r="AA21" s="1261">
        <v>1</v>
      </c>
      <c r="AB21" s="1261">
        <v>1</v>
      </c>
      <c r="AC21" s="1261">
        <v>1</v>
      </c>
    </row>
    <row r="22" spans="1:29" ht="15" hidden="1">
      <c r="A22" s="367"/>
      <c r="B22" s="390" t="s">
        <v>1835</v>
      </c>
      <c r="C22" s="540"/>
      <c r="D22" s="389">
        <v>100</v>
      </c>
      <c r="E22" s="540"/>
      <c r="F22" s="400">
        <f>SUMIF(69:69,E22,70:70)-SUMIF(69:69,C22,70:70)+100</f>
        <v>100</v>
      </c>
      <c r="G22" s="540"/>
      <c r="H22" s="374">
        <f>SUMIF(69:69,G22,70:70)-SUMIF(69:69,C22,70:70)+100</f>
        <v>100</v>
      </c>
      <c r="I22" s="540"/>
      <c r="J22" s="374">
        <f>SUMIF(69:69,I22,70:70)-SUMIF(69:69,C22,70:70)+100</f>
        <v>100</v>
      </c>
      <c r="K22" s="536"/>
      <c r="L22" s="2488"/>
      <c r="M22" s="2483"/>
      <c r="N22" s="2483"/>
      <c r="O22" s="2538"/>
      <c r="P22" s="3483"/>
      <c r="Q22" s="1260" t="str">
        <f>B22</f>
        <v>楼层</v>
      </c>
      <c r="R22" s="665" t="s">
        <v>14</v>
      </c>
      <c r="S22" s="666">
        <f>F22</f>
        <v>100</v>
      </c>
      <c r="T22" s="665" t="s">
        <v>14</v>
      </c>
      <c r="U22" s="666">
        <f>H22</f>
        <v>100</v>
      </c>
      <c r="V22" s="665" t="s">
        <v>14</v>
      </c>
      <c r="W22" s="666">
        <f>J22</f>
        <v>100</v>
      </c>
      <c r="X22" s="1262"/>
      <c r="Y22" s="3483"/>
      <c r="Z22" s="1261" t="str">
        <f>Q22</f>
        <v>楼层</v>
      </c>
      <c r="AA22" s="1261">
        <f t="shared" si="3"/>
        <v>1</v>
      </c>
      <c r="AB22" s="1261">
        <f t="shared" si="4"/>
        <v>1</v>
      </c>
      <c r="AC22" s="1261">
        <f t="shared" si="5"/>
        <v>1</v>
      </c>
    </row>
    <row r="23" spans="1:29" ht="15" hidden="1">
      <c r="A23" s="348"/>
      <c r="B23" s="445">
        <v>111</v>
      </c>
      <c r="C23" s="371"/>
      <c r="D23" s="374">
        <v>100</v>
      </c>
      <c r="E23" s="373"/>
      <c r="F23" s="400">
        <f>SUMIF(71:71,E23,72:72)-SUMIF(71:71,C23,72:72)+100</f>
        <v>100</v>
      </c>
      <c r="G23" s="373"/>
      <c r="H23" s="374">
        <f>SUMIF(71:71,G23,72:72)-SUMIF(71:71,C23,72:72)+100</f>
        <v>100</v>
      </c>
      <c r="I23" s="373"/>
      <c r="J23" s="374">
        <f>SUMIF(71:71,I23,72:72)-SUMIF(71:71,C23,72:72)+100</f>
        <v>100</v>
      </c>
      <c r="K23" s="537"/>
      <c r="L23" s="2488"/>
      <c r="M23" s="2483"/>
      <c r="N23" s="2483"/>
      <c r="O23" s="2538"/>
      <c r="P23" s="3483"/>
      <c r="Q23" s="1260">
        <f>B23</f>
        <v>111</v>
      </c>
      <c r="R23" s="665" t="s">
        <v>14</v>
      </c>
      <c r="S23" s="666">
        <f>F23</f>
        <v>100</v>
      </c>
      <c r="T23" s="665" t="s">
        <v>14</v>
      </c>
      <c r="U23" s="666">
        <f>H23</f>
        <v>100</v>
      </c>
      <c r="V23" s="665" t="s">
        <v>14</v>
      </c>
      <c r="W23" s="666">
        <f>J23</f>
        <v>100</v>
      </c>
      <c r="X23" s="1262"/>
      <c r="Y23" s="3483"/>
      <c r="Z23" s="1261">
        <f>Q23</f>
        <v>111</v>
      </c>
      <c r="AA23" s="1261">
        <f t="shared" si="3"/>
        <v>1</v>
      </c>
      <c r="AB23" s="1261">
        <f t="shared" si="4"/>
        <v>1</v>
      </c>
      <c r="AC23" s="1261">
        <f t="shared" si="5"/>
        <v>1</v>
      </c>
    </row>
    <row r="24" spans="1:29" ht="15" hidden="1">
      <c r="A24" s="367"/>
      <c r="B24" s="445">
        <v>111</v>
      </c>
      <c r="C24" s="371"/>
      <c r="D24" s="374">
        <v>100</v>
      </c>
      <c r="E24" s="373"/>
      <c r="F24" s="400">
        <f>SUMIF(73:73,E24,74:74)-SUMIF(73:73,C24,74:74)+100</f>
        <v>100</v>
      </c>
      <c r="G24" s="373"/>
      <c r="H24" s="374">
        <f>SUMIF(73:73,G24,74:74)-SUMIF(73:73,C24,74:74)+100</f>
        <v>100</v>
      </c>
      <c r="I24" s="373"/>
      <c r="J24" s="374">
        <f>SUMIF(73:73,I24,74:74)-SUMIF(73:73,C24,74:74)+100</f>
        <v>100</v>
      </c>
      <c r="K24" s="537"/>
      <c r="L24" s="2488"/>
      <c r="M24" s="2483"/>
      <c r="N24" s="2483"/>
      <c r="O24" s="2538"/>
      <c r="P24" s="3483"/>
      <c r="Q24" s="1260">
        <f t="shared" ref="Q24:Q34" si="11">B24</f>
        <v>111</v>
      </c>
      <c r="R24" s="665" t="s">
        <v>14</v>
      </c>
      <c r="S24" s="666">
        <f>F24</f>
        <v>100</v>
      </c>
      <c r="T24" s="665" t="s">
        <v>14</v>
      </c>
      <c r="U24" s="666">
        <f>H24</f>
        <v>100</v>
      </c>
      <c r="V24" s="665" t="s">
        <v>14</v>
      </c>
      <c r="W24" s="666">
        <f>J24</f>
        <v>100</v>
      </c>
      <c r="X24" s="1262"/>
      <c r="Y24" s="3483"/>
      <c r="Z24" s="1261">
        <f>Q24</f>
        <v>111</v>
      </c>
      <c r="AA24" s="1261">
        <f t="shared" si="3"/>
        <v>1</v>
      </c>
      <c r="AB24" s="1261">
        <f t="shared" si="4"/>
        <v>1</v>
      </c>
      <c r="AC24" s="1261">
        <f t="shared" si="5"/>
        <v>1</v>
      </c>
    </row>
    <row r="25" spans="1:29" s="102" customFormat="1" ht="15.75" hidden="1" thickBot="1">
      <c r="A25" s="370"/>
      <c r="B25" s="445">
        <v>111</v>
      </c>
      <c r="C25" s="1819"/>
      <c r="D25" s="555">
        <v>100</v>
      </c>
      <c r="E25" s="1819"/>
      <c r="F25" s="584">
        <f>SUMIF(75:75,E25,76:76)-SUMIF(75:75,C25,76:76)+100</f>
        <v>100</v>
      </c>
      <c r="G25" s="1819"/>
      <c r="H25" s="555">
        <f>SUMIF(75:75,G25,76:76)-SUMIF(75:75,C25,76:76)+100</f>
        <v>100</v>
      </c>
      <c r="I25" s="1819"/>
      <c r="J25" s="555">
        <f>SUMIF(75:75,I25,76:76)-SUMIF(75:75,C25,76:76)+100</f>
        <v>100</v>
      </c>
      <c r="K25" s="537"/>
      <c r="L25" s="2484"/>
      <c r="M25" s="2435"/>
      <c r="N25" s="2435"/>
      <c r="O25" s="2536"/>
      <c r="P25" s="3483"/>
      <c r="Q25" s="528">
        <f t="shared" si="11"/>
        <v>111</v>
      </c>
      <c r="R25" s="662" t="s">
        <v>14</v>
      </c>
      <c r="S25" s="663">
        <f>F25</f>
        <v>100</v>
      </c>
      <c r="T25" s="662" t="s">
        <v>14</v>
      </c>
      <c r="U25" s="663">
        <f>H25</f>
        <v>100</v>
      </c>
      <c r="V25" s="662" t="s">
        <v>14</v>
      </c>
      <c r="W25" s="663">
        <f>J25</f>
        <v>100</v>
      </c>
      <c r="X25" s="664"/>
      <c r="Y25" s="3483"/>
      <c r="Z25" s="50">
        <f>Q25</f>
        <v>111</v>
      </c>
      <c r="AA25" s="1261">
        <f>D25/F25</f>
        <v>1</v>
      </c>
      <c r="AB25" s="1261">
        <f>D25/H25</f>
        <v>1</v>
      </c>
      <c r="AC25" s="1261">
        <f>D25/J25</f>
        <v>1</v>
      </c>
    </row>
    <row r="26" spans="1:29" ht="28.5">
      <c r="A26" s="404" t="s">
        <v>1694</v>
      </c>
      <c r="B26" s="60" t="s">
        <v>1838</v>
      </c>
      <c r="C26" s="1761" t="s">
        <v>5823</v>
      </c>
      <c r="D26" s="405">
        <v>100</v>
      </c>
      <c r="E26" s="3183" t="s">
        <v>5811</v>
      </c>
      <c r="F26" s="585">
        <f>SUMIF(77:77,E26,78:78)-SUMIF(77:77,C26,78:78)+100</f>
        <v>100</v>
      </c>
      <c r="G26" s="3183" t="s">
        <v>5811</v>
      </c>
      <c r="H26" s="405">
        <f>SUMIF(77:77,G26,78:78)-SUMIF(77:77,C26,78:78)+100</f>
        <v>100</v>
      </c>
      <c r="I26" s="3183" t="s">
        <v>5811</v>
      </c>
      <c r="J26" s="405">
        <f>SUMIF(77:77,I26,78:78)-SUMIF(77:77,C26,78:78)+100</f>
        <v>100</v>
      </c>
      <c r="K26" s="536">
        <v>3</v>
      </c>
      <c r="L26" s="2488"/>
      <c r="M26" s="2483"/>
      <c r="N26" s="2483"/>
      <c r="O26" s="2538"/>
      <c r="P26" s="3484"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85" t="s">
        <v>1696</v>
      </c>
      <c r="Z26" s="1261" t="str">
        <f t="shared" ref="Z26:Z34" si="15">Q26</f>
        <v>公共部分装修</v>
      </c>
      <c r="AA26" s="1261">
        <f t="shared" si="3"/>
        <v>1</v>
      </c>
      <c r="AB26" s="1261">
        <f t="shared" si="4"/>
        <v>1</v>
      </c>
      <c r="AC26" s="1261">
        <f t="shared" si="5"/>
        <v>1</v>
      </c>
    </row>
    <row r="27" spans="1:29" s="408" customFormat="1" ht="15">
      <c r="A27" s="406"/>
      <c r="B27" s="364" t="s">
        <v>1839</v>
      </c>
      <c r="C27" s="411">
        <v>1</v>
      </c>
      <c r="D27" s="119">
        <v>100</v>
      </c>
      <c r="E27" s="411">
        <v>1</v>
      </c>
      <c r="F27" s="400">
        <f>LOOKUP(E27,80:80,81:81)-LOOKUP(C27,80:80,81:81)+100</f>
        <v>100</v>
      </c>
      <c r="G27" s="411">
        <v>1</v>
      </c>
      <c r="H27" s="374">
        <f>LOOKUP(G27,80:80,81:81)-LOOKUP(C27,80:80,81:81)+100</f>
        <v>100</v>
      </c>
      <c r="I27" s="411">
        <v>1</v>
      </c>
      <c r="J27" s="374">
        <f>LOOKUP(I27,80:80,81:81)-LOOKUP(C27,80:80,81:81)+100</f>
        <v>100</v>
      </c>
      <c r="K27" s="536">
        <v>2</v>
      </c>
      <c r="L27" s="2487"/>
      <c r="M27" s="2489"/>
      <c r="N27" s="2489"/>
      <c r="O27" s="2539"/>
      <c r="P27" s="3485"/>
      <c r="Q27" s="529" t="str">
        <f t="shared" si="11"/>
        <v>成新率</v>
      </c>
      <c r="R27" s="667" t="s">
        <v>14</v>
      </c>
      <c r="S27" s="668">
        <f t="shared" si="12"/>
        <v>100</v>
      </c>
      <c r="T27" s="667" t="s">
        <v>14</v>
      </c>
      <c r="U27" s="668">
        <f t="shared" si="13"/>
        <v>100</v>
      </c>
      <c r="V27" s="667" t="s">
        <v>14</v>
      </c>
      <c r="W27" s="668">
        <f t="shared" si="14"/>
        <v>100</v>
      </c>
      <c r="X27" s="669"/>
      <c r="Y27" s="3485"/>
      <c r="Z27" s="670" t="str">
        <f t="shared" si="15"/>
        <v>成新率</v>
      </c>
      <c r="AA27" s="1261">
        <f t="shared" si="3"/>
        <v>1</v>
      </c>
      <c r="AB27" s="1261">
        <f t="shared" si="4"/>
        <v>1</v>
      </c>
      <c r="AC27" s="1261">
        <f t="shared" si="5"/>
        <v>1</v>
      </c>
    </row>
    <row r="28" spans="1:29" ht="15">
      <c r="A28" s="409"/>
      <c r="B28" s="364" t="s">
        <v>1840</v>
      </c>
      <c r="C28" s="3184" t="s">
        <v>5812</v>
      </c>
      <c r="D28" s="374">
        <v>100</v>
      </c>
      <c r="E28" s="3184" t="s">
        <v>5812</v>
      </c>
      <c r="F28" s="400">
        <f>SUMIF(82:82,E28,83:83)-SUMIF(82:82,C28,83:83)+100</f>
        <v>100</v>
      </c>
      <c r="G28" s="3184" t="s">
        <v>5812</v>
      </c>
      <c r="H28" s="374">
        <f>SUMIF(82:82,G28,83:83)-SUMIF(82:82,C28,83:83)+100</f>
        <v>100</v>
      </c>
      <c r="I28" s="3184" t="s">
        <v>5812</v>
      </c>
      <c r="J28" s="374">
        <f>SUMIF(82:82,I28,83:83)-SUMIF(82:82,C28,83:83)+100</f>
        <v>100</v>
      </c>
      <c r="K28" s="536">
        <v>2</v>
      </c>
      <c r="L28" s="2488"/>
      <c r="M28" s="2483"/>
      <c r="N28" s="2483"/>
      <c r="O28" s="2538"/>
      <c r="P28" s="3485"/>
      <c r="Q28" s="1260" t="str">
        <f t="shared" si="11"/>
        <v>物业等级</v>
      </c>
      <c r="R28" s="665" t="s">
        <v>14</v>
      </c>
      <c r="S28" s="666">
        <f t="shared" si="12"/>
        <v>100</v>
      </c>
      <c r="T28" s="665" t="s">
        <v>14</v>
      </c>
      <c r="U28" s="666">
        <f t="shared" si="13"/>
        <v>100</v>
      </c>
      <c r="V28" s="665" t="s">
        <v>14</v>
      </c>
      <c r="W28" s="666">
        <f t="shared" si="14"/>
        <v>100</v>
      </c>
      <c r="X28" s="1262"/>
      <c r="Y28" s="3485"/>
      <c r="Z28" s="1261" t="str">
        <f t="shared" si="15"/>
        <v>物业等级</v>
      </c>
      <c r="AA28" s="1261">
        <f t="shared" si="3"/>
        <v>1</v>
      </c>
      <c r="AB28" s="1261">
        <f t="shared" si="4"/>
        <v>1</v>
      </c>
      <c r="AC28" s="1261">
        <f t="shared" si="5"/>
        <v>1</v>
      </c>
    </row>
    <row r="29" spans="1:29" ht="15" hidden="1">
      <c r="A29" s="409"/>
      <c r="B29" s="364" t="s">
        <v>1860</v>
      </c>
      <c r="C29" s="576"/>
      <c r="D29" s="374">
        <v>100</v>
      </c>
      <c r="E29" s="576"/>
      <c r="F29" s="400">
        <f>SUMIF(84:84,E29,85:85)-SUMIF(84:84,C29,85:85)+100</f>
        <v>100</v>
      </c>
      <c r="G29" s="576"/>
      <c r="H29" s="374">
        <f>SUMIF(84:84,G29,85:85)-SUMIF(84:84,C29,85:85)+100</f>
        <v>100</v>
      </c>
      <c r="I29" s="576"/>
      <c r="J29" s="374">
        <f>SUMIF(84:84,I29,85:85)-SUMIF(84:84,C29,85:85)+100</f>
        <v>100</v>
      </c>
      <c r="K29" s="536"/>
      <c r="L29" s="2488"/>
      <c r="M29" s="2483"/>
      <c r="N29" s="2483"/>
      <c r="O29" s="2538"/>
      <c r="P29" s="3485"/>
      <c r="Q29" s="1260" t="str">
        <f t="shared" si="11"/>
        <v>有无电梯</v>
      </c>
      <c r="R29" s="665" t="s">
        <v>14</v>
      </c>
      <c r="S29" s="666">
        <f t="shared" si="12"/>
        <v>100</v>
      </c>
      <c r="T29" s="665" t="s">
        <v>14</v>
      </c>
      <c r="U29" s="666">
        <f t="shared" si="13"/>
        <v>100</v>
      </c>
      <c r="V29" s="665" t="s">
        <v>14</v>
      </c>
      <c r="W29" s="666">
        <f t="shared" si="14"/>
        <v>100</v>
      </c>
      <c r="X29" s="1262"/>
      <c r="Y29" s="3485"/>
      <c r="Z29" s="1261" t="str">
        <f t="shared" si="15"/>
        <v>有无电梯</v>
      </c>
      <c r="AA29" s="1261">
        <f t="shared" si="3"/>
        <v>1</v>
      </c>
      <c r="AB29" s="1261">
        <f t="shared" si="4"/>
        <v>1</v>
      </c>
      <c r="AC29" s="1261">
        <f t="shared" si="5"/>
        <v>1</v>
      </c>
    </row>
    <row r="30" spans="1:29" ht="15" hidden="1">
      <c r="A30" s="409"/>
      <c r="B30" s="364" t="s">
        <v>1861</v>
      </c>
      <c r="C30" s="407"/>
      <c r="D30" s="374">
        <v>100</v>
      </c>
      <c r="E30" s="407"/>
      <c r="F30" s="400">
        <f>LOOKUP(E30,87:87,88:88)-LOOKUP(C30,87:87,88:88)+100</f>
        <v>100</v>
      </c>
      <c r="G30" s="407"/>
      <c r="H30" s="374">
        <f>LOOKUP(G30,87:87,88:88)-LOOKUP(C30,87:87,88:88)+100</f>
        <v>100</v>
      </c>
      <c r="I30" s="407"/>
      <c r="J30" s="374">
        <f>LOOKUP(I30,87:87,88:88)-LOOKUP(C30,87:87,88:88)+100</f>
        <v>100</v>
      </c>
      <c r="K30" s="537"/>
      <c r="L30" s="2488"/>
      <c r="M30" s="2483"/>
      <c r="N30" s="2483"/>
      <c r="O30" s="2538"/>
      <c r="P30" s="3485"/>
      <c r="Q30" s="1260" t="str">
        <f t="shared" si="11"/>
        <v>建筑面积</v>
      </c>
      <c r="R30" s="665" t="s">
        <v>14</v>
      </c>
      <c r="S30" s="666">
        <f t="shared" si="12"/>
        <v>100</v>
      </c>
      <c r="T30" s="665" t="s">
        <v>14</v>
      </c>
      <c r="U30" s="666">
        <f t="shared" si="13"/>
        <v>100</v>
      </c>
      <c r="V30" s="665" t="s">
        <v>14</v>
      </c>
      <c r="W30" s="666">
        <f t="shared" si="14"/>
        <v>100</v>
      </c>
      <c r="X30" s="1262"/>
      <c r="Y30" s="3485"/>
      <c r="Z30" s="1261" t="str">
        <f t="shared" si="15"/>
        <v>建筑面积</v>
      </c>
      <c r="AA30" s="1261">
        <f t="shared" si="3"/>
        <v>1</v>
      </c>
      <c r="AB30" s="1261">
        <f t="shared" si="4"/>
        <v>1</v>
      </c>
      <c r="AC30" s="1261">
        <f t="shared" si="5"/>
        <v>1</v>
      </c>
    </row>
    <row r="31" spans="1:29" s="102" customFormat="1" ht="15" hidden="1">
      <c r="A31" s="410"/>
      <c r="B31" s="364" t="s">
        <v>1862</v>
      </c>
      <c r="C31" s="576"/>
      <c r="D31" s="119">
        <v>100</v>
      </c>
      <c r="E31" s="576"/>
      <c r="F31" s="400">
        <f>SUMIF(89:89,E31,90:90)-SUMIF(89:89,C31,90:90)+100</f>
        <v>100</v>
      </c>
      <c r="G31" s="576"/>
      <c r="H31" s="374">
        <f>SUMIF(89:89,G31,90:90)-SUMIF(89:89,C31,90:90)+100</f>
        <v>100</v>
      </c>
      <c r="I31" s="576"/>
      <c r="J31" s="374">
        <f>SUMIF(89:89,I31,90:90)-SUMIF(89:89,C31,90:90)+100</f>
        <v>100</v>
      </c>
      <c r="K31" s="536"/>
      <c r="L31" s="2484"/>
      <c r="M31" s="2435"/>
      <c r="N31" s="2435"/>
      <c r="O31" s="2536"/>
      <c r="P31" s="3485"/>
      <c r="Q31" s="528" t="str">
        <f t="shared" si="11"/>
        <v>是否封闭</v>
      </c>
      <c r="R31" s="662" t="s">
        <v>14</v>
      </c>
      <c r="S31" s="663">
        <f t="shared" si="12"/>
        <v>100</v>
      </c>
      <c r="T31" s="662" t="s">
        <v>14</v>
      </c>
      <c r="U31" s="663">
        <f t="shared" si="13"/>
        <v>100</v>
      </c>
      <c r="V31" s="662" t="s">
        <v>14</v>
      </c>
      <c r="W31" s="663">
        <f t="shared" si="14"/>
        <v>100</v>
      </c>
      <c r="X31" s="664"/>
      <c r="Y31" s="3485"/>
      <c r="Z31" s="50" t="str">
        <f t="shared" si="15"/>
        <v>是否封闭</v>
      </c>
      <c r="AA31" s="50">
        <f t="shared" si="3"/>
        <v>1</v>
      </c>
      <c r="AB31" s="50">
        <f t="shared" si="4"/>
        <v>1</v>
      </c>
      <c r="AC31" s="50">
        <f t="shared" si="5"/>
        <v>1</v>
      </c>
    </row>
    <row r="32" spans="1:29" ht="15.75" thickBot="1">
      <c r="A32" s="409"/>
      <c r="B32" s="3180" t="s">
        <v>5849</v>
      </c>
      <c r="C32" s="3200" t="s">
        <v>5850</v>
      </c>
      <c r="D32" s="374">
        <v>100</v>
      </c>
      <c r="E32" s="3193" t="s">
        <v>5850</v>
      </c>
      <c r="F32" s="400">
        <f>SUMIF(91:91,E32,92:92)-SUMIF(91:91,C32,92:92)+100</f>
        <v>100</v>
      </c>
      <c r="G32" s="3193" t="s">
        <v>5851</v>
      </c>
      <c r="H32" s="374">
        <f>SUMIF(91:91,G32,92:92)-SUMIF(91:91,C32,92:92)+100</f>
        <v>98</v>
      </c>
      <c r="I32" s="3193" t="s">
        <v>5850</v>
      </c>
      <c r="J32" s="374">
        <f>SUMIF(91:91,I32,92:92)-SUMIF(91:91,C32,92:92)+100</f>
        <v>100</v>
      </c>
      <c r="K32" s="537"/>
      <c r="L32" s="2488"/>
      <c r="M32" s="2483"/>
      <c r="N32" s="2483"/>
      <c r="O32" s="2538"/>
      <c r="P32" s="3485" t="s">
        <v>1696</v>
      </c>
      <c r="Q32" s="1260" t="str">
        <f t="shared" si="11"/>
        <v>建筑形式</v>
      </c>
      <c r="R32" s="665" t="s">
        <v>14</v>
      </c>
      <c r="S32" s="666">
        <f t="shared" si="12"/>
        <v>100</v>
      </c>
      <c r="T32" s="665" t="s">
        <v>14</v>
      </c>
      <c r="U32" s="666">
        <f t="shared" si="13"/>
        <v>98</v>
      </c>
      <c r="V32" s="665" t="s">
        <v>14</v>
      </c>
      <c r="W32" s="666">
        <f t="shared" si="14"/>
        <v>100</v>
      </c>
      <c r="X32" s="1262"/>
      <c r="Y32" s="3485" t="s">
        <v>1696</v>
      </c>
      <c r="Z32" s="1261" t="str">
        <f t="shared" si="15"/>
        <v>建筑形式</v>
      </c>
      <c r="AA32" s="1261">
        <f t="shared" si="3"/>
        <v>1</v>
      </c>
      <c r="AB32" s="1261">
        <f t="shared" si="4"/>
        <v>1.0204081632653061</v>
      </c>
      <c r="AC32" s="1261">
        <f t="shared" si="5"/>
        <v>1</v>
      </c>
    </row>
    <row r="33" spans="1:30" ht="15" hidden="1">
      <c r="A33" s="409"/>
      <c r="B33" s="445">
        <v>111</v>
      </c>
      <c r="C33" s="371"/>
      <c r="D33" s="374">
        <v>100</v>
      </c>
      <c r="E33" s="407"/>
      <c r="F33" s="400">
        <f>SUMIF(93:93,E33,94:94)-SUMIF(93:93,C33,94:94)+100</f>
        <v>100</v>
      </c>
      <c r="G33" s="407"/>
      <c r="H33" s="374">
        <f>SUMIF(93:93,G33,94:94)-SUMIF(93:93,C33,94:94)+100</f>
        <v>100</v>
      </c>
      <c r="I33" s="407"/>
      <c r="J33" s="374">
        <f>SUMIF(93:93,I33,94:94)-SUMIF(93:93,C33,94:94)+100</f>
        <v>100</v>
      </c>
      <c r="K33" s="537"/>
      <c r="L33" s="2488"/>
      <c r="M33" s="2483"/>
      <c r="N33" s="2483"/>
      <c r="O33" s="2538"/>
      <c r="P33" s="3485"/>
      <c r="Q33" s="1260">
        <f t="shared" si="11"/>
        <v>111</v>
      </c>
      <c r="R33" s="665" t="s">
        <v>14</v>
      </c>
      <c r="S33" s="666">
        <f t="shared" si="12"/>
        <v>100</v>
      </c>
      <c r="T33" s="665" t="s">
        <v>14</v>
      </c>
      <c r="U33" s="666">
        <f t="shared" si="13"/>
        <v>100</v>
      </c>
      <c r="V33" s="665" t="s">
        <v>14</v>
      </c>
      <c r="W33" s="666">
        <f t="shared" si="14"/>
        <v>100</v>
      </c>
      <c r="X33" s="1262"/>
      <c r="Y33" s="3485"/>
      <c r="Z33" s="1261">
        <f t="shared" si="15"/>
        <v>111</v>
      </c>
      <c r="AA33" s="1261">
        <f t="shared" si="3"/>
        <v>1</v>
      </c>
      <c r="AB33" s="1261">
        <f t="shared" si="4"/>
        <v>1</v>
      </c>
      <c r="AC33" s="1261">
        <f t="shared" si="5"/>
        <v>1</v>
      </c>
    </row>
    <row r="34" spans="1:30" ht="15.75" hidden="1" thickBot="1">
      <c r="A34" s="413"/>
      <c r="B34" s="1746">
        <v>111</v>
      </c>
      <c r="C34" s="376"/>
      <c r="D34" s="377">
        <v>100</v>
      </c>
      <c r="E34" s="1818"/>
      <c r="F34" s="378">
        <f>SUMIF(95:95,E34,96:96)-SUMIF(95:95,C34,96:96)+100</f>
        <v>100</v>
      </c>
      <c r="G34" s="1818"/>
      <c r="H34" s="377">
        <f>SUMIF(95:95,G34,96:96)-SUMIF(95:95,C34,96:96)+100</f>
        <v>100</v>
      </c>
      <c r="I34" s="1818"/>
      <c r="J34" s="377">
        <f>SUMIF(95:95,I34,96:96)-SUMIF(95:95,C34,96:96)+100</f>
        <v>100</v>
      </c>
      <c r="K34" s="537"/>
      <c r="L34" s="2488"/>
      <c r="M34" s="2483"/>
      <c r="N34" s="2483"/>
      <c r="O34" s="2538"/>
      <c r="P34" s="3485"/>
      <c r="Q34" s="1260">
        <f t="shared" si="11"/>
        <v>111</v>
      </c>
      <c r="R34" s="665" t="s">
        <v>14</v>
      </c>
      <c r="S34" s="666">
        <f t="shared" si="12"/>
        <v>100</v>
      </c>
      <c r="T34" s="665" t="s">
        <v>14</v>
      </c>
      <c r="U34" s="666">
        <f t="shared" si="13"/>
        <v>100</v>
      </c>
      <c r="V34" s="665" t="s">
        <v>14</v>
      </c>
      <c r="W34" s="666">
        <f t="shared" si="14"/>
        <v>100</v>
      </c>
      <c r="X34" s="1262"/>
      <c r="Y34" s="3485"/>
      <c r="Z34" s="1261">
        <f t="shared" si="15"/>
        <v>111</v>
      </c>
      <c r="AA34" s="1261">
        <f t="shared" si="3"/>
        <v>1</v>
      </c>
      <c r="AB34" s="1261">
        <f t="shared" si="4"/>
        <v>1</v>
      </c>
      <c r="AC34" s="1261">
        <f t="shared" si="5"/>
        <v>1</v>
      </c>
    </row>
    <row r="35" spans="1:30" ht="15">
      <c r="A35" s="414" t="s">
        <v>1708</v>
      </c>
      <c r="B35" s="415"/>
      <c r="C35" s="1078" t="s">
        <v>0</v>
      </c>
      <c r="D35" s="416"/>
      <c r="E35" s="417">
        <v>33002</v>
      </c>
      <c r="F35" s="418"/>
      <c r="G35" s="419">
        <v>32439</v>
      </c>
      <c r="H35" s="420"/>
      <c r="I35" s="417">
        <v>23034</v>
      </c>
      <c r="J35" s="420"/>
      <c r="K35" s="672"/>
      <c r="L35" s="2490"/>
      <c r="M35" s="2483"/>
      <c r="N35" s="2483"/>
      <c r="O35" s="2483"/>
      <c r="P35" s="3467" t="str">
        <f>A35</f>
        <v>成交单价（元/平方米）</v>
      </c>
      <c r="Q35" s="3467"/>
      <c r="R35" s="3480">
        <f>E35</f>
        <v>33002</v>
      </c>
      <c r="S35" s="3480"/>
      <c r="T35" s="3480">
        <f>G35</f>
        <v>32439</v>
      </c>
      <c r="U35" s="3480"/>
      <c r="V35" s="3480">
        <f>I35</f>
        <v>23034</v>
      </c>
      <c r="W35" s="3480"/>
      <c r="X35" s="385"/>
      <c r="Y35" s="671"/>
      <c r="Z35" s="385"/>
      <c r="AA35" s="385"/>
      <c r="AB35" s="385"/>
      <c r="AC35" s="385"/>
    </row>
    <row r="36" spans="1:30" ht="15.75" thickBot="1">
      <c r="A36" s="421" t="s">
        <v>1793</v>
      </c>
      <c r="B36" s="422"/>
      <c r="C36" s="1079">
        <f>R37</f>
        <v>31337</v>
      </c>
      <c r="D36" s="2136" t="s">
        <v>5827</v>
      </c>
      <c r="E36" s="1080">
        <f>R36</f>
        <v>33002</v>
      </c>
      <c r="F36" s="2137">
        <v>0.4</v>
      </c>
      <c r="G36" s="1079">
        <f>T36</f>
        <v>33101</v>
      </c>
      <c r="H36" s="2137">
        <v>0.4</v>
      </c>
      <c r="I36" s="1080">
        <f>V36</f>
        <v>24481</v>
      </c>
      <c r="J36" s="2137">
        <v>0.2</v>
      </c>
      <c r="K36" s="2139">
        <f>F36+H36+J36</f>
        <v>1</v>
      </c>
      <c r="L36" s="2490"/>
      <c r="M36" s="2483"/>
      <c r="N36" s="2483"/>
      <c r="O36" s="2483"/>
      <c r="P36" s="3467" t="str">
        <f>A36</f>
        <v>比较价值（元/平方米）</v>
      </c>
      <c r="Q36" s="3467"/>
      <c r="R36" s="3480">
        <f>IF(F1="售价",ROUND(PRODUCT(R35,AA7:AA34),0),ROUND(PRODUCT(R35,AA7:AA34),1))</f>
        <v>33002</v>
      </c>
      <c r="S36" s="3480"/>
      <c r="T36" s="3480">
        <f>IF(F1="售价",ROUND(PRODUCT(T35,AB7:AB34),0),ROUND(PRODUCT(T35,AB7:AB34),1))</f>
        <v>33101</v>
      </c>
      <c r="U36" s="3480"/>
      <c r="V36" s="3480">
        <f>IF(F1="售价",ROUND(PRODUCT(V35,AC7:AC34),0),ROUND(PRODUCT(V35,AC7:AC34),1))</f>
        <v>24481</v>
      </c>
      <c r="W36" s="3480"/>
      <c r="X36" s="385"/>
      <c r="Y36" s="385"/>
      <c r="Z36" s="385"/>
      <c r="AA36" s="385"/>
      <c r="AB36" s="385"/>
      <c r="AC36" s="385"/>
    </row>
    <row r="37" spans="1:30" ht="15.75" thickBot="1">
      <c r="A37" s="425" t="s">
        <v>1794</v>
      </c>
      <c r="B37" s="426"/>
      <c r="C37" s="351">
        <f>R37</f>
        <v>31337</v>
      </c>
      <c r="D37" s="351"/>
      <c r="E37" s="351"/>
      <c r="F37" s="351"/>
      <c r="G37" s="351"/>
      <c r="H37" s="351"/>
      <c r="I37" s="351"/>
      <c r="J37" s="351"/>
      <c r="K37" s="673"/>
      <c r="L37" s="2490"/>
      <c r="M37" s="2483"/>
      <c r="N37" s="2483"/>
      <c r="O37" s="2483"/>
      <c r="P37" s="3487" t="str">
        <f>A37</f>
        <v>估价对象XX用房的比较价值（楼面单价，元/平方米）</v>
      </c>
      <c r="Q37" s="3488"/>
      <c r="R37" s="3541">
        <f>IF(F1="售价",ROUND(IF(D36="简单平均",AVERAGE(R36:W36),R36*F36+T36*H36+V36*J36),0),ROUND(IF(D36="简单平均",AVERAGE(R36:V36),R36*F36+T36*H36+V36*J36),1))</f>
        <v>31337</v>
      </c>
      <c r="S37" s="3541"/>
      <c r="T37" s="3541"/>
      <c r="U37" s="3541"/>
      <c r="V37" s="3541"/>
      <c r="W37" s="3541"/>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0" t="s">
        <v>1795</v>
      </c>
      <c r="D40" s="431"/>
      <c r="E40" s="432">
        <f>IF(E35&lt;E36,E36/E35-1,E35/E36-1)</f>
        <v>0</v>
      </c>
      <c r="F40" s="433" t="str">
        <f>IF(OR(E40&gt;=0.3,E40&lt;=-0.3),"超过30%","")</f>
        <v/>
      </c>
      <c r="G40" s="432">
        <f>IF(G35&lt;G36,G36/G35-1,G35/G36-1)</f>
        <v>2.0407534141003048E-2</v>
      </c>
      <c r="H40" s="433" t="str">
        <f>IF(OR(G40&gt;=0.3,G40&lt;=-0.3),"超过30%","")</f>
        <v/>
      </c>
      <c r="I40" s="432">
        <f>IF(I35&lt;I36,I36/I35-1,I35/I36-1)</f>
        <v>6.282017886602409E-2</v>
      </c>
      <c r="J40" s="433" t="str">
        <f>IF(OR(I40&gt;=0.3,I40&lt;=-0.3),"超过30%","")</f>
        <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0" t="s">
        <v>1796</v>
      </c>
      <c r="D41" s="434"/>
      <c r="E41" s="432">
        <f>IF(E36&lt;G36,G36/E36-1,E36/G36-1)</f>
        <v>2.9998181928367895E-3</v>
      </c>
      <c r="F41" s="433" t="str">
        <f>IF(OR(E41&gt;=0.2,E41&lt;=-0.2),"超过20%","")</f>
        <v/>
      </c>
      <c r="G41" s="432">
        <f>IF(G36&lt;I36,I36/G36-1,G36/I36-1)</f>
        <v>0.35210979943629761</v>
      </c>
      <c r="H41" s="433" t="str">
        <f>IF(OR(G41&gt;=0.2,G41&lt;=-0.2),"超过20%","")</f>
        <v>超过20%</v>
      </c>
      <c r="I41" s="432">
        <f>IF(I36&lt;E36,E36/I36-1,I36/E36-1)</f>
        <v>0.34806584698337484</v>
      </c>
      <c r="J41" s="433" t="str">
        <f>IF(OR(I41&gt;=0.2,I41&lt;=-0.2),"超过20%","")</f>
        <v>超过20%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5" customFormat="1" ht="13.5" customHeight="1">
      <c r="A42" s="2493"/>
      <c r="B42" s="2493"/>
      <c r="C42" s="430" t="s">
        <v>1797</v>
      </c>
      <c r="D42" s="434"/>
      <c r="E42" s="432">
        <f>IF(E35&lt;G35,G35/E35-1,E35/G35-1)</f>
        <v>1.735565214710677E-2</v>
      </c>
      <c r="F42" s="433" t="str">
        <f>IF(OR(E42&gt;=0.3,E42&lt;=-0.3),"超过30%","")</f>
        <v/>
      </c>
      <c r="G42" s="432">
        <f>IF(G35&lt;I35,I35/G35-1,G35/I35-1)</f>
        <v>0.40830945558739251</v>
      </c>
      <c r="H42" s="433" t="str">
        <f>IF(OR(G42&gt;=0.3,G42&lt;=-0.3),"超过30%","")</f>
        <v>超过30%</v>
      </c>
      <c r="I42" s="432">
        <f>IF(I35&lt;E35,E35/I35-1,I35/E35-1)</f>
        <v>0.43275158461404883</v>
      </c>
      <c r="J42" s="433" t="str">
        <f>IF(OR(I42&gt;=0.3,I42&lt;=-0.3),"超过30%","")</f>
        <v>超过30%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5"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6" t="s">
        <v>1798</v>
      </c>
      <c r="B45" s="385"/>
      <c r="C45" s="657"/>
      <c r="D45" s="657"/>
      <c r="E45" s="657"/>
      <c r="F45" s="658"/>
      <c r="G45" s="658"/>
      <c r="H45" s="657"/>
      <c r="I45" s="657"/>
      <c r="J45" s="657"/>
      <c r="K45" s="659"/>
      <c r="L45" s="660"/>
      <c r="M45" s="657"/>
      <c r="N45" s="2533"/>
      <c r="O45" s="2533"/>
      <c r="P45" s="2533"/>
      <c r="Q45" s="2504"/>
      <c r="R45" s="2483"/>
      <c r="S45" s="2483"/>
      <c r="T45" s="2483"/>
      <c r="U45" s="2483"/>
      <c r="V45" s="2483"/>
      <c r="W45" s="2483"/>
      <c r="X45" s="2483"/>
      <c r="Y45" s="2483"/>
      <c r="Z45" s="2483"/>
      <c r="AA45" s="2483"/>
      <c r="AB45" s="2483"/>
      <c r="AC45" s="2483"/>
      <c r="AD45" s="2483"/>
    </row>
    <row r="46" spans="1:30" s="440" customFormat="1" ht="15">
      <c r="A46" s="438" t="s">
        <v>1679</v>
      </c>
      <c r="B46" s="439"/>
      <c r="C46" s="1100" t="str">
        <f>YEAR(C7)&amp;"-"&amp;MONTH(C7)</f>
        <v>2025-5</v>
      </c>
      <c r="D46" s="1101">
        <f>EDATE(C46,-1)</f>
        <v>45748</v>
      </c>
      <c r="E46" s="1101">
        <f t="shared" ref="E46:O46" si="16">EDATE(D46,-1)</f>
        <v>45717</v>
      </c>
      <c r="F46" s="1101">
        <f t="shared" si="16"/>
        <v>45689</v>
      </c>
      <c r="G46" s="1101">
        <f t="shared" si="16"/>
        <v>45658</v>
      </c>
      <c r="H46" s="1101">
        <f t="shared" si="16"/>
        <v>45627</v>
      </c>
      <c r="I46" s="1101">
        <f t="shared" si="16"/>
        <v>45597</v>
      </c>
      <c r="J46" s="1101">
        <f t="shared" si="16"/>
        <v>45566</v>
      </c>
      <c r="K46" s="1101">
        <f t="shared" si="16"/>
        <v>45536</v>
      </c>
      <c r="L46" s="1101">
        <f t="shared" si="16"/>
        <v>45505</v>
      </c>
      <c r="M46" s="1101">
        <f t="shared" si="16"/>
        <v>45474</v>
      </c>
      <c r="N46" s="1101">
        <f t="shared" si="16"/>
        <v>45444</v>
      </c>
      <c r="O46" s="1101">
        <f t="shared" si="16"/>
        <v>45413</v>
      </c>
      <c r="P46" s="2506"/>
      <c r="Q46" s="2506"/>
      <c r="R46" s="2506"/>
      <c r="S46" s="2506"/>
      <c r="T46" s="2506"/>
      <c r="U46" s="2506"/>
      <c r="V46" s="2506"/>
      <c r="W46" s="2506"/>
      <c r="X46" s="2506"/>
      <c r="Y46" s="2506"/>
      <c r="Z46" s="2506"/>
      <c r="AA46" s="2506"/>
      <c r="AB46" s="2506"/>
      <c r="AC46" s="2506"/>
      <c r="AD46" s="2506"/>
    </row>
    <row r="47" spans="1:30" s="102" customFormat="1" ht="15">
      <c r="A47" s="441"/>
      <c r="B47" s="442"/>
      <c r="C47" s="1099">
        <v>100</v>
      </c>
      <c r="D47" s="444"/>
      <c r="E47" s="444"/>
      <c r="F47" s="444"/>
      <c r="G47" s="444"/>
      <c r="H47" s="444"/>
      <c r="I47" s="444"/>
      <c r="J47" s="444"/>
      <c r="K47" s="444"/>
      <c r="L47" s="444"/>
      <c r="M47" s="445"/>
      <c r="N47" s="444"/>
      <c r="O47" s="446"/>
      <c r="P47" s="2504"/>
      <c r="Q47" s="2435"/>
      <c r="R47" s="2435"/>
      <c r="S47" s="2435"/>
      <c r="T47" s="2435"/>
      <c r="U47" s="2435"/>
      <c r="V47" s="2435"/>
      <c r="W47" s="2435"/>
      <c r="X47" s="2435"/>
      <c r="Y47" s="2435"/>
      <c r="Z47" s="2435"/>
      <c r="AA47" s="2435"/>
      <c r="AB47" s="2435"/>
      <c r="AC47" s="2435"/>
      <c r="AD47" s="2435"/>
    </row>
    <row r="48" spans="1:30" s="102" customFormat="1" ht="15.75" thickBot="1">
      <c r="A48" s="447" t="s">
        <v>1716</v>
      </c>
      <c r="B48" s="448"/>
      <c r="C48" s="449"/>
      <c r="D48" s="450"/>
      <c r="E48" s="450"/>
      <c r="F48" s="450"/>
      <c r="G48" s="450"/>
      <c r="H48" s="450"/>
      <c r="I48" s="450"/>
      <c r="J48" s="450"/>
      <c r="K48" s="450"/>
      <c r="L48" s="450"/>
      <c r="M48" s="451"/>
      <c r="N48" s="450"/>
      <c r="O48" s="452"/>
      <c r="P48" s="2504"/>
      <c r="Q48" s="2504"/>
      <c r="R48" s="2435"/>
      <c r="S48" s="2435"/>
      <c r="T48" s="2435"/>
      <c r="U48" s="2435"/>
      <c r="V48" s="2435"/>
      <c r="W48" s="2435"/>
      <c r="X48" s="2435"/>
      <c r="Y48" s="2435"/>
      <c r="Z48" s="2435"/>
      <c r="AA48" s="2435"/>
      <c r="AB48" s="2435"/>
      <c r="AC48" s="2435"/>
      <c r="AD48" s="2435"/>
    </row>
    <row r="49" spans="1:30" s="102" customFormat="1" ht="15">
      <c r="A49" s="453" t="s">
        <v>1681</v>
      </c>
      <c r="B49" s="442"/>
      <c r="C49" s="454" t="s">
        <v>1776</v>
      </c>
      <c r="D49" s="31"/>
      <c r="E49" s="31"/>
      <c r="F49" s="31"/>
      <c r="G49" s="31"/>
      <c r="H49" s="31"/>
      <c r="I49" s="31"/>
      <c r="J49" s="31"/>
      <c r="K49" s="31"/>
      <c r="L49" s="455"/>
      <c r="M49" s="456"/>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3"/>
      <c r="B50" s="442"/>
      <c r="C50" s="561">
        <v>100</v>
      </c>
      <c r="D50" s="444"/>
      <c r="E50" s="444"/>
      <c r="F50" s="444"/>
      <c r="G50" s="444"/>
      <c r="H50" s="444"/>
      <c r="I50" s="444"/>
      <c r="J50" s="444"/>
      <c r="K50" s="444"/>
      <c r="L50" s="444"/>
      <c r="M50" s="446"/>
      <c r="N50" s="2516"/>
      <c r="O50" s="2516"/>
      <c r="P50" s="2504"/>
      <c r="Q50" s="2504"/>
      <c r="R50" s="2435"/>
      <c r="S50" s="2435"/>
      <c r="T50" s="2435"/>
      <c r="U50" s="2435"/>
      <c r="V50" s="2435"/>
      <c r="W50" s="2435"/>
      <c r="X50" s="2435"/>
      <c r="Y50" s="2435"/>
      <c r="Z50" s="2435"/>
      <c r="AA50" s="2435"/>
      <c r="AB50" s="2435"/>
      <c r="AC50" s="2435"/>
      <c r="AD50" s="2435"/>
    </row>
    <row r="51" spans="1:30">
      <c r="A51" s="379" t="s">
        <v>1719</v>
      </c>
      <c r="B51" s="458" t="s">
        <v>1685</v>
      </c>
      <c r="C51" s="459" t="str">
        <f>C9</f>
        <v>仓储</v>
      </c>
      <c r="D51" s="460"/>
      <c r="E51" s="460"/>
      <c r="F51" s="460"/>
      <c r="G51" s="460"/>
      <c r="H51" s="460"/>
      <c r="I51" s="460"/>
      <c r="J51" s="460"/>
      <c r="K51" s="461"/>
      <c r="L51" s="462"/>
      <c r="M51" s="463"/>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4"/>
      <c r="C52" s="465">
        <v>100</v>
      </c>
      <c r="D52" s="465"/>
      <c r="E52" s="465"/>
      <c r="F52" s="465"/>
      <c r="G52" s="465"/>
      <c r="H52" s="465"/>
      <c r="I52" s="465"/>
      <c r="J52" s="465"/>
      <c r="K52" s="465"/>
      <c r="L52" s="465"/>
      <c r="M52" s="466"/>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7" t="s">
        <v>1688</v>
      </c>
      <c r="C53" s="511"/>
      <c r="D53" s="511"/>
      <c r="E53" s="511"/>
      <c r="F53" s="511"/>
      <c r="G53" s="511"/>
      <c r="H53" s="511"/>
      <c r="I53" s="511"/>
      <c r="J53" s="511"/>
      <c r="K53" s="512"/>
      <c r="L53" s="513"/>
      <c r="M53" s="514"/>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2"/>
      <c r="C54" s="465"/>
      <c r="D54" s="465"/>
      <c r="E54" s="465"/>
      <c r="F54" s="465"/>
      <c r="G54" s="465"/>
      <c r="H54" s="465"/>
      <c r="I54" s="465"/>
      <c r="J54" s="465"/>
      <c r="K54" s="465"/>
      <c r="L54" s="465"/>
      <c r="M54" s="466"/>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79">
        <f>B11</f>
        <v>111</v>
      </c>
      <c r="C55" s="478"/>
      <c r="D55" s="478"/>
      <c r="E55" s="478"/>
      <c r="F55" s="478"/>
      <c r="G55" s="478"/>
      <c r="H55" s="478"/>
      <c r="I55" s="478"/>
      <c r="J55" s="478"/>
      <c r="K55" s="479"/>
      <c r="L55" s="480"/>
      <c r="M55" s="481"/>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4"/>
      <c r="C56" s="489"/>
      <c r="D56" s="465"/>
      <c r="E56" s="465"/>
      <c r="F56" s="465"/>
      <c r="G56" s="465"/>
      <c r="H56" s="465"/>
      <c r="I56" s="465"/>
      <c r="J56" s="465"/>
      <c r="K56" s="465"/>
      <c r="L56" s="465"/>
      <c r="M56" s="466"/>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2"/>
      <c r="B57" s="467">
        <f>B12</f>
        <v>111</v>
      </c>
      <c r="C57" s="478"/>
      <c r="D57" s="478"/>
      <c r="E57" s="478"/>
      <c r="F57" s="478"/>
      <c r="G57" s="483"/>
      <c r="H57" s="484"/>
      <c r="I57" s="484"/>
      <c r="J57" s="484"/>
      <c r="K57" s="484"/>
      <c r="L57" s="485"/>
      <c r="M57" s="486"/>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2"/>
      <c r="B58" s="472"/>
      <c r="C58" s="489"/>
      <c r="D58" s="465"/>
      <c r="E58" s="465"/>
      <c r="F58" s="465"/>
      <c r="G58" s="465"/>
      <c r="H58" s="465"/>
      <c r="I58" s="465"/>
      <c r="J58" s="465"/>
      <c r="K58" s="465"/>
      <c r="L58" s="465"/>
      <c r="M58" s="466"/>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2"/>
      <c r="B59" s="467">
        <f>B13</f>
        <v>111</v>
      </c>
      <c r="C59" s="478"/>
      <c r="D59" s="478"/>
      <c r="E59" s="478"/>
      <c r="F59" s="478"/>
      <c r="G59" s="483"/>
      <c r="H59" s="484"/>
      <c r="I59" s="484"/>
      <c r="J59" s="484"/>
      <c r="K59" s="484"/>
      <c r="L59" s="485"/>
      <c r="M59" s="486"/>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2"/>
      <c r="B60" s="472"/>
      <c r="C60" s="489"/>
      <c r="D60" s="489"/>
      <c r="E60" s="489"/>
      <c r="F60" s="489"/>
      <c r="G60" s="489"/>
      <c r="H60" s="491"/>
      <c r="I60" s="491"/>
      <c r="J60" s="491"/>
      <c r="K60" s="491"/>
      <c r="L60" s="491"/>
      <c r="M60" s="492"/>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58" t="s">
        <v>1726</v>
      </c>
      <c r="C61" s="502" t="s">
        <v>1721</v>
      </c>
      <c r="D61" s="502" t="s">
        <v>1722</v>
      </c>
      <c r="E61" s="502" t="s">
        <v>1723</v>
      </c>
      <c r="F61" s="502" t="s">
        <v>1724</v>
      </c>
      <c r="G61" s="502" t="s">
        <v>1725</v>
      </c>
      <c r="H61" s="459"/>
      <c r="I61" s="459"/>
      <c r="J61" s="459"/>
      <c r="K61" s="503"/>
      <c r="L61" s="504"/>
      <c r="M61" s="505"/>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2"/>
      <c r="C62" s="473">
        <v>100</v>
      </c>
      <c r="D62" s="473">
        <f>C62-$K14</f>
        <v>97</v>
      </c>
      <c r="E62" s="473">
        <f>D62-$K14</f>
        <v>94</v>
      </c>
      <c r="F62" s="473">
        <f>E62-$K14</f>
        <v>91</v>
      </c>
      <c r="G62" s="473">
        <f>F62-$K14</f>
        <v>88</v>
      </c>
      <c r="H62" s="473"/>
      <c r="I62" s="473"/>
      <c r="J62" s="473"/>
      <c r="K62" s="473"/>
      <c r="L62" s="473"/>
      <c r="M62" s="474"/>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7" t="s">
        <v>1863</v>
      </c>
      <c r="C63" s="507" t="s">
        <v>1721</v>
      </c>
      <c r="D63" s="507" t="s">
        <v>1722</v>
      </c>
      <c r="E63" s="507" t="s">
        <v>1723</v>
      </c>
      <c r="F63" s="507" t="s">
        <v>1724</v>
      </c>
      <c r="G63" s="507" t="s">
        <v>1725</v>
      </c>
      <c r="H63" s="468"/>
      <c r="I63" s="468"/>
      <c r="J63" s="468"/>
      <c r="K63" s="469"/>
      <c r="L63" s="470"/>
      <c r="M63" s="471"/>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2"/>
      <c r="C64" s="473">
        <v>100</v>
      </c>
      <c r="D64" s="473">
        <f>C64-$K16</f>
        <v>97</v>
      </c>
      <c r="E64" s="473">
        <f>D64-$K16</f>
        <v>94</v>
      </c>
      <c r="F64" s="473">
        <f>E64-$K16</f>
        <v>91</v>
      </c>
      <c r="G64" s="473">
        <f>F64-$K16</f>
        <v>88</v>
      </c>
      <c r="H64" s="473"/>
      <c r="I64" s="473"/>
      <c r="J64" s="473"/>
      <c r="K64" s="473"/>
      <c r="L64" s="473"/>
      <c r="M64" s="474"/>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5" t="s">
        <v>1813</v>
      </c>
      <c r="C65" s="579" t="s">
        <v>1799</v>
      </c>
      <c r="D65" s="579" t="s">
        <v>1800</v>
      </c>
      <c r="E65" s="579" t="s">
        <v>1801</v>
      </c>
      <c r="F65" s="579" t="s">
        <v>1802</v>
      </c>
      <c r="G65" s="579" t="s">
        <v>1803</v>
      </c>
      <c r="H65" s="468"/>
      <c r="I65" s="468"/>
      <c r="J65" s="468"/>
      <c r="K65" s="468"/>
      <c r="L65" s="468"/>
      <c r="M65" s="1060"/>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5"/>
      <c r="C66" s="473">
        <v>100</v>
      </c>
      <c r="D66" s="473">
        <f>C66-$K18</f>
        <v>98</v>
      </c>
      <c r="E66" s="473">
        <f>D66-$K18</f>
        <v>96</v>
      </c>
      <c r="F66" s="473">
        <f>E66-$K18</f>
        <v>94</v>
      </c>
      <c r="G66" s="473">
        <f>F66-$K18</f>
        <v>92</v>
      </c>
      <c r="H66" s="579"/>
      <c r="I66" s="579"/>
      <c r="J66" s="579"/>
      <c r="K66" s="579"/>
      <c r="L66" s="579"/>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7" t="s">
        <v>1733</v>
      </c>
      <c r="C67" s="507" t="s">
        <v>1721</v>
      </c>
      <c r="D67" s="507" t="s">
        <v>1722</v>
      </c>
      <c r="E67" s="507" t="s">
        <v>1723</v>
      </c>
      <c r="F67" s="507" t="s">
        <v>1724</v>
      </c>
      <c r="G67" s="507" t="s">
        <v>1725</v>
      </c>
      <c r="H67" s="468"/>
      <c r="I67" s="468"/>
      <c r="J67" s="468"/>
      <c r="K67" s="469"/>
      <c r="L67" s="470"/>
      <c r="M67" s="471"/>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2"/>
      <c r="C68" s="473">
        <v>100</v>
      </c>
      <c r="D68" s="473">
        <f>C68-$K20</f>
        <v>97</v>
      </c>
      <c r="E68" s="473">
        <f>D68-$K20</f>
        <v>94</v>
      </c>
      <c r="F68" s="473">
        <f>E68-$K20</f>
        <v>91</v>
      </c>
      <c r="G68" s="473">
        <f>F68-$K20</f>
        <v>88</v>
      </c>
      <c r="H68" s="473"/>
      <c r="I68" s="473"/>
      <c r="J68" s="473"/>
      <c r="K68" s="473"/>
      <c r="L68" s="473"/>
      <c r="M68" s="474"/>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7" t="s">
        <v>1852</v>
      </c>
      <c r="C69" s="483"/>
      <c r="D69" s="483"/>
      <c r="E69" s="483"/>
      <c r="F69" s="483"/>
      <c r="G69" s="483"/>
      <c r="H69" s="511"/>
      <c r="I69" s="511"/>
      <c r="J69" s="511"/>
      <c r="K69" s="512"/>
      <c r="L69" s="513"/>
      <c r="M69" s="514"/>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2"/>
      <c r="C70" s="473">
        <v>100</v>
      </c>
      <c r="D70" s="473">
        <f>C70-$K22</f>
        <v>100</v>
      </c>
      <c r="E70" s="473"/>
      <c r="F70" s="473"/>
      <c r="G70" s="473"/>
      <c r="H70" s="473"/>
      <c r="I70" s="473"/>
      <c r="J70" s="473"/>
      <c r="K70" s="473"/>
      <c r="L70" s="473"/>
      <c r="M70" s="474"/>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7">
        <f>B23</f>
        <v>111</v>
      </c>
      <c r="C71" s="478"/>
      <c r="D71" s="478"/>
      <c r="E71" s="478"/>
      <c r="F71" s="478"/>
      <c r="G71" s="483"/>
      <c r="H71" s="483"/>
      <c r="I71" s="483"/>
      <c r="J71" s="483"/>
      <c r="K71" s="483"/>
      <c r="L71" s="508"/>
      <c r="M71" s="509"/>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2"/>
      <c r="C72" s="489"/>
      <c r="D72" s="465"/>
      <c r="E72" s="465"/>
      <c r="F72" s="465"/>
      <c r="G72" s="465"/>
      <c r="H72" s="465"/>
      <c r="I72" s="465"/>
      <c r="J72" s="465"/>
      <c r="K72" s="465"/>
      <c r="L72" s="465"/>
      <c r="M72" s="466"/>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7">
        <f>B24</f>
        <v>111</v>
      </c>
      <c r="C73" s="478"/>
      <c r="D73" s="478"/>
      <c r="E73" s="478"/>
      <c r="F73" s="478"/>
      <c r="G73" s="483"/>
      <c r="H73" s="483"/>
      <c r="I73" s="483"/>
      <c r="J73" s="483"/>
      <c r="K73" s="483"/>
      <c r="L73" s="483"/>
      <c r="M73" s="509"/>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2"/>
      <c r="C74" s="489"/>
      <c r="D74" s="465"/>
      <c r="E74" s="465"/>
      <c r="F74" s="465"/>
      <c r="G74" s="465"/>
      <c r="H74" s="465"/>
      <c r="I74" s="465"/>
      <c r="J74" s="465"/>
      <c r="K74" s="465"/>
      <c r="L74" s="465"/>
      <c r="M74" s="466"/>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2"/>
      <c r="B75" s="467">
        <f>B25</f>
        <v>111</v>
      </c>
      <c r="C75" s="478"/>
      <c r="D75" s="478"/>
      <c r="E75" s="478"/>
      <c r="F75" s="478"/>
      <c r="G75" s="483"/>
      <c r="H75" s="484"/>
      <c r="I75" s="484"/>
      <c r="J75" s="484"/>
      <c r="K75" s="484"/>
      <c r="L75" s="485"/>
      <c r="M75" s="486"/>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2"/>
      <c r="B76" s="472"/>
      <c r="C76" s="489"/>
      <c r="D76" s="489"/>
      <c r="E76" s="489"/>
      <c r="F76" s="489"/>
      <c r="G76" s="465"/>
      <c r="H76" s="465"/>
      <c r="I76" s="465"/>
      <c r="J76" s="465"/>
      <c r="K76" s="465"/>
      <c r="L76" s="465"/>
      <c r="M76" s="466"/>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58" t="s">
        <v>1740</v>
      </c>
      <c r="C77" s="483"/>
      <c r="D77" s="483"/>
      <c r="E77" s="460"/>
      <c r="F77" s="460"/>
      <c r="G77" s="460"/>
      <c r="H77" s="460"/>
      <c r="I77" s="460"/>
      <c r="J77" s="460"/>
      <c r="K77" s="461"/>
      <c r="L77" s="462"/>
      <c r="M77" s="463"/>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2"/>
      <c r="C78" s="473">
        <v>100</v>
      </c>
      <c r="D78" s="473">
        <f t="shared" ref="D78:M78" si="17">C78-$K26</f>
        <v>97</v>
      </c>
      <c r="E78" s="473">
        <f t="shared" si="17"/>
        <v>94</v>
      </c>
      <c r="F78" s="473">
        <f t="shared" si="17"/>
        <v>91</v>
      </c>
      <c r="G78" s="473">
        <f t="shared" si="17"/>
        <v>88</v>
      </c>
      <c r="H78" s="473">
        <f t="shared" si="17"/>
        <v>85</v>
      </c>
      <c r="I78" s="473">
        <f t="shared" si="17"/>
        <v>82</v>
      </c>
      <c r="J78" s="473">
        <f t="shared" si="17"/>
        <v>79</v>
      </c>
      <c r="K78" s="473">
        <f t="shared" si="17"/>
        <v>76</v>
      </c>
      <c r="L78" s="473">
        <f t="shared" si="17"/>
        <v>73</v>
      </c>
      <c r="M78" s="474">
        <f t="shared" si="17"/>
        <v>70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6"/>
      <c r="O79" s="2516"/>
      <c r="P79" s="2516"/>
      <c r="Q79" s="2504"/>
      <c r="R79" s="2483"/>
      <c r="S79" s="2483"/>
      <c r="T79" s="2483"/>
      <c r="U79" s="2483"/>
      <c r="V79" s="2483"/>
      <c r="W79" s="2483"/>
      <c r="X79" s="2483"/>
      <c r="Y79" s="2483"/>
      <c r="Z79" s="2483"/>
      <c r="AA79" s="2483"/>
      <c r="AB79" s="2483"/>
      <c r="AC79" s="2483"/>
      <c r="AD79" s="2483"/>
    </row>
    <row r="80" spans="1:30" ht="15">
      <c r="A80" s="367"/>
      <c r="B80" s="475"/>
      <c r="C80" s="528">
        <v>0.5</v>
      </c>
      <c r="D80" s="528">
        <v>0.6</v>
      </c>
      <c r="E80" s="528">
        <v>0.7</v>
      </c>
      <c r="F80" s="528">
        <v>0.8</v>
      </c>
      <c r="G80" s="528">
        <v>0.9</v>
      </c>
      <c r="H80" s="528">
        <v>1.0001</v>
      </c>
      <c r="I80" s="579"/>
      <c r="J80" s="579"/>
      <c r="K80" s="586"/>
      <c r="L80" s="587"/>
      <c r="M80" s="588"/>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2"/>
      <c r="B81" s="472"/>
      <c r="C81" s="510">
        <v>100</v>
      </c>
      <c r="D81" s="473">
        <f t="shared" ref="D81:M81" si="18">C81+$K27</f>
        <v>102</v>
      </c>
      <c r="E81" s="473">
        <f t="shared" si="18"/>
        <v>104</v>
      </c>
      <c r="F81" s="473">
        <f t="shared" si="18"/>
        <v>106</v>
      </c>
      <c r="G81" s="473">
        <f t="shared" si="18"/>
        <v>108</v>
      </c>
      <c r="H81" s="473">
        <f t="shared" si="18"/>
        <v>110</v>
      </c>
      <c r="I81" s="473">
        <f t="shared" si="18"/>
        <v>112</v>
      </c>
      <c r="J81" s="473">
        <f t="shared" si="18"/>
        <v>114</v>
      </c>
      <c r="K81" s="473">
        <f t="shared" si="18"/>
        <v>116</v>
      </c>
      <c r="L81" s="473">
        <f t="shared" si="18"/>
        <v>118</v>
      </c>
      <c r="M81" s="473">
        <f t="shared" si="18"/>
        <v>120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5" t="s">
        <v>1856</v>
      </c>
      <c r="C82" s="483"/>
      <c r="D82" s="483"/>
      <c r="E82" s="511"/>
      <c r="F82" s="511"/>
      <c r="G82" s="511"/>
      <c r="H82" s="511"/>
      <c r="I82" s="511"/>
      <c r="J82" s="511"/>
      <c r="K82" s="512"/>
      <c r="L82" s="513"/>
      <c r="M82" s="514"/>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2"/>
      <c r="C83" s="473">
        <v>100</v>
      </c>
      <c r="D83" s="473">
        <f t="shared" ref="D83:M83" si="19">C83-$K28</f>
        <v>98</v>
      </c>
      <c r="E83" s="473">
        <f t="shared" si="19"/>
        <v>96</v>
      </c>
      <c r="F83" s="473">
        <f t="shared" si="19"/>
        <v>94</v>
      </c>
      <c r="G83" s="473">
        <f t="shared" si="19"/>
        <v>92</v>
      </c>
      <c r="H83" s="473">
        <f t="shared" si="19"/>
        <v>90</v>
      </c>
      <c r="I83" s="473">
        <f t="shared" si="19"/>
        <v>88</v>
      </c>
      <c r="J83" s="473">
        <f t="shared" si="19"/>
        <v>86</v>
      </c>
      <c r="K83" s="473">
        <f t="shared" si="19"/>
        <v>84</v>
      </c>
      <c r="L83" s="473">
        <f t="shared" si="19"/>
        <v>82</v>
      </c>
      <c r="M83" s="474">
        <f t="shared" si="19"/>
        <v>80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7" t="s">
        <v>1864</v>
      </c>
      <c r="C84" s="483"/>
      <c r="D84" s="483"/>
      <c r="E84" s="483"/>
      <c r="F84" s="483"/>
      <c r="G84" s="483"/>
      <c r="H84" s="483"/>
      <c r="I84" s="511"/>
      <c r="J84" s="511"/>
      <c r="K84" s="512"/>
      <c r="L84" s="513"/>
      <c r="M84" s="514"/>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5" t="s">
        <v>1865</v>
      </c>
      <c r="C86" s="507" t="str">
        <f t="shared" ref="C86:L86" si="21">C87&amp;"(含)"&amp;"-"&amp;D87</f>
        <v>0(含)-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5"/>
      <c r="C87" s="6">
        <v>0</v>
      </c>
      <c r="D87" s="6"/>
      <c r="E87" s="6"/>
      <c r="F87" s="6"/>
      <c r="G87" s="6"/>
      <c r="H87" s="6"/>
      <c r="I87" s="6"/>
      <c r="J87" s="522"/>
      <c r="K87" s="522"/>
      <c r="L87" s="523"/>
      <c r="M87" s="524"/>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2"/>
      <c r="C88" s="489">
        <v>100</v>
      </c>
      <c r="D88" s="465"/>
      <c r="E88" s="465"/>
      <c r="F88" s="465"/>
      <c r="G88" s="465"/>
      <c r="H88" s="465"/>
      <c r="I88" s="465"/>
      <c r="J88" s="465"/>
      <c r="K88" s="465"/>
      <c r="L88" s="465"/>
      <c r="M88" s="465"/>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7" t="s">
        <v>1866</v>
      </c>
      <c r="C89" s="483"/>
      <c r="D89" s="483"/>
      <c r="E89" s="483"/>
      <c r="F89" s="483"/>
      <c r="G89" s="483"/>
      <c r="H89" s="483"/>
      <c r="I89" s="483"/>
      <c r="J89" s="483"/>
      <c r="K89" s="483"/>
      <c r="L89" s="483"/>
      <c r="M89" s="509"/>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2"/>
      <c r="B90" s="472"/>
      <c r="C90" s="489"/>
      <c r="D90" s="465"/>
      <c r="E90" s="465"/>
      <c r="F90" s="465"/>
      <c r="G90" s="465"/>
      <c r="H90" s="465"/>
      <c r="I90" s="465"/>
      <c r="J90" s="465"/>
      <c r="K90" s="465"/>
      <c r="L90" s="465"/>
      <c r="M90" s="466"/>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7" t="str">
        <f>B32</f>
        <v>建筑形式</v>
      </c>
      <c r="C91" s="3201" t="s">
        <v>5850</v>
      </c>
      <c r="D91" s="3201" t="s">
        <v>5851</v>
      </c>
      <c r="E91" s="478"/>
      <c r="F91" s="478"/>
      <c r="G91" s="483"/>
      <c r="H91" s="484"/>
      <c r="I91" s="484"/>
      <c r="J91" s="484"/>
      <c r="K91" s="484"/>
      <c r="L91" s="485"/>
      <c r="M91" s="486"/>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2"/>
      <c r="C92" s="489">
        <v>100</v>
      </c>
      <c r="D92" s="465">
        <v>98</v>
      </c>
      <c r="E92" s="465"/>
      <c r="F92" s="465"/>
      <c r="G92" s="489"/>
      <c r="H92" s="491"/>
      <c r="I92" s="491"/>
      <c r="J92" s="491"/>
      <c r="K92" s="491"/>
      <c r="L92" s="491"/>
      <c r="M92" s="492"/>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7">
        <f>B33</f>
        <v>111</v>
      </c>
      <c r="C93" s="478"/>
      <c r="D93" s="478"/>
      <c r="E93" s="478"/>
      <c r="F93" s="478"/>
      <c r="G93" s="483"/>
      <c r="H93" s="484"/>
      <c r="I93" s="484"/>
      <c r="J93" s="484"/>
      <c r="K93" s="484"/>
      <c r="L93" s="485"/>
      <c r="M93" s="486"/>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2"/>
      <c r="C94" s="489"/>
      <c r="D94" s="465"/>
      <c r="E94" s="465"/>
      <c r="F94" s="465"/>
      <c r="G94" s="489"/>
      <c r="H94" s="491"/>
      <c r="I94" s="491"/>
      <c r="J94" s="491"/>
      <c r="K94" s="491"/>
      <c r="L94" s="491"/>
      <c r="M94" s="492"/>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58">
        <f>B34</f>
        <v>111</v>
      </c>
      <c r="C95" s="478"/>
      <c r="D95" s="478"/>
      <c r="E95" s="478"/>
      <c r="F95" s="478"/>
      <c r="G95" s="483"/>
      <c r="H95" s="484"/>
      <c r="I95" s="484"/>
      <c r="J95" s="484"/>
      <c r="K95" s="484"/>
      <c r="L95" s="485"/>
      <c r="M95" s="486"/>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2"/>
      <c r="C96" s="489"/>
      <c r="D96" s="489"/>
      <c r="E96" s="489"/>
      <c r="F96" s="489"/>
      <c r="G96" s="489"/>
      <c r="H96" s="491"/>
      <c r="I96" s="491"/>
      <c r="J96" s="491"/>
      <c r="K96" s="491"/>
      <c r="L96" s="491"/>
      <c r="M96" s="492"/>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79"/>
      <c r="B98" s="879"/>
      <c r="C98" s="879"/>
      <c r="D98" s="879"/>
      <c r="E98" s="879"/>
      <c r="F98" s="879"/>
      <c r="G98" s="879"/>
      <c r="H98" s="879"/>
      <c r="I98" s="879"/>
      <c r="J98" s="879"/>
      <c r="K98" s="880"/>
      <c r="L98" s="881"/>
      <c r="M98" s="879"/>
      <c r="N98" s="2483"/>
      <c r="O98" s="2483"/>
      <c r="P98" s="2483"/>
      <c r="Q98" s="2483"/>
      <c r="R98" s="2483"/>
      <c r="S98" s="2483"/>
      <c r="T98" s="2483"/>
      <c r="U98" s="2483"/>
      <c r="V98" s="2483"/>
      <c r="W98" s="2483"/>
      <c r="X98" s="2483"/>
      <c r="Y98" s="2483"/>
      <c r="Z98" s="2483"/>
      <c r="AA98" s="2483"/>
      <c r="AB98" s="2483"/>
      <c r="AC98" s="2483"/>
      <c r="AD98" s="2483"/>
    </row>
    <row r="99" spans="1:30">
      <c r="A99" s="879"/>
      <c r="B99" s="879"/>
      <c r="C99" s="879"/>
      <c r="D99" s="879"/>
      <c r="E99" s="879"/>
      <c r="F99" s="879"/>
      <c r="G99" s="879"/>
      <c r="H99" s="879"/>
      <c r="I99" s="879"/>
      <c r="J99" s="879"/>
      <c r="K99" s="880"/>
      <c r="L99" s="881"/>
      <c r="M99" s="879"/>
      <c r="N99" s="2483"/>
      <c r="O99" s="2483"/>
      <c r="P99" s="2483"/>
      <c r="Q99" s="2483"/>
      <c r="R99" s="2483"/>
      <c r="S99" s="2483"/>
      <c r="T99" s="2483"/>
      <c r="U99" s="2483"/>
      <c r="V99" s="2483"/>
      <c r="W99" s="2483"/>
      <c r="X99" s="2483"/>
      <c r="Y99" s="2483"/>
      <c r="Z99" s="2483"/>
      <c r="AA99" s="2483"/>
      <c r="AB99" s="2483"/>
      <c r="AC99" s="2483"/>
      <c r="AD99" s="2483"/>
    </row>
    <row r="100" spans="1:30">
      <c r="A100" s="879"/>
      <c r="B100" s="879"/>
      <c r="C100" s="879"/>
      <c r="D100" s="879"/>
      <c r="E100" s="879"/>
      <c r="F100" s="879"/>
      <c r="G100" s="879"/>
      <c r="H100" s="879"/>
      <c r="I100" s="879"/>
      <c r="J100" s="879"/>
      <c r="K100" s="880"/>
      <c r="L100" s="881"/>
      <c r="M100" s="879"/>
      <c r="N100" s="2483"/>
      <c r="O100" s="2483"/>
      <c r="P100" s="2483"/>
      <c r="Q100" s="2483"/>
      <c r="R100" s="2483"/>
      <c r="S100" s="2483"/>
      <c r="T100" s="2483"/>
      <c r="U100" s="2483"/>
      <c r="V100" s="2483"/>
      <c r="W100" s="2483"/>
      <c r="X100" s="2483"/>
      <c r="Y100" s="2483"/>
      <c r="Z100" s="2483"/>
      <c r="AA100" s="2483"/>
      <c r="AB100" s="2483"/>
      <c r="AC100" s="2483"/>
      <c r="AD100" s="2483"/>
    </row>
    <row r="101" spans="1:30">
      <c r="A101" s="879"/>
      <c r="B101" s="879"/>
      <c r="C101" s="879"/>
      <c r="D101" s="879"/>
      <c r="E101" s="879"/>
      <c r="F101" s="879"/>
      <c r="G101" s="879"/>
      <c r="H101" s="879"/>
      <c r="I101" s="879"/>
      <c r="J101" s="879"/>
      <c r="K101" s="880"/>
      <c r="L101" s="881"/>
      <c r="M101" s="879"/>
      <c r="N101" s="2483"/>
      <c r="O101" s="2483"/>
      <c r="P101" s="2483"/>
      <c r="Q101" s="2483"/>
      <c r="R101" s="2483"/>
      <c r="S101" s="2483"/>
      <c r="T101" s="2483"/>
      <c r="U101" s="2483"/>
      <c r="V101" s="2483"/>
      <c r="W101" s="2483"/>
      <c r="X101" s="2483"/>
      <c r="Y101" s="2483"/>
      <c r="Z101" s="2483"/>
      <c r="AA101" s="2483"/>
      <c r="AB101" s="2483"/>
      <c r="AC101" s="2483"/>
      <c r="AD101" s="2483"/>
    </row>
    <row r="102" spans="1:30">
      <c r="A102" s="879"/>
      <c r="B102" s="879"/>
      <c r="C102" s="879"/>
      <c r="D102" s="879"/>
      <c r="E102" s="879"/>
      <c r="F102" s="879"/>
      <c r="G102" s="879"/>
      <c r="H102" s="879"/>
      <c r="I102" s="879"/>
      <c r="J102" s="879"/>
      <c r="K102" s="880"/>
      <c r="L102" s="881"/>
      <c r="M102" s="879"/>
      <c r="N102" s="2483"/>
      <c r="O102" s="2483"/>
      <c r="P102" s="2483"/>
      <c r="Q102" s="2483"/>
      <c r="R102" s="2483"/>
      <c r="S102" s="2483"/>
      <c r="T102" s="2483"/>
      <c r="U102" s="2483"/>
      <c r="V102" s="2483"/>
      <c r="W102" s="2483"/>
      <c r="X102" s="2483"/>
      <c r="Y102" s="2483"/>
      <c r="Z102" s="2483"/>
      <c r="AA102" s="2483"/>
      <c r="AB102" s="2483"/>
      <c r="AC102" s="2483"/>
      <c r="AD102" s="2483"/>
    </row>
    <row r="103" spans="1:30">
      <c r="A103" s="879"/>
      <c r="B103" s="879"/>
      <c r="C103" s="879"/>
      <c r="D103" s="879"/>
      <c r="E103" s="879"/>
      <c r="F103" s="879"/>
      <c r="G103" s="879"/>
      <c r="H103" s="879"/>
      <c r="I103" s="879"/>
      <c r="J103" s="879"/>
      <c r="K103" s="880"/>
      <c r="L103" s="881"/>
      <c r="M103" s="879"/>
      <c r="N103" s="879"/>
      <c r="O103" s="879"/>
      <c r="P103" s="2483"/>
      <c r="Q103" s="2483"/>
      <c r="R103" s="2483"/>
      <c r="S103" s="2483"/>
      <c r="T103" s="2483"/>
      <c r="U103" s="2483"/>
      <c r="V103" s="2483"/>
      <c r="W103" s="2483"/>
      <c r="X103" s="2483"/>
      <c r="Y103" s="2483"/>
      <c r="Z103" s="2483"/>
      <c r="AA103" s="2483"/>
      <c r="AB103" s="2483"/>
      <c r="AC103" s="2483"/>
      <c r="AD103" s="2483"/>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D00-000000000000}">
      <formula1>交通便捷度</formula1>
    </dataValidation>
    <dataValidation type="list" allowBlank="1" showInputMessage="1" showErrorMessage="1" sqref="G17 C17 E17 I17" xr:uid="{00000000-0002-0000-2D00-000001000000}">
      <formula1>公共配套设施</formula1>
    </dataValidation>
    <dataValidation type="list" allowBlank="1" showInputMessage="1" showErrorMessage="1" sqref="D1" xr:uid="{00000000-0002-0000-2D00-000002000000}">
      <formula1>项目类型</formula1>
    </dataValidation>
    <dataValidation type="list" allowBlank="1" showInputMessage="1" showErrorMessage="1" sqref="C8 E8 G8 I8" xr:uid="{00000000-0002-0000-2D00-000003000000}">
      <formula1>仓储交易情况</formula1>
    </dataValidation>
    <dataValidation type="list" allowBlank="1" showInputMessage="1" showErrorMessage="1" sqref="E9 G9 I9" xr:uid="{00000000-0002-0000-2D00-000004000000}">
      <formula1>仓储用途</formula1>
    </dataValidation>
    <dataValidation type="list" allowBlank="1" showInputMessage="1" showErrorMessage="1" sqref="C21 E21 G21 I21" xr:uid="{00000000-0002-0000-2D00-000005000000}">
      <formula1>环境</formula1>
    </dataValidation>
    <dataValidation type="list" allowBlank="1" showInputMessage="1" showErrorMessage="1" sqref="C22 E22 G22 I22" xr:uid="{00000000-0002-0000-2D00-000006000000}">
      <formula1>仓储楼层</formula1>
    </dataValidation>
    <dataValidation type="list" allowBlank="1" showInputMessage="1" showErrorMessage="1" sqref="C26 E26 G26 I26" xr:uid="{00000000-0002-0000-2D00-000007000000}">
      <formula1>仓储公共部分装修</formula1>
    </dataValidation>
    <dataValidation type="list" allowBlank="1" showInputMessage="1" showErrorMessage="1" sqref="C29 E29 G29 I29" xr:uid="{00000000-0002-0000-2D00-000008000000}">
      <formula1>有无电梯</formula1>
    </dataValidation>
    <dataValidation type="list" allowBlank="1" showInputMessage="1" showErrorMessage="1" sqref="C31 E31 G31 I31" xr:uid="{00000000-0002-0000-2D00-000009000000}">
      <formula1>是否封闭</formula1>
    </dataValidation>
    <dataValidation type="list" allowBlank="1" showInputMessage="1" showErrorMessage="1" sqref="B1" xr:uid="{00000000-0002-0000-2D00-00000A000000}">
      <formula1>地类判定</formula1>
    </dataValidation>
    <dataValidation type="list" allowBlank="1" showInputMessage="1" showErrorMessage="1" sqref="C28 E28 G28 I28" xr:uid="{00000000-0002-0000-2D00-00000B000000}">
      <formula1>仓储物业等级</formula1>
    </dataValidation>
    <dataValidation type="list" allowBlank="1" showInputMessage="1" showErrorMessage="1" sqref="C19 E19 G19 I19" xr:uid="{00000000-0002-0000-2D00-00000C000000}">
      <formula1>基础设施水平</formula1>
    </dataValidation>
    <dataValidation type="list" allowBlank="1" showInputMessage="1" showErrorMessage="1" sqref="F1" xr:uid="{00000000-0002-0000-2D00-00000D000000}">
      <formula1>"售价,租金"</formula1>
    </dataValidation>
    <dataValidation type="list" allowBlank="1" showInputMessage="1" showErrorMessage="1" sqref="C2" xr:uid="{00000000-0002-0000-2D00-00000E000000}">
      <formula1>"需扣减承租人权益,——"</formula1>
    </dataValidation>
    <dataValidation type="list" allowBlank="1" showInputMessage="1" showErrorMessage="1" sqref="F2" xr:uid="{00000000-0002-0000-2D00-00000F000000}">
      <formula1>估价方法</formula1>
    </dataValidation>
    <dataValidation type="list" allowBlank="1" showInputMessage="1" showErrorMessage="1" sqref="D36" xr:uid="{00000000-0002-0000-2D00-000010000000}">
      <formula1>"简单平均,加权平均"</formula1>
    </dataValidation>
    <dataValidation type="list" allowBlank="1" showInputMessage="1" showErrorMessage="1" sqref="E1" xr:uid="{00000000-0002-0000-2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
  <sheetViews>
    <sheetView topLeftCell="A43" workbookViewId="0">
      <selection activeCell="W46" sqref="W46"/>
    </sheetView>
  </sheetViews>
  <sheetFormatPr defaultRowHeight="13.5"/>
  <cols>
    <col min="1" max="16384" width="9" style="3157"/>
  </cols>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1917</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89" t="e">
        <f>F61</f>
        <v>#DIV/0!</v>
      </c>
      <c r="C2" s="852"/>
      <c r="D2" s="852"/>
      <c r="E2" s="852"/>
      <c r="F2" s="853"/>
      <c r="G2" s="852"/>
      <c r="H2" s="852"/>
      <c r="I2" s="852"/>
      <c r="J2" s="852"/>
      <c r="K2" s="854"/>
      <c r="L2" s="2499"/>
      <c r="M2" s="2500"/>
      <c r="N2" s="2500"/>
      <c r="O2" s="2500"/>
      <c r="P2" s="341"/>
      <c r="Q2" s="341"/>
      <c r="R2" s="341"/>
      <c r="S2" s="341"/>
      <c r="T2" s="341"/>
      <c r="U2" s="341"/>
      <c r="V2" s="341"/>
      <c r="W2" s="341"/>
      <c r="X2" s="341"/>
      <c r="Y2" s="341"/>
      <c r="Z2" s="341"/>
      <c r="AA2" s="341"/>
      <c r="AB2" s="341"/>
      <c r="AC2" s="661"/>
    </row>
    <row r="3" spans="1:29" s="342" customFormat="1" ht="28.5" customHeight="1" thickBot="1">
      <c r="A3" s="195" t="s">
        <v>1464</v>
      </c>
      <c r="B3" s="534" t="e">
        <f>ROUND(IF(D3="",B2*10000/'数据-汇总表'!E3,B2*10000/D3),0)</f>
        <v>#DIV/0!</v>
      </c>
      <c r="C3" s="195" t="s">
        <v>1869</v>
      </c>
      <c r="D3" s="1108"/>
      <c r="E3" s="852"/>
      <c r="F3" s="853"/>
      <c r="G3" s="852"/>
      <c r="H3" s="852"/>
      <c r="I3" s="852"/>
      <c r="J3" s="852"/>
      <c r="K3" s="854"/>
      <c r="L3" s="2499"/>
      <c r="M3" s="2500"/>
      <c r="N3" s="2500"/>
      <c r="O3" s="2500"/>
      <c r="P3" s="341"/>
      <c r="Q3" s="341"/>
      <c r="R3" s="341"/>
      <c r="S3" s="341"/>
      <c r="T3" s="341"/>
      <c r="U3" s="341"/>
      <c r="V3" s="341"/>
      <c r="W3" s="341"/>
      <c r="X3" s="341"/>
      <c r="Y3" s="341"/>
      <c r="Z3" s="341"/>
      <c r="AA3" s="341"/>
      <c r="AB3" s="674"/>
      <c r="AC3" s="661"/>
    </row>
    <row r="4" spans="1:29" ht="15">
      <c r="A4" s="345" t="s">
        <v>1769</v>
      </c>
      <c r="B4" s="346"/>
      <c r="C4" s="3468" t="s">
        <v>1770</v>
      </c>
      <c r="D4" s="3469"/>
      <c r="E4" s="3470" t="s">
        <v>1771</v>
      </c>
      <c r="F4" s="3471"/>
      <c r="G4" s="3468" t="s">
        <v>1772</v>
      </c>
      <c r="H4" s="3469"/>
      <c r="I4" s="3468" t="s">
        <v>1773</v>
      </c>
      <c r="J4" s="3469"/>
      <c r="K4" s="535" t="s">
        <v>1774</v>
      </c>
      <c r="L4" s="2482"/>
      <c r="M4" s="2483"/>
      <c r="N4" s="2483"/>
      <c r="O4" s="2483"/>
      <c r="P4" s="3472" t="s">
        <v>1775</v>
      </c>
      <c r="Q4" s="3473"/>
      <c r="R4" s="3454" t="s">
        <v>1771</v>
      </c>
      <c r="S4" s="3455"/>
      <c r="T4" s="3454" t="s">
        <v>1772</v>
      </c>
      <c r="U4" s="3455"/>
      <c r="V4" s="3480" t="s">
        <v>1773</v>
      </c>
      <c r="W4" s="3480"/>
      <c r="X4" s="1262"/>
      <c r="Y4" s="3454" t="s">
        <v>1775</v>
      </c>
      <c r="Z4" s="3455"/>
      <c r="AA4" s="3449" t="s">
        <v>1771</v>
      </c>
      <c r="AB4" s="3450" t="s">
        <v>1772</v>
      </c>
      <c r="AC4" s="3449" t="s">
        <v>1773</v>
      </c>
    </row>
    <row r="5" spans="1:29" ht="15">
      <c r="A5" s="348"/>
      <c r="B5" s="349"/>
      <c r="C5" s="3460" t="s">
        <v>1673</v>
      </c>
      <c r="D5" s="3461"/>
      <c r="E5" s="3518" t="s">
        <v>1674</v>
      </c>
      <c r="F5" s="3459"/>
      <c r="G5" s="3460" t="s">
        <v>1675</v>
      </c>
      <c r="H5" s="3461"/>
      <c r="I5" s="3460" t="s">
        <v>1676</v>
      </c>
      <c r="J5" s="3461"/>
      <c r="K5" s="535"/>
      <c r="L5" s="2482"/>
      <c r="M5" s="2483"/>
      <c r="N5" s="2483"/>
      <c r="O5" s="2483"/>
      <c r="P5" s="3474"/>
      <c r="Q5" s="3475"/>
      <c r="R5" s="3456"/>
      <c r="S5" s="3457"/>
      <c r="T5" s="3456"/>
      <c r="U5" s="3457"/>
      <c r="V5" s="3480"/>
      <c r="W5" s="3480"/>
      <c r="X5" s="1262"/>
      <c r="Y5" s="3456"/>
      <c r="Z5" s="3457"/>
      <c r="AA5" s="3450"/>
      <c r="AB5" s="3450"/>
      <c r="AC5" s="3450"/>
    </row>
    <row r="6" spans="1:29" ht="15.75" thickBot="1">
      <c r="A6" s="350"/>
      <c r="B6" s="351"/>
      <c r="C6" s="3542" t="s">
        <v>1918</v>
      </c>
      <c r="D6" s="3543"/>
      <c r="E6" s="3544" t="s">
        <v>1918</v>
      </c>
      <c r="F6" s="3545"/>
      <c r="G6" s="3542" t="s">
        <v>1918</v>
      </c>
      <c r="H6" s="3543"/>
      <c r="I6" s="3542" t="s">
        <v>1918</v>
      </c>
      <c r="J6" s="3543"/>
      <c r="K6" s="535" t="s">
        <v>1678</v>
      </c>
      <c r="L6" s="2482"/>
      <c r="M6" s="2483"/>
      <c r="N6" s="2483"/>
      <c r="O6" s="2483"/>
      <c r="P6" s="3476"/>
      <c r="Q6" s="3477"/>
      <c r="R6" s="3456"/>
      <c r="S6" s="3457"/>
      <c r="T6" s="3478"/>
      <c r="U6" s="3479"/>
      <c r="V6" s="3480"/>
      <c r="W6" s="3480"/>
      <c r="X6" s="1262"/>
      <c r="Y6" s="3478"/>
      <c r="Z6" s="3479"/>
      <c r="AA6" s="3451"/>
      <c r="AB6" s="3451"/>
      <c r="AC6" s="3451"/>
    </row>
    <row r="7" spans="1:29" s="102" customFormat="1" ht="15.75" thickBot="1">
      <c r="A7" s="352" t="s">
        <v>1679</v>
      </c>
      <c r="B7" s="353"/>
      <c r="C7" s="354">
        <f>'数据-取费表'!B2</f>
        <v>45803</v>
      </c>
      <c r="D7" s="355">
        <v>100</v>
      </c>
      <c r="E7" s="356"/>
      <c r="F7" s="357">
        <f>SUMIF(65:65,YEAR(E7)&amp;"-"&amp;INT((MONTH(E7)+2)/3),66:66)</f>
        <v>0</v>
      </c>
      <c r="G7" s="1817"/>
      <c r="H7" s="355">
        <f>SUMIF(65:65,YEAR(G7)&amp;"-"&amp;INT((MONTH(G7)+2)/3),66:66)</f>
        <v>0</v>
      </c>
      <c r="I7" s="1817"/>
      <c r="J7" s="355">
        <f>SUMIF(65:65,YEAR(I7)&amp;"-"&amp;INT((MONTH(I7)+2)/3),66:66)</f>
        <v>0</v>
      </c>
      <c r="K7" s="38"/>
      <c r="L7" s="2484"/>
      <c r="M7" s="2435"/>
      <c r="N7" s="2435"/>
      <c r="O7" s="2435"/>
      <c r="P7" s="3452" t="s">
        <v>1680</v>
      </c>
      <c r="Q7" s="3481"/>
      <c r="R7" s="662" t="s">
        <v>14</v>
      </c>
      <c r="S7" s="663">
        <f t="shared" ref="S7:S15" si="0">F7</f>
        <v>0</v>
      </c>
      <c r="T7" s="662" t="s">
        <v>14</v>
      </c>
      <c r="U7" s="663">
        <f t="shared" ref="U7:U15" si="1">H7</f>
        <v>0</v>
      </c>
      <c r="V7" s="662" t="s">
        <v>14</v>
      </c>
      <c r="W7" s="663">
        <f t="shared" ref="W7:W15" si="2">J7</f>
        <v>0</v>
      </c>
      <c r="X7" s="664"/>
      <c r="Y7" s="3452" t="s">
        <v>1680</v>
      </c>
      <c r="Z7" s="345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452" t="s">
        <v>1683</v>
      </c>
      <c r="Q8" s="3453"/>
      <c r="R8" s="662" t="s">
        <v>14</v>
      </c>
      <c r="S8" s="663">
        <f t="shared" si="0"/>
        <v>0</v>
      </c>
      <c r="T8" s="662" t="s">
        <v>14</v>
      </c>
      <c r="U8" s="663">
        <f t="shared" si="1"/>
        <v>0</v>
      </c>
      <c r="V8" s="662" t="s">
        <v>14</v>
      </c>
      <c r="W8" s="663">
        <f t="shared" si="2"/>
        <v>0</v>
      </c>
      <c r="X8" s="664"/>
      <c r="Y8" s="3452" t="s">
        <v>1683</v>
      </c>
      <c r="Z8" s="3453"/>
      <c r="AA8" s="50" t="e">
        <f t="shared" ref="AA8:AA40" si="3">D8/F8</f>
        <v>#DIV/0!</v>
      </c>
      <c r="AB8" s="50" t="e">
        <f t="shared" ref="AB8:AB40" si="4">D8/H8</f>
        <v>#DIV/0!</v>
      </c>
      <c r="AC8" s="50" t="e">
        <f t="shared" ref="AC8:AC40" si="5">D8/J8</f>
        <v>#DIV/0!</v>
      </c>
    </row>
    <row r="9" spans="1:29" s="102" customFormat="1">
      <c r="A9" s="359"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4"/>
      <c r="M9" s="2435"/>
      <c r="N9" s="2435"/>
      <c r="O9" s="2536"/>
      <c r="P9" s="3467" t="s">
        <v>1686</v>
      </c>
      <c r="Q9" s="528" t="str">
        <f t="shared" ref="Q9:Q15" si="6">B9</f>
        <v>用途</v>
      </c>
      <c r="R9" s="662" t="s">
        <v>14</v>
      </c>
      <c r="S9" s="663">
        <f t="shared" si="0"/>
        <v>100</v>
      </c>
      <c r="T9" s="662" t="s">
        <v>14</v>
      </c>
      <c r="U9" s="663">
        <f t="shared" si="1"/>
        <v>100</v>
      </c>
      <c r="V9" s="662" t="s">
        <v>14</v>
      </c>
      <c r="W9" s="663">
        <f t="shared" si="2"/>
        <v>100</v>
      </c>
      <c r="X9" s="664"/>
      <c r="Y9" s="342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101</v>
      </c>
      <c r="G10" s="371"/>
      <c r="H10" s="119">
        <f>ROUND(100/'数据-取费表'!G16,0)</f>
        <v>101</v>
      </c>
      <c r="I10" s="371"/>
      <c r="J10" s="119">
        <f>ROUND(100/'数据-取费表'!G16,0)</f>
        <v>101</v>
      </c>
      <c r="K10" s="590"/>
      <c r="L10" s="2485"/>
      <c r="M10" s="2486"/>
      <c r="N10" s="2486"/>
      <c r="O10" s="2537"/>
      <c r="P10" s="3467"/>
      <c r="Q10" s="528" t="str">
        <f t="shared" si="6"/>
        <v>土地使用年限（年）</v>
      </c>
      <c r="R10" s="662" t="s">
        <v>14</v>
      </c>
      <c r="S10" s="663">
        <f t="shared" si="0"/>
        <v>101</v>
      </c>
      <c r="T10" s="662" t="s">
        <v>14</v>
      </c>
      <c r="U10" s="663">
        <f t="shared" si="1"/>
        <v>101</v>
      </c>
      <c r="V10" s="662" t="s">
        <v>14</v>
      </c>
      <c r="W10" s="663">
        <f t="shared" si="2"/>
        <v>101</v>
      </c>
      <c r="X10" s="664"/>
      <c r="Y10" s="3422"/>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1"/>
      <c r="L11" s="2487"/>
      <c r="M11" s="2483"/>
      <c r="N11" s="2483"/>
      <c r="O11" s="2538"/>
      <c r="P11" s="3467"/>
      <c r="Q11" s="528" t="str">
        <f t="shared" si="6"/>
        <v>容积率</v>
      </c>
      <c r="R11" s="662" t="s">
        <v>14</v>
      </c>
      <c r="S11" s="663" t="e">
        <f t="shared" si="0"/>
        <v>#N/A</v>
      </c>
      <c r="T11" s="662" t="s">
        <v>14</v>
      </c>
      <c r="U11" s="663" t="e">
        <f t="shared" si="1"/>
        <v>#N/A</v>
      </c>
      <c r="V11" s="662" t="s">
        <v>14</v>
      </c>
      <c r="W11" s="663" t="e">
        <f t="shared" si="2"/>
        <v>#N/A</v>
      </c>
      <c r="X11" s="664"/>
      <c r="Y11" s="3422"/>
      <c r="Z11" s="50" t="str">
        <f t="shared" si="7"/>
        <v>容积率</v>
      </c>
      <c r="AA11" s="50" t="e">
        <f t="shared" si="3"/>
        <v>#N/A</v>
      </c>
      <c r="AB11" s="50" t="e">
        <f t="shared" si="4"/>
        <v>#N/A</v>
      </c>
      <c r="AC11" s="50" t="e">
        <f t="shared" si="5"/>
        <v>#N/A</v>
      </c>
    </row>
    <row r="12" spans="1:29" s="102" customFormat="1" ht="15">
      <c r="A12" s="370"/>
      <c r="B12" s="445">
        <v>111</v>
      </c>
      <c r="C12" s="371"/>
      <c r="D12" s="372">
        <v>100</v>
      </c>
      <c r="E12" s="478"/>
      <c r="F12" s="119">
        <f>SUMIF(77:77,E12,78:78)-SUMIF(77:77,C12,78:78)+100</f>
        <v>100</v>
      </c>
      <c r="G12" s="592"/>
      <c r="H12" s="119">
        <f>SUMIF(77:77,G12,78:78)-SUMIF(77:77,C12,78:78)+100</f>
        <v>100</v>
      </c>
      <c r="I12" s="478"/>
      <c r="J12" s="119">
        <f>SUMIF(77:77,I12,78:78)-SUMIF(77:77,C12,78:78)+100</f>
        <v>100</v>
      </c>
      <c r="K12" s="590"/>
      <c r="L12" s="2484"/>
      <c r="M12" s="2435"/>
      <c r="N12" s="2435"/>
      <c r="O12" s="2536"/>
      <c r="P12" s="3467"/>
      <c r="Q12" s="528">
        <f t="shared" si="6"/>
        <v>111</v>
      </c>
      <c r="R12" s="662" t="s">
        <v>14</v>
      </c>
      <c r="S12" s="663">
        <f t="shared" si="0"/>
        <v>100</v>
      </c>
      <c r="T12" s="662" t="s">
        <v>14</v>
      </c>
      <c r="U12" s="663">
        <f t="shared" si="1"/>
        <v>100</v>
      </c>
      <c r="V12" s="662" t="s">
        <v>14</v>
      </c>
      <c r="W12" s="663">
        <f t="shared" si="2"/>
        <v>100</v>
      </c>
      <c r="X12" s="664"/>
      <c r="Y12" s="3422"/>
      <c r="Z12" s="50">
        <f t="shared" si="7"/>
        <v>111</v>
      </c>
      <c r="AA12" s="50">
        <f>D12/F12</f>
        <v>1</v>
      </c>
      <c r="AB12" s="50">
        <f>D12/H12</f>
        <v>1</v>
      </c>
      <c r="AC12" s="50">
        <f>D12/J12</f>
        <v>1</v>
      </c>
    </row>
    <row r="13" spans="1:29" ht="15">
      <c r="A13" s="367"/>
      <c r="B13" s="445">
        <v>111</v>
      </c>
      <c r="C13" s="373"/>
      <c r="D13" s="374">
        <v>100</v>
      </c>
      <c r="E13" s="478"/>
      <c r="F13" s="119">
        <f>SUMIF(79:79,E13,80:80)-SUMIF(79:79,C13,80:80)+100</f>
        <v>100</v>
      </c>
      <c r="G13" s="592"/>
      <c r="H13" s="374">
        <f>SUMIF(79:79,G13,80:80)-SUMIF(79:79,C13,80:80)+100</f>
        <v>100</v>
      </c>
      <c r="I13" s="478"/>
      <c r="J13" s="374">
        <f>SUMIF(79:79,I13,80:80)-SUMIF(79:79,C13,80:80)+100</f>
        <v>100</v>
      </c>
      <c r="K13" s="590"/>
      <c r="L13" s="2488"/>
      <c r="M13" s="2483"/>
      <c r="N13" s="2483"/>
      <c r="O13" s="2538"/>
      <c r="P13" s="3467"/>
      <c r="Q13" s="528">
        <f t="shared" si="6"/>
        <v>111</v>
      </c>
      <c r="R13" s="662" t="s">
        <v>14</v>
      </c>
      <c r="S13" s="663">
        <f t="shared" si="0"/>
        <v>100</v>
      </c>
      <c r="T13" s="662" t="s">
        <v>14</v>
      </c>
      <c r="U13" s="663">
        <f t="shared" si="1"/>
        <v>100</v>
      </c>
      <c r="V13" s="662" t="s">
        <v>14</v>
      </c>
      <c r="W13" s="663">
        <f t="shared" si="2"/>
        <v>100</v>
      </c>
      <c r="X13" s="664"/>
      <c r="Y13" s="3422"/>
      <c r="Z13" s="50">
        <f t="shared" si="7"/>
        <v>111</v>
      </c>
      <c r="AA13" s="50">
        <f t="shared" si="3"/>
        <v>1</v>
      </c>
      <c r="AB13" s="50">
        <f t="shared" si="4"/>
        <v>1</v>
      </c>
      <c r="AC13" s="50">
        <f t="shared" si="5"/>
        <v>1</v>
      </c>
    </row>
    <row r="14" spans="1:29" ht="15.75" thickBot="1">
      <c r="A14" s="375"/>
      <c r="B14" s="1746">
        <v>111</v>
      </c>
      <c r="C14" s="376"/>
      <c r="D14" s="377">
        <v>100</v>
      </c>
      <c r="E14" s="478"/>
      <c r="F14" s="377">
        <f>SUMIF(81:81,E14,82:82)-SUMIF(81:81,C14,82:82)+100</f>
        <v>100</v>
      </c>
      <c r="G14" s="592"/>
      <c r="H14" s="377">
        <f>SUMIF(81:81,G14,82:82)-SUMIF(81:81,C14,82:82)+100</f>
        <v>100</v>
      </c>
      <c r="I14" s="478"/>
      <c r="J14" s="377">
        <f>SUMIF(81:81,I14,82:82)-SUMIF(81:81,C14,82:82)+100</f>
        <v>100</v>
      </c>
      <c r="K14" s="590"/>
      <c r="L14" s="2488"/>
      <c r="M14" s="2483"/>
      <c r="N14" s="2483"/>
      <c r="O14" s="2538"/>
      <c r="P14" s="3467"/>
      <c r="Q14" s="528">
        <f t="shared" si="6"/>
        <v>111</v>
      </c>
      <c r="R14" s="662" t="s">
        <v>14</v>
      </c>
      <c r="S14" s="663">
        <f t="shared" si="0"/>
        <v>100</v>
      </c>
      <c r="T14" s="662" t="s">
        <v>14</v>
      </c>
      <c r="U14" s="663">
        <f t="shared" si="1"/>
        <v>100</v>
      </c>
      <c r="V14" s="662" t="s">
        <v>14</v>
      </c>
      <c r="W14" s="663">
        <f t="shared" si="2"/>
        <v>100</v>
      </c>
      <c r="X14" s="664"/>
      <c r="Y14" s="3422"/>
      <c r="Z14" s="50">
        <f t="shared" si="7"/>
        <v>111</v>
      </c>
      <c r="AA14" s="50">
        <f t="shared" si="3"/>
        <v>1</v>
      </c>
      <c r="AB14" s="50">
        <f t="shared" si="4"/>
        <v>1</v>
      </c>
      <c r="AC14" s="50">
        <f t="shared" si="5"/>
        <v>1</v>
      </c>
    </row>
    <row r="15" spans="1:29" ht="15">
      <c r="A15" s="379" t="s">
        <v>1690</v>
      </c>
      <c r="B15" s="552" t="s">
        <v>1919</v>
      </c>
      <c r="C15" s="1814">
        <f>估价对象房地状况!G15</f>
        <v>0</v>
      </c>
      <c r="D15" s="380">
        <v>100</v>
      </c>
      <c r="E15" s="381"/>
      <c r="F15" s="380">
        <f>SUMIF(83:83,E16,84:84)-SUMIF(83:83,C16,84:84)+100</f>
        <v>100</v>
      </c>
      <c r="G15" s="381"/>
      <c r="H15" s="380">
        <f>SUMIF(83:83,G16,84:84)-SUMIF(83:83,C16,84:84)+100</f>
        <v>100</v>
      </c>
      <c r="I15" s="383"/>
      <c r="J15" s="380">
        <f>SUMIF(83:83,I16,84:84)-SUMIF(83:83,C16,84:84)+100</f>
        <v>100</v>
      </c>
      <c r="K15" s="591"/>
      <c r="L15" s="2488"/>
      <c r="M15" s="2483"/>
      <c r="N15" s="2483"/>
      <c r="O15" s="2538"/>
      <c r="P15" s="3482" t="s">
        <v>1691</v>
      </c>
      <c r="Q15" s="1260" t="str">
        <f t="shared" si="6"/>
        <v>产业集聚程度</v>
      </c>
      <c r="R15" s="665" t="s">
        <v>14</v>
      </c>
      <c r="S15" s="666">
        <f t="shared" si="0"/>
        <v>100</v>
      </c>
      <c r="T15" s="665" t="s">
        <v>14</v>
      </c>
      <c r="U15" s="666">
        <f t="shared" si="1"/>
        <v>100</v>
      </c>
      <c r="V15" s="665" t="s">
        <v>14</v>
      </c>
      <c r="W15" s="666">
        <f t="shared" si="2"/>
        <v>100</v>
      </c>
      <c r="X15" s="1262"/>
      <c r="Y15" s="3482" t="s">
        <v>1691</v>
      </c>
      <c r="Z15" s="1261" t="str">
        <f t="shared" si="7"/>
        <v>产业集聚程度</v>
      </c>
      <c r="AA15" s="1261">
        <f t="shared" si="3"/>
        <v>1</v>
      </c>
      <c r="AB15" s="1261">
        <f t="shared" si="4"/>
        <v>1</v>
      </c>
      <c r="AC15" s="1261">
        <f t="shared" si="5"/>
        <v>1</v>
      </c>
    </row>
    <row r="16" spans="1:29" ht="15">
      <c r="A16" s="367"/>
      <c r="B16" s="553"/>
      <c r="C16" s="386"/>
      <c r="D16" s="387"/>
      <c r="E16" s="1755"/>
      <c r="F16" s="387"/>
      <c r="G16" s="1755"/>
      <c r="H16" s="389"/>
      <c r="I16" s="1755"/>
      <c r="J16" s="387"/>
      <c r="K16" s="590"/>
      <c r="L16" s="2488"/>
      <c r="M16" s="2483"/>
      <c r="N16" s="2483"/>
      <c r="O16" s="2538"/>
      <c r="P16" s="3483"/>
      <c r="Q16" s="1260"/>
      <c r="R16" s="665"/>
      <c r="S16" s="666"/>
      <c r="T16" s="665"/>
      <c r="U16" s="666"/>
      <c r="V16" s="665"/>
      <c r="W16" s="666"/>
      <c r="X16" s="1262"/>
      <c r="Y16" s="3483"/>
      <c r="Z16" s="1261"/>
      <c r="AA16" s="1261">
        <v>1</v>
      </c>
      <c r="AB16" s="1261">
        <v>1</v>
      </c>
      <c r="AC16" s="1261">
        <v>1</v>
      </c>
    </row>
    <row r="17" spans="1:29" ht="15">
      <c r="A17" s="367"/>
      <c r="B17" s="554" t="s">
        <v>1833</v>
      </c>
      <c r="C17" s="1751">
        <f>估价对象房地状况!G16</f>
        <v>0</v>
      </c>
      <c r="D17" s="389">
        <v>100</v>
      </c>
      <c r="E17" s="391"/>
      <c r="F17" s="394">
        <f>SUMIF(85:85,E18,86:86)-SUMIF(85:85,C18,86:86)+100</f>
        <v>100</v>
      </c>
      <c r="G17" s="391"/>
      <c r="H17" s="394">
        <f>SUMIF(85:85,G18,86:86)-SUMIF(85:85,C18,86:86)+100</f>
        <v>100</v>
      </c>
      <c r="I17" s="393"/>
      <c r="J17" s="389">
        <f>SUMIF(85:85,I18,86:86)-SUMIF(85:85,C18,86:86)+100</f>
        <v>100</v>
      </c>
      <c r="K17" s="591"/>
      <c r="L17" s="2488"/>
      <c r="M17" s="2483"/>
      <c r="N17" s="2483"/>
      <c r="O17" s="2538"/>
      <c r="P17" s="3483"/>
      <c r="Q17" s="1260" t="str">
        <f>B17</f>
        <v>交通便捷度</v>
      </c>
      <c r="R17" s="665" t="s">
        <v>14</v>
      </c>
      <c r="S17" s="666">
        <f>F17</f>
        <v>100</v>
      </c>
      <c r="T17" s="665" t="s">
        <v>14</v>
      </c>
      <c r="U17" s="666">
        <f>H17</f>
        <v>100</v>
      </c>
      <c r="V17" s="665" t="s">
        <v>14</v>
      </c>
      <c r="W17" s="666">
        <f>J17</f>
        <v>100</v>
      </c>
      <c r="X17" s="1262"/>
      <c r="Y17" s="3483"/>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0"/>
      <c r="L18" s="2488"/>
      <c r="M18" s="2483"/>
      <c r="N18" s="2483"/>
      <c r="O18" s="2538"/>
      <c r="P18" s="3483"/>
      <c r="Q18" s="1260"/>
      <c r="R18" s="665"/>
      <c r="S18" s="666"/>
      <c r="T18" s="665"/>
      <c r="U18" s="666"/>
      <c r="V18" s="665"/>
      <c r="W18" s="666"/>
      <c r="X18" s="1262"/>
      <c r="Y18" s="3483"/>
      <c r="Z18" s="1261"/>
      <c r="AA18" s="1261">
        <v>1</v>
      </c>
      <c r="AB18" s="1261">
        <v>1</v>
      </c>
      <c r="AC18" s="1261">
        <v>1</v>
      </c>
    </row>
    <row r="19" spans="1:29" ht="15">
      <c r="A19" s="367"/>
      <c r="B19" s="554" t="s">
        <v>1870</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1"/>
      <c r="L19" s="2488"/>
      <c r="M19" s="2483"/>
      <c r="N19" s="2483"/>
      <c r="O19" s="2538"/>
      <c r="P19" s="3483"/>
      <c r="Q19" s="1260" t="str">
        <f t="shared" ref="Q19:Q33" si="8">B19</f>
        <v>区域土地利用方向</v>
      </c>
      <c r="R19" s="665" t="s">
        <v>14</v>
      </c>
      <c r="S19" s="666">
        <f>F19</f>
        <v>100</v>
      </c>
      <c r="T19" s="665" t="s">
        <v>14</v>
      </c>
      <c r="U19" s="666">
        <f>H19</f>
        <v>100</v>
      </c>
      <c r="V19" s="665" t="s">
        <v>14</v>
      </c>
      <c r="W19" s="666">
        <f>J19</f>
        <v>100</v>
      </c>
      <c r="X19" s="1262"/>
      <c r="Y19" s="3483"/>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5"/>
      <c r="L20" s="2488"/>
      <c r="M20" s="2483"/>
      <c r="N20" s="2483"/>
      <c r="O20" s="2538"/>
      <c r="P20" s="3483"/>
      <c r="Q20" s="1260"/>
      <c r="R20" s="665"/>
      <c r="S20" s="666"/>
      <c r="T20" s="665"/>
      <c r="U20" s="666"/>
      <c r="V20" s="665"/>
      <c r="W20" s="666"/>
      <c r="X20" s="1262"/>
      <c r="Y20" s="3483"/>
      <c r="Z20" s="1261"/>
      <c r="AA20" s="1261"/>
      <c r="AB20" s="1261"/>
      <c r="AC20" s="1261"/>
    </row>
    <row r="21" spans="1:29" ht="15">
      <c r="A21" s="348"/>
      <c r="B21" s="554" t="s">
        <v>1920</v>
      </c>
      <c r="C21" s="1751">
        <f>估价对象房地状况!G18</f>
        <v>0</v>
      </c>
      <c r="D21" s="389">
        <v>100</v>
      </c>
      <c r="E21" s="391"/>
      <c r="F21" s="389">
        <f>SUMIF(89:89,E22,90:90)-SUMIF(89:89,C22,90:90)+100</f>
        <v>100</v>
      </c>
      <c r="G21" s="391"/>
      <c r="H21" s="389">
        <f>SUMIF(89:89,G22,90:90)-SUMIF(89:89,C22,90:90)+100</f>
        <v>100</v>
      </c>
      <c r="I21" s="393"/>
      <c r="J21" s="389">
        <f>SUMIF(89:89,I22,90:90)-SUMIF(89:89,C22,90:90)+100</f>
        <v>100</v>
      </c>
      <c r="K21" s="591"/>
      <c r="L21" s="2488"/>
      <c r="M21" s="2483"/>
      <c r="N21" s="2483"/>
      <c r="O21" s="2538"/>
      <c r="P21" s="3483"/>
      <c r="Q21" s="1260" t="str">
        <f t="shared" si="8"/>
        <v>环境状况</v>
      </c>
      <c r="R21" s="665" t="s">
        <v>14</v>
      </c>
      <c r="S21" s="666">
        <f>F21</f>
        <v>100</v>
      </c>
      <c r="T21" s="665" t="s">
        <v>14</v>
      </c>
      <c r="U21" s="666">
        <f>H21</f>
        <v>100</v>
      </c>
      <c r="V21" s="665" t="s">
        <v>14</v>
      </c>
      <c r="W21" s="666">
        <f>J21</f>
        <v>100</v>
      </c>
      <c r="X21" s="1262"/>
      <c r="Y21" s="3483"/>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0"/>
      <c r="L22" s="2488"/>
      <c r="M22" s="2483"/>
      <c r="N22" s="2483"/>
      <c r="O22" s="2538"/>
      <c r="P22" s="3483"/>
      <c r="Q22" s="1260"/>
      <c r="R22" s="665"/>
      <c r="S22" s="666"/>
      <c r="T22" s="665"/>
      <c r="U22" s="666"/>
      <c r="V22" s="665"/>
      <c r="W22" s="666"/>
      <c r="X22" s="1262"/>
      <c r="Y22" s="3483"/>
      <c r="Z22" s="1261"/>
      <c r="AA22" s="1261">
        <v>1</v>
      </c>
      <c r="AB22" s="1261">
        <v>1</v>
      </c>
      <c r="AC22" s="1261">
        <v>1</v>
      </c>
    </row>
    <row r="23" spans="1:29" s="102" customFormat="1" ht="15">
      <c r="A23" s="441"/>
      <c r="B23" s="555" t="s">
        <v>1778</v>
      </c>
      <c r="C23" s="1751">
        <f>估价对象房地状况!G19</f>
        <v>0</v>
      </c>
      <c r="D23" s="389">
        <v>100</v>
      </c>
      <c r="E23" s="391"/>
      <c r="F23" s="389">
        <f>SUMIF(91:91,E24,92:92)-SUMIF(91:91,C24,92:92)+100</f>
        <v>100</v>
      </c>
      <c r="G23" s="391"/>
      <c r="H23" s="389">
        <f>SUMIF(91:91,G24,92:92)-SUMIF(91:91,C24,92:92)+100</f>
        <v>100</v>
      </c>
      <c r="I23" s="393"/>
      <c r="J23" s="389">
        <f>SUMIF(91:91,I24,92:92)-SUMIF(91:91,C24,92:92)+100</f>
        <v>100</v>
      </c>
      <c r="K23" s="591"/>
      <c r="L23" s="2484"/>
      <c r="M23" s="2435"/>
      <c r="N23" s="2435"/>
      <c r="O23" s="2536"/>
      <c r="P23" s="3483"/>
      <c r="Q23" s="528" t="str">
        <f t="shared" si="8"/>
        <v>公共配套设施</v>
      </c>
      <c r="R23" s="662" t="s">
        <v>14</v>
      </c>
      <c r="S23" s="663">
        <f>F23</f>
        <v>100</v>
      </c>
      <c r="T23" s="662" t="s">
        <v>14</v>
      </c>
      <c r="U23" s="663">
        <f>H23</f>
        <v>100</v>
      </c>
      <c r="V23" s="662" t="s">
        <v>14</v>
      </c>
      <c r="W23" s="663">
        <f>J23</f>
        <v>100</v>
      </c>
      <c r="X23" s="664"/>
      <c r="Y23" s="3483"/>
      <c r="Z23" s="50" t="str">
        <f>Q23</f>
        <v>公共配套设施</v>
      </c>
      <c r="AA23" s="1261">
        <f>D23/F23</f>
        <v>1</v>
      </c>
      <c r="AB23" s="1261">
        <f>D23/H23</f>
        <v>1</v>
      </c>
      <c r="AC23" s="1261">
        <f>D23/J23</f>
        <v>1</v>
      </c>
    </row>
    <row r="24" spans="1:29" s="102" customFormat="1" ht="15">
      <c r="A24" s="441"/>
      <c r="B24" s="401"/>
      <c r="C24" s="1821"/>
      <c r="D24" s="387"/>
      <c r="E24" s="1755"/>
      <c r="F24" s="387"/>
      <c r="G24" s="1755"/>
      <c r="H24" s="387"/>
      <c r="I24" s="386"/>
      <c r="J24" s="387"/>
      <c r="K24" s="590"/>
      <c r="L24" s="2484"/>
      <c r="M24" s="2435"/>
      <c r="N24" s="2435"/>
      <c r="O24" s="2536"/>
      <c r="P24" s="3483"/>
      <c r="Q24" s="528"/>
      <c r="R24" s="662"/>
      <c r="S24" s="663"/>
      <c r="T24" s="662"/>
      <c r="U24" s="663"/>
      <c r="V24" s="662"/>
      <c r="W24" s="663"/>
      <c r="X24" s="664"/>
      <c r="Y24" s="3483"/>
      <c r="Z24" s="50"/>
      <c r="AA24" s="50">
        <v>1</v>
      </c>
      <c r="AB24" s="50">
        <v>1</v>
      </c>
      <c r="AC24" s="50">
        <v>1</v>
      </c>
    </row>
    <row r="25" spans="1:29" s="102" customFormat="1" ht="15">
      <c r="A25" s="441"/>
      <c r="B25" s="555" t="s">
        <v>1779</v>
      </c>
      <c r="C25" s="1751">
        <f>估价对象房地状况!G20</f>
        <v>0</v>
      </c>
      <c r="D25" s="389">
        <v>100</v>
      </c>
      <c r="E25" s="391"/>
      <c r="F25" s="389">
        <f>SUMIF(93:93,E26,94:94)-SUMIF(93:93,C26,94:94)+100</f>
        <v>100</v>
      </c>
      <c r="G25" s="391"/>
      <c r="H25" s="389">
        <f>SUMIF(93:93,G26,94:94)-SUMIF(93:93,C26,94:94)+100</f>
        <v>100</v>
      </c>
      <c r="I25" s="393"/>
      <c r="J25" s="389">
        <f>SUMIF(93:93,I26,94:94)-SUMIF(93:93,C26,94:94)+100</f>
        <v>100</v>
      </c>
      <c r="K25" s="591"/>
      <c r="L25" s="2484"/>
      <c r="M25" s="2435"/>
      <c r="N25" s="2435"/>
      <c r="O25" s="2536"/>
      <c r="P25" s="3483"/>
      <c r="Q25" s="528" t="str">
        <f t="shared" ref="Q25" si="9">B25</f>
        <v>基础设施水平</v>
      </c>
      <c r="R25" s="662" t="s">
        <v>14</v>
      </c>
      <c r="S25" s="663">
        <f>F25</f>
        <v>100</v>
      </c>
      <c r="T25" s="662" t="s">
        <v>14</v>
      </c>
      <c r="U25" s="663">
        <f>H25</f>
        <v>100</v>
      </c>
      <c r="V25" s="662" t="s">
        <v>14</v>
      </c>
      <c r="W25" s="663">
        <f>J25</f>
        <v>100</v>
      </c>
      <c r="X25" s="664"/>
      <c r="Y25" s="3483"/>
      <c r="Z25" s="50" t="str">
        <f>Q25</f>
        <v>基础设施水平</v>
      </c>
      <c r="AA25" s="1261">
        <f>D25/F25</f>
        <v>1</v>
      </c>
      <c r="AB25" s="1261">
        <f>D25/H25</f>
        <v>1</v>
      </c>
      <c r="AC25" s="1261">
        <f>D25/J25</f>
        <v>1</v>
      </c>
    </row>
    <row r="26" spans="1:29" s="102" customFormat="1" ht="15">
      <c r="A26" s="441"/>
      <c r="B26" s="401"/>
      <c r="C26" s="1821"/>
      <c r="D26" s="387"/>
      <c r="E26" s="1822"/>
      <c r="F26" s="387"/>
      <c r="G26" s="1822"/>
      <c r="H26" s="387"/>
      <c r="I26" s="1822"/>
      <c r="J26" s="387"/>
      <c r="K26" s="590"/>
      <c r="L26" s="2484"/>
      <c r="M26" s="2435"/>
      <c r="N26" s="2435"/>
      <c r="O26" s="2536"/>
      <c r="P26" s="3483"/>
      <c r="Q26" s="528"/>
      <c r="R26" s="662"/>
      <c r="S26" s="663"/>
      <c r="T26" s="662"/>
      <c r="U26" s="663"/>
      <c r="V26" s="662"/>
      <c r="W26" s="663"/>
      <c r="X26" s="664"/>
      <c r="Y26" s="3483"/>
      <c r="Z26" s="50"/>
      <c r="AA26" s="50">
        <v>1</v>
      </c>
      <c r="AB26" s="50">
        <v>1</v>
      </c>
      <c r="AC26" s="50">
        <v>1</v>
      </c>
    </row>
    <row r="27" spans="1:29" ht="15">
      <c r="A27" s="367"/>
      <c r="B27" s="401" t="s">
        <v>1780</v>
      </c>
      <c r="C27" s="540"/>
      <c r="D27" s="374">
        <v>100</v>
      </c>
      <c r="E27" s="556"/>
      <c r="F27" s="374">
        <f>SUMIF(95:95,E27,96:96)-SUMIF(95:95,C27,96:96)+100</f>
        <v>100</v>
      </c>
      <c r="G27" s="556"/>
      <c r="H27" s="374">
        <f>SUMIF(95:95,G27,96:96)-SUMIF(95:95,C27,96:96)+100</f>
        <v>100</v>
      </c>
      <c r="I27" s="556"/>
      <c r="J27" s="374">
        <f>SUMIF(95:95,I27,96:96)-SUMIF(95:95,C27,96:96)+100</f>
        <v>100</v>
      </c>
      <c r="K27" s="591"/>
      <c r="L27" s="2488"/>
      <c r="M27" s="2483"/>
      <c r="N27" s="2483"/>
      <c r="O27" s="2538"/>
      <c r="P27" s="3483"/>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83"/>
      <c r="Z27" s="1261" t="str">
        <f t="shared" ref="Z27:Z40" si="13">Q27</f>
        <v>临街状况</v>
      </c>
      <c r="AA27" s="1261">
        <f t="shared" si="3"/>
        <v>1</v>
      </c>
      <c r="AB27" s="1261">
        <f t="shared" si="4"/>
        <v>1</v>
      </c>
      <c r="AC27" s="1261">
        <f t="shared" si="5"/>
        <v>1</v>
      </c>
    </row>
    <row r="28" spans="1:29" ht="27">
      <c r="A28" s="367"/>
      <c r="B28" s="555" t="s">
        <v>1815</v>
      </c>
      <c r="C28" s="1833">
        <f>估价对象房地状况!G22</f>
        <v>0</v>
      </c>
      <c r="D28" s="389">
        <v>100</v>
      </c>
      <c r="E28" s="391"/>
      <c r="F28" s="389">
        <f>SUMIF(97:97,E29,98:98)-SUMIF(97:97,C29,98:98)+100</f>
        <v>100</v>
      </c>
      <c r="G28" s="391"/>
      <c r="H28" s="389">
        <f>SUMIF(97:97,G29,98:98)-SUMIF(97:97,C29,98:98)+100</f>
        <v>100</v>
      </c>
      <c r="I28" s="393"/>
      <c r="J28" s="389">
        <f>SUMIF(97:97,I29,98:98)-SUMIF(97:97,C29,98:98)+100</f>
        <v>100</v>
      </c>
      <c r="K28" s="591"/>
      <c r="L28" s="2488"/>
      <c r="M28" s="2483"/>
      <c r="N28" s="2483"/>
      <c r="O28" s="2538"/>
      <c r="P28" s="3483"/>
      <c r="Q28" s="1260" t="str">
        <f t="shared" si="8"/>
        <v>毗邻道路的类型与等级</v>
      </c>
      <c r="R28" s="665" t="s">
        <v>14</v>
      </c>
      <c r="S28" s="666">
        <f t="shared" si="10"/>
        <v>100</v>
      </c>
      <c r="T28" s="665" t="s">
        <v>14</v>
      </c>
      <c r="U28" s="666">
        <f t="shared" si="11"/>
        <v>100</v>
      </c>
      <c r="V28" s="665" t="s">
        <v>14</v>
      </c>
      <c r="W28" s="666">
        <f t="shared" si="12"/>
        <v>100</v>
      </c>
      <c r="X28" s="1262"/>
      <c r="Y28" s="3483"/>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7"/>
      <c r="L29" s="2488"/>
      <c r="M29" s="2483"/>
      <c r="N29" s="2483"/>
      <c r="O29" s="2538"/>
      <c r="P29" s="3483"/>
      <c r="Q29" s="1260"/>
      <c r="R29" s="665"/>
      <c r="S29" s="666"/>
      <c r="T29" s="665"/>
      <c r="U29" s="666"/>
      <c r="V29" s="665"/>
      <c r="W29" s="666"/>
      <c r="X29" s="1262"/>
      <c r="Y29" s="3483"/>
      <c r="Z29" s="1261"/>
      <c r="AA29" s="1261">
        <v>1</v>
      </c>
      <c r="AB29" s="1261">
        <v>1</v>
      </c>
      <c r="AC29" s="1261">
        <v>1</v>
      </c>
    </row>
    <row r="30" spans="1:29" ht="15">
      <c r="A30" s="367"/>
      <c r="B30" s="119" t="s">
        <v>1872</v>
      </c>
      <c r="C30" s="1066">
        <f>估价对象房地状况!G23</f>
        <v>0</v>
      </c>
      <c r="D30" s="374">
        <v>100</v>
      </c>
      <c r="E30" s="556"/>
      <c r="F30" s="374">
        <f>SUMIF(99:99,E30,100:100)-SUMIF(99:99,C30,100:100)+100</f>
        <v>100</v>
      </c>
      <c r="G30" s="556"/>
      <c r="H30" s="374">
        <f>SUMIF(99:99,G30,100:100)-SUMIF(99:99,C30,100:100)+100</f>
        <v>100</v>
      </c>
      <c r="I30" s="556"/>
      <c r="J30" s="374">
        <f>SUMIF(99:99,I30,100:100)-SUMIF(99:99,C30,100:100)+100</f>
        <v>100</v>
      </c>
      <c r="K30" s="536"/>
      <c r="L30" s="2488"/>
      <c r="M30" s="2483"/>
      <c r="N30" s="2483"/>
      <c r="O30" s="2538"/>
      <c r="P30" s="3483"/>
      <c r="Q30" s="1260" t="str">
        <f t="shared" si="8"/>
        <v>土地级别</v>
      </c>
      <c r="R30" s="665" t="s">
        <v>14</v>
      </c>
      <c r="S30" s="666">
        <f t="shared" si="10"/>
        <v>100</v>
      </c>
      <c r="T30" s="665" t="s">
        <v>14</v>
      </c>
      <c r="U30" s="666">
        <f t="shared" si="11"/>
        <v>100</v>
      </c>
      <c r="V30" s="665" t="s">
        <v>14</v>
      </c>
      <c r="W30" s="666">
        <f t="shared" si="12"/>
        <v>100</v>
      </c>
      <c r="X30" s="1262"/>
      <c r="Y30" s="3483"/>
      <c r="Z30" s="1261" t="str">
        <f t="shared" si="13"/>
        <v>土地级别</v>
      </c>
      <c r="AA30" s="1261">
        <f t="shared" si="3"/>
        <v>1</v>
      </c>
      <c r="AB30" s="1261">
        <f t="shared" si="4"/>
        <v>1</v>
      </c>
      <c r="AC30" s="1261">
        <f t="shared" si="5"/>
        <v>1</v>
      </c>
    </row>
    <row r="31" spans="1:29" ht="15">
      <c r="A31" s="348"/>
      <c r="B31" s="1096">
        <v>111</v>
      </c>
      <c r="C31" s="592"/>
      <c r="D31" s="374">
        <v>100</v>
      </c>
      <c r="E31" s="412"/>
      <c r="F31" s="374">
        <f>SUMIF(101:101,E31,102:102)-SUMIF(101:101,C31,102:102)+100</f>
        <v>100</v>
      </c>
      <c r="G31" s="412"/>
      <c r="H31" s="374">
        <f>SUMIF(101:101,G31,102:102)-SUMIF(101:101,C31,102:102)+100</f>
        <v>100</v>
      </c>
      <c r="I31" s="478"/>
      <c r="J31" s="374">
        <f>SUMIF(101:101,I31,102:102)-SUMIF(101:101,C31,102:102)+100</f>
        <v>100</v>
      </c>
      <c r="K31" s="537"/>
      <c r="L31" s="2488"/>
      <c r="M31" s="2483"/>
      <c r="N31" s="2483"/>
      <c r="O31" s="2538"/>
      <c r="P31" s="3483"/>
      <c r="Q31" s="1260">
        <f t="shared" si="8"/>
        <v>111</v>
      </c>
      <c r="R31" s="665" t="s">
        <v>14</v>
      </c>
      <c r="S31" s="666">
        <f t="shared" si="10"/>
        <v>100</v>
      </c>
      <c r="T31" s="665" t="s">
        <v>14</v>
      </c>
      <c r="U31" s="666">
        <f t="shared" si="11"/>
        <v>100</v>
      </c>
      <c r="V31" s="665" t="s">
        <v>14</v>
      </c>
      <c r="W31" s="666">
        <f t="shared" si="12"/>
        <v>100</v>
      </c>
      <c r="X31" s="1262"/>
      <c r="Y31" s="3483"/>
      <c r="Z31" s="1261">
        <f t="shared" si="13"/>
        <v>111</v>
      </c>
      <c r="AA31" s="1261">
        <f t="shared" si="3"/>
        <v>1</v>
      </c>
      <c r="AB31" s="1261">
        <f t="shared" si="4"/>
        <v>1</v>
      </c>
      <c r="AC31" s="1261">
        <f t="shared" si="5"/>
        <v>1</v>
      </c>
    </row>
    <row r="32" spans="1:29" ht="15">
      <c r="A32" s="593"/>
      <c r="B32" s="1834">
        <v>111</v>
      </c>
      <c r="C32" s="592"/>
      <c r="D32" s="374">
        <v>100</v>
      </c>
      <c r="E32" s="412"/>
      <c r="F32" s="374">
        <f>SUMIF(103:103,E33,104:104)-SUMIF(103:103,C33,104:104)+100</f>
        <v>100</v>
      </c>
      <c r="G32" s="412"/>
      <c r="H32" s="374">
        <f>SUMIF(103:103,G32,104:104)-SUMIF(103:103,C32,104:104)+100</f>
        <v>100</v>
      </c>
      <c r="I32" s="592"/>
      <c r="J32" s="374">
        <f>SUMIF(103:103,I32,104:104)-SUMIF(103:103,C32,104:104)+100</f>
        <v>100</v>
      </c>
      <c r="K32" s="537"/>
      <c r="L32" s="2488"/>
      <c r="M32" s="2483"/>
      <c r="N32" s="2483"/>
      <c r="O32" s="2538"/>
      <c r="P32" s="3484" t="s">
        <v>1696</v>
      </c>
      <c r="Q32" s="1260">
        <f t="shared" si="8"/>
        <v>111</v>
      </c>
      <c r="R32" s="665" t="s">
        <v>14</v>
      </c>
      <c r="S32" s="666">
        <f t="shared" si="10"/>
        <v>100</v>
      </c>
      <c r="T32" s="665" t="s">
        <v>14</v>
      </c>
      <c r="U32" s="666">
        <f t="shared" si="11"/>
        <v>100</v>
      </c>
      <c r="V32" s="665" t="s">
        <v>14</v>
      </c>
      <c r="W32" s="666">
        <f t="shared" si="12"/>
        <v>100</v>
      </c>
      <c r="X32" s="1262"/>
      <c r="Y32" s="3485" t="s">
        <v>1696</v>
      </c>
      <c r="Z32" s="1261">
        <f t="shared" si="13"/>
        <v>111</v>
      </c>
      <c r="AA32" s="1261">
        <f t="shared" si="3"/>
        <v>1</v>
      </c>
      <c r="AB32" s="1261">
        <f t="shared" si="4"/>
        <v>1</v>
      </c>
      <c r="AC32" s="1261">
        <f t="shared" si="5"/>
        <v>1</v>
      </c>
    </row>
    <row r="33" spans="1:31" s="408" customFormat="1" ht="15.75" thickBot="1">
      <c r="A33" s="594"/>
      <c r="B33" s="1835">
        <v>111</v>
      </c>
      <c r="C33" s="596"/>
      <c r="D33" s="120">
        <v>100</v>
      </c>
      <c r="E33" s="619"/>
      <c r="F33" s="377">
        <f>SUMIF(105:105,E33,106:106)-SUMIF(105:105,C33,106:106)+100</f>
        <v>100</v>
      </c>
      <c r="G33" s="619"/>
      <c r="H33" s="377">
        <f>SUMIF(105:105,G33,106:106)-SUMIF(105:105,C33,106:106)+100</f>
        <v>100</v>
      </c>
      <c r="I33" s="596"/>
      <c r="J33" s="377">
        <f>SUMIF(105:105,I33,106:106)-SUMIF(105:105,C33,106:106)+100</f>
        <v>100</v>
      </c>
      <c r="K33" s="537"/>
      <c r="L33" s="2487"/>
      <c r="M33" s="2489"/>
      <c r="N33" s="2489"/>
      <c r="O33" s="2539"/>
      <c r="P33" s="3485"/>
      <c r="Q33" s="1260">
        <f t="shared" si="8"/>
        <v>111</v>
      </c>
      <c r="R33" s="667" t="s">
        <v>14</v>
      </c>
      <c r="S33" s="668">
        <f t="shared" si="10"/>
        <v>100</v>
      </c>
      <c r="T33" s="667" t="s">
        <v>14</v>
      </c>
      <c r="U33" s="668">
        <f t="shared" si="11"/>
        <v>100</v>
      </c>
      <c r="V33" s="667" t="s">
        <v>14</v>
      </c>
      <c r="W33" s="668">
        <f t="shared" si="12"/>
        <v>100</v>
      </c>
      <c r="X33" s="669"/>
      <c r="Y33" s="3485"/>
      <c r="Z33" s="670">
        <f t="shared" si="13"/>
        <v>111</v>
      </c>
      <c r="AA33" s="1261">
        <f t="shared" si="3"/>
        <v>1</v>
      </c>
      <c r="AB33" s="1261">
        <f t="shared" si="4"/>
        <v>1</v>
      </c>
      <c r="AC33" s="1261">
        <f t="shared" si="5"/>
        <v>1</v>
      </c>
    </row>
    <row r="34" spans="1:31" ht="15">
      <c r="A34" s="379" t="s">
        <v>1694</v>
      </c>
      <c r="B34" s="395" t="s">
        <v>1873</v>
      </c>
      <c r="C34" s="597"/>
      <c r="D34" s="405">
        <v>100</v>
      </c>
      <c r="E34" s="597"/>
      <c r="F34" s="405" t="e">
        <f>LOOKUP(E34,108:108,109:109)-LOOKUP(C34,108:108,109:109)+100</f>
        <v>#N/A</v>
      </c>
      <c r="G34" s="597"/>
      <c r="H34" s="405" t="e">
        <f>LOOKUP(G34,108:108,109:109)-LOOKUP(C34,108:108,109:109)+100</f>
        <v>#N/A</v>
      </c>
      <c r="I34" s="460"/>
      <c r="J34" s="405" t="e">
        <f>LOOKUP(I34,108:108,109:109)-LOOKUP(C34,108:108,109:109)+100</f>
        <v>#N/A</v>
      </c>
      <c r="K34" s="537"/>
      <c r="L34" s="2488"/>
      <c r="M34" s="2483"/>
      <c r="N34" s="2483"/>
      <c r="O34" s="2538"/>
      <c r="P34" s="3485"/>
      <c r="Q34" s="1260" t="str">
        <f>B34</f>
        <v>宗地面积</v>
      </c>
      <c r="R34" s="665" t="s">
        <v>14</v>
      </c>
      <c r="S34" s="666" t="e">
        <f t="shared" si="10"/>
        <v>#N/A</v>
      </c>
      <c r="T34" s="665" t="s">
        <v>14</v>
      </c>
      <c r="U34" s="666" t="e">
        <f t="shared" si="11"/>
        <v>#N/A</v>
      </c>
      <c r="V34" s="665" t="s">
        <v>14</v>
      </c>
      <c r="W34" s="666" t="e">
        <f t="shared" si="12"/>
        <v>#N/A</v>
      </c>
      <c r="X34" s="1262"/>
      <c r="Y34" s="3485"/>
      <c r="Z34" s="1261" t="str">
        <f t="shared" si="13"/>
        <v>宗地面积</v>
      </c>
      <c r="AA34" s="1261" t="e">
        <f t="shared" si="3"/>
        <v>#N/A</v>
      </c>
      <c r="AB34" s="1261" t="e">
        <f t="shared" si="4"/>
        <v>#N/A</v>
      </c>
      <c r="AC34" s="1261" t="e">
        <f t="shared" si="5"/>
        <v>#N/A</v>
      </c>
    </row>
    <row r="35" spans="1:31" ht="15">
      <c r="A35" s="409"/>
      <c r="B35" s="364" t="s">
        <v>1874</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6"/>
      <c r="L35" s="2488"/>
      <c r="M35" s="2483"/>
      <c r="N35" s="2483"/>
      <c r="O35" s="2538"/>
      <c r="P35" s="3485"/>
      <c r="Q35" s="1260" t="str">
        <f t="shared" ref="Q35:Q40" si="14">B35</f>
        <v>宗地形状</v>
      </c>
      <c r="R35" s="665" t="s">
        <v>14</v>
      </c>
      <c r="S35" s="666">
        <f t="shared" si="10"/>
        <v>100</v>
      </c>
      <c r="T35" s="665" t="s">
        <v>14</v>
      </c>
      <c r="U35" s="666">
        <f t="shared" si="11"/>
        <v>100</v>
      </c>
      <c r="V35" s="665" t="s">
        <v>14</v>
      </c>
      <c r="W35" s="666">
        <f t="shared" si="12"/>
        <v>100</v>
      </c>
      <c r="X35" s="1262"/>
      <c r="Y35" s="3485"/>
      <c r="Z35" s="1261" t="str">
        <f t="shared" si="13"/>
        <v>宗地形状</v>
      </c>
      <c r="AA35" s="1261">
        <f t="shared" si="3"/>
        <v>1</v>
      </c>
      <c r="AB35" s="1261">
        <f t="shared" si="4"/>
        <v>1</v>
      </c>
      <c r="AC35" s="1261">
        <f t="shared" si="5"/>
        <v>1</v>
      </c>
    </row>
    <row r="36" spans="1:31" s="102" customFormat="1" ht="15">
      <c r="A36" s="410"/>
      <c r="B36" s="364" t="s">
        <v>1876</v>
      </c>
      <c r="C36" s="1823"/>
      <c r="D36" s="119">
        <v>100</v>
      </c>
      <c r="E36" s="1823"/>
      <c r="F36" s="374">
        <f>SUMIF(112:112,E36,113:113)-SUMIF(112:112,C36,113:113)+100</f>
        <v>100</v>
      </c>
      <c r="G36" s="1823"/>
      <c r="H36" s="374">
        <f>SUMIF(112:112,G36,113:113)-SUMIF(112:112,C36,113:113)+100</f>
        <v>100</v>
      </c>
      <c r="I36" s="1823"/>
      <c r="J36" s="374">
        <f>SUMIF(112:112,I36,113:113)-SUMIF(112:112,C36,113:113)+100</f>
        <v>100</v>
      </c>
      <c r="K36" s="536"/>
      <c r="L36" s="2484"/>
      <c r="M36" s="2435"/>
      <c r="N36" s="2435"/>
      <c r="O36" s="2536"/>
      <c r="P36" s="3485"/>
      <c r="Q36" s="1260" t="str">
        <f t="shared" si="14"/>
        <v>宗地开发程度</v>
      </c>
      <c r="R36" s="662" t="s">
        <v>14</v>
      </c>
      <c r="S36" s="663">
        <f t="shared" si="10"/>
        <v>100</v>
      </c>
      <c r="T36" s="662" t="s">
        <v>14</v>
      </c>
      <c r="U36" s="663">
        <f t="shared" si="11"/>
        <v>100</v>
      </c>
      <c r="V36" s="662" t="s">
        <v>14</v>
      </c>
      <c r="W36" s="663">
        <f t="shared" si="12"/>
        <v>100</v>
      </c>
      <c r="X36" s="664"/>
      <c r="Y36" s="3485"/>
      <c r="Z36" s="50" t="str">
        <f t="shared" si="13"/>
        <v>宗地开发程度</v>
      </c>
      <c r="AA36" s="50">
        <f t="shared" si="3"/>
        <v>1</v>
      </c>
      <c r="AB36" s="50">
        <f t="shared" si="4"/>
        <v>1</v>
      </c>
      <c r="AC36" s="50">
        <f t="shared" si="5"/>
        <v>1</v>
      </c>
    </row>
    <row r="37" spans="1:31" ht="15">
      <c r="A37" s="409"/>
      <c r="B37" s="364" t="s">
        <v>1877</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6"/>
      <c r="L37" s="2488"/>
      <c r="M37" s="2483"/>
      <c r="N37" s="2483"/>
      <c r="O37" s="2538"/>
      <c r="P37" s="3485" t="s">
        <v>1696</v>
      </c>
      <c r="Q37" s="1260" t="str">
        <f t="shared" si="14"/>
        <v>工程地质条件</v>
      </c>
      <c r="R37" s="665" t="s">
        <v>14</v>
      </c>
      <c r="S37" s="666">
        <f t="shared" si="10"/>
        <v>100</v>
      </c>
      <c r="T37" s="665" t="s">
        <v>14</v>
      </c>
      <c r="U37" s="666">
        <f t="shared" si="11"/>
        <v>100</v>
      </c>
      <c r="V37" s="665" t="s">
        <v>14</v>
      </c>
      <c r="W37" s="666">
        <f t="shared" si="12"/>
        <v>100</v>
      </c>
      <c r="X37" s="1262"/>
      <c r="Y37" s="3485" t="s">
        <v>1696</v>
      </c>
      <c r="Z37" s="1261" t="str">
        <f t="shared" si="13"/>
        <v>工程地质条件</v>
      </c>
      <c r="AA37" s="1261">
        <f t="shared" si="3"/>
        <v>1</v>
      </c>
      <c r="AB37" s="1261">
        <f t="shared" si="4"/>
        <v>1</v>
      </c>
      <c r="AC37" s="1261">
        <f t="shared" si="5"/>
        <v>1</v>
      </c>
    </row>
    <row r="38" spans="1:31" ht="15">
      <c r="A38" s="409"/>
      <c r="B38" s="1064">
        <v>111</v>
      </c>
      <c r="C38" s="592"/>
      <c r="D38" s="374">
        <v>100</v>
      </c>
      <c r="E38" s="592"/>
      <c r="F38" s="374">
        <f>SUMIF(116:116,E38,117:117)-SUMIF(116:116,C38,117:117)+100</f>
        <v>100</v>
      </c>
      <c r="G38" s="592"/>
      <c r="H38" s="374">
        <f>SUMIF(116:116,G38,117:117)-SUMIF(116:116,C38,117:117)+100</f>
        <v>100</v>
      </c>
      <c r="I38" s="478"/>
      <c r="J38" s="374">
        <f>SUMIF(116:116,I38,117:117)-SUMIF(116:116,C38,117:117)+100</f>
        <v>100</v>
      </c>
      <c r="K38" s="537"/>
      <c r="L38" s="2488"/>
      <c r="M38" s="2483"/>
      <c r="N38" s="2483"/>
      <c r="O38" s="2538"/>
      <c r="P38" s="3485"/>
      <c r="Q38" s="1260">
        <f t="shared" si="14"/>
        <v>111</v>
      </c>
      <c r="R38" s="665" t="s">
        <v>14</v>
      </c>
      <c r="S38" s="666">
        <f t="shared" si="10"/>
        <v>100</v>
      </c>
      <c r="T38" s="665" t="s">
        <v>14</v>
      </c>
      <c r="U38" s="666">
        <f t="shared" si="11"/>
        <v>100</v>
      </c>
      <c r="V38" s="665" t="s">
        <v>14</v>
      </c>
      <c r="W38" s="666">
        <f t="shared" si="12"/>
        <v>100</v>
      </c>
      <c r="X38" s="1262"/>
      <c r="Y38" s="3485"/>
      <c r="Z38" s="1261">
        <f t="shared" si="13"/>
        <v>111</v>
      </c>
      <c r="AA38" s="1261">
        <f t="shared" si="3"/>
        <v>1</v>
      </c>
      <c r="AB38" s="1261">
        <f t="shared" si="4"/>
        <v>1</v>
      </c>
      <c r="AC38" s="1261">
        <f t="shared" si="5"/>
        <v>1</v>
      </c>
    </row>
    <row r="39" spans="1:31" ht="15">
      <c r="A39" s="409"/>
      <c r="B39" s="1064">
        <v>111</v>
      </c>
      <c r="C39" s="592"/>
      <c r="D39" s="374">
        <v>100</v>
      </c>
      <c r="E39" s="592"/>
      <c r="F39" s="374">
        <f>SUMIF(118:118,E39,119:119)-SUMIF(118:118,C39,119:119)+100</f>
        <v>100</v>
      </c>
      <c r="G39" s="592"/>
      <c r="H39" s="374">
        <f>SUMIF(118:118,G39,119:119)-SUMIF(118:118,C39,119:119)+100</f>
        <v>100</v>
      </c>
      <c r="I39" s="478"/>
      <c r="J39" s="374">
        <f>SUMIF(118:118,I39,119:119)-SUMIF(118:118,C39,119:119)+100</f>
        <v>100</v>
      </c>
      <c r="K39" s="537"/>
      <c r="L39" s="2488"/>
      <c r="M39" s="2483"/>
      <c r="N39" s="2483"/>
      <c r="O39" s="2538"/>
      <c r="P39" s="3485"/>
      <c r="Q39" s="1260">
        <f t="shared" si="14"/>
        <v>111</v>
      </c>
      <c r="R39" s="665" t="s">
        <v>14</v>
      </c>
      <c r="S39" s="666">
        <f t="shared" si="10"/>
        <v>100</v>
      </c>
      <c r="T39" s="665" t="s">
        <v>14</v>
      </c>
      <c r="U39" s="666">
        <f t="shared" si="11"/>
        <v>100</v>
      </c>
      <c r="V39" s="665" t="s">
        <v>14</v>
      </c>
      <c r="W39" s="666">
        <f t="shared" si="12"/>
        <v>100</v>
      </c>
      <c r="X39" s="1262"/>
      <c r="Y39" s="3485"/>
      <c r="Z39" s="1261">
        <f t="shared" si="13"/>
        <v>111</v>
      </c>
      <c r="AA39" s="1261">
        <f t="shared" si="3"/>
        <v>1</v>
      </c>
      <c r="AB39" s="1261">
        <f t="shared" si="4"/>
        <v>1</v>
      </c>
      <c r="AC39" s="1261">
        <f t="shared" si="5"/>
        <v>1</v>
      </c>
    </row>
    <row r="40" spans="1:31" s="408" customFormat="1" ht="15.75" thickBot="1">
      <c r="A40" s="406"/>
      <c r="B40" s="1064">
        <v>111</v>
      </c>
      <c r="C40" s="1824"/>
      <c r="D40" s="120">
        <v>100</v>
      </c>
      <c r="E40" s="592"/>
      <c r="F40" s="377">
        <f>SUMIF(120:120,E40,121:121)-SUMIF(120:120,C40,121:121)+100</f>
        <v>100</v>
      </c>
      <c r="G40" s="592"/>
      <c r="H40" s="377">
        <f>SUMIF(120:120,G40,121:121)-SUMIF(120:120,C40,121:121)+100</f>
        <v>100</v>
      </c>
      <c r="I40" s="478"/>
      <c r="J40" s="377">
        <f>SUMIF(120:120,I40,121:121)-SUMIF(120:120,C40,121:121)+100</f>
        <v>100</v>
      </c>
      <c r="K40" s="599"/>
      <c r="L40" s="2487"/>
      <c r="M40" s="2489"/>
      <c r="N40" s="2489"/>
      <c r="O40" s="2539"/>
      <c r="P40" s="3485"/>
      <c r="Q40" s="1260">
        <f t="shared" si="14"/>
        <v>111</v>
      </c>
      <c r="R40" s="667" t="s">
        <v>14</v>
      </c>
      <c r="S40" s="668">
        <f t="shared" si="10"/>
        <v>100</v>
      </c>
      <c r="T40" s="667" t="s">
        <v>14</v>
      </c>
      <c r="U40" s="668">
        <f t="shared" si="11"/>
        <v>100</v>
      </c>
      <c r="V40" s="667" t="s">
        <v>14</v>
      </c>
      <c r="W40" s="668">
        <f t="shared" si="12"/>
        <v>100</v>
      </c>
      <c r="X40" s="669"/>
      <c r="Y40" s="3485"/>
      <c r="Z40" s="670">
        <f t="shared" si="13"/>
        <v>111</v>
      </c>
      <c r="AA40" s="1261">
        <f t="shared" si="3"/>
        <v>1</v>
      </c>
      <c r="AB40" s="1261">
        <f t="shared" si="4"/>
        <v>1</v>
      </c>
      <c r="AC40" s="1261">
        <f t="shared" si="5"/>
        <v>1</v>
      </c>
    </row>
    <row r="41" spans="1:31" ht="15">
      <c r="A41" s="414" t="s">
        <v>1844</v>
      </c>
      <c r="B41" s="1825" t="s">
        <v>1921</v>
      </c>
      <c r="C41" s="600" t="s">
        <v>0</v>
      </c>
      <c r="D41" s="416"/>
      <c r="E41" s="417"/>
      <c r="F41" s="418"/>
      <c r="G41" s="419"/>
      <c r="H41" s="420"/>
      <c r="I41" s="417"/>
      <c r="J41" s="420"/>
      <c r="K41" s="672"/>
      <c r="L41" s="2490"/>
      <c r="M41" s="2483"/>
      <c r="N41" s="2483"/>
      <c r="O41" s="2483"/>
      <c r="P41" s="3467" t="str">
        <f>A41</f>
        <v>成交单价</v>
      </c>
      <c r="Q41" s="3467"/>
      <c r="R41" s="3480">
        <f>E41</f>
        <v>0</v>
      </c>
      <c r="S41" s="3480"/>
      <c r="T41" s="3480">
        <f>G41</f>
        <v>0</v>
      </c>
      <c r="U41" s="3480"/>
      <c r="V41" s="3480">
        <f>I41</f>
        <v>0</v>
      </c>
      <c r="W41" s="3480"/>
      <c r="X41" s="385"/>
      <c r="Y41" s="671"/>
      <c r="Z41" s="385"/>
      <c r="AA41" s="385"/>
      <c r="AB41" s="385"/>
      <c r="AC41" s="385"/>
    </row>
    <row r="42" spans="1:31" ht="15.75" thickBot="1">
      <c r="A42" s="421" t="s">
        <v>1793</v>
      </c>
      <c r="B42" s="601"/>
      <c r="C42" s="424" t="e">
        <f>R43</f>
        <v>#DIV/0!</v>
      </c>
      <c r="D42" s="2136" t="s">
        <v>2137</v>
      </c>
      <c r="E42" s="424" t="e">
        <f>R42</f>
        <v>#DIV/0!</v>
      </c>
      <c r="F42" s="2137"/>
      <c r="G42" s="423" t="e">
        <f>T42</f>
        <v>#DIV/0!</v>
      </c>
      <c r="H42" s="2137"/>
      <c r="I42" s="424" t="e">
        <f>V42</f>
        <v>#DIV/0!</v>
      </c>
      <c r="J42" s="2137"/>
      <c r="K42" s="2139">
        <f>F42+H42+J42</f>
        <v>0</v>
      </c>
      <c r="L42" s="2490"/>
      <c r="M42" s="2483"/>
      <c r="N42" s="2483"/>
      <c r="O42" s="2483"/>
      <c r="P42" s="3467" t="str">
        <f>A42</f>
        <v>比较价值（元/平方米）</v>
      </c>
      <c r="Q42" s="3467"/>
      <c r="R42" s="3486" t="e">
        <f>ROUND(PRODUCT(R41,AA7:AA40),0)</f>
        <v>#DIV/0!</v>
      </c>
      <c r="S42" s="3486"/>
      <c r="T42" s="3486" t="e">
        <f>ROUND(PRODUCT(T41,AB7:AB40),0)</f>
        <v>#DIV/0!</v>
      </c>
      <c r="U42" s="3486"/>
      <c r="V42" s="3486" t="e">
        <f>ROUND(PRODUCT(V41,AC7:AC40),0)</f>
        <v>#DIV/0!</v>
      </c>
      <c r="W42" s="3486"/>
      <c r="X42" s="385"/>
      <c r="Y42" s="385"/>
      <c r="Z42" s="385"/>
      <c r="AA42" s="385"/>
      <c r="AB42" s="385"/>
      <c r="AC42" s="385"/>
    </row>
    <row r="43" spans="1:31" ht="15.75" thickBot="1">
      <c r="A43" s="425" t="s">
        <v>1794</v>
      </c>
      <c r="B43" s="426"/>
      <c r="C43" s="427" t="e">
        <f>R43</f>
        <v>#DIV/0!</v>
      </c>
      <c r="D43" s="427"/>
      <c r="E43" s="427"/>
      <c r="F43" s="427"/>
      <c r="G43" s="427"/>
      <c r="H43" s="427"/>
      <c r="I43" s="427"/>
      <c r="J43" s="427"/>
      <c r="K43" s="673"/>
      <c r="L43" s="2490"/>
      <c r="M43" s="2483"/>
      <c r="N43" s="2483"/>
      <c r="O43" s="2483"/>
      <c r="P43" s="3487" t="str">
        <f>A43</f>
        <v>估价对象XX用房的比较价值（楼面单价，元/平方米）</v>
      </c>
      <c r="Q43" s="3488"/>
      <c r="R43" s="3489" t="e">
        <f>ROUND(IF(D42="简单平均",AVERAGE(R42:W42),R42*F42+T42*H42+V42*J42),0)</f>
        <v>#DIV/0!</v>
      </c>
      <c r="S43" s="3489"/>
      <c r="T43" s="3489"/>
      <c r="U43" s="3489"/>
      <c r="V43" s="3489"/>
      <c r="W43" s="3489"/>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5" customFormat="1" ht="15" thickBot="1">
      <c r="A49" s="2493"/>
      <c r="B49" s="2496"/>
      <c r="C49" s="655"/>
      <c r="D49" s="653"/>
      <c r="E49" s="653"/>
      <c r="F49" s="653"/>
      <c r="G49" s="653"/>
      <c r="H49" s="653"/>
      <c r="I49" s="653"/>
      <c r="J49" s="653"/>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2" t="s">
        <v>1880</v>
      </c>
      <c r="B50" s="603" t="s">
        <v>1881</v>
      </c>
      <c r="C50" s="1826" t="s">
        <v>1882</v>
      </c>
      <c r="D50" s="1827" t="s">
        <v>1883</v>
      </c>
      <c r="E50" s="604" t="s">
        <v>1884</v>
      </c>
      <c r="F50" s="605" t="s">
        <v>1885</v>
      </c>
      <c r="G50" s="3468" t="s">
        <v>1886</v>
      </c>
      <c r="H50" s="3490"/>
      <c r="I50" s="1261" t="s">
        <v>1922</v>
      </c>
      <c r="J50" s="1261">
        <f>项目基本情况!F35</f>
        <v>0</v>
      </c>
      <c r="K50" s="1829" t="s">
        <v>1888</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0" customFormat="1">
      <c r="A51" s="606" t="s">
        <v>1889</v>
      </c>
      <c r="B51" s="607" t="e">
        <f>C43</f>
        <v>#DIV/0!</v>
      </c>
      <c r="C51" s="608">
        <v>1</v>
      </c>
      <c r="D51" s="887">
        <v>1</v>
      </c>
      <c r="E51" s="608">
        <f>'数据-汇总表'!E8+'数据-汇总表'!E9</f>
        <v>36124.270000000026</v>
      </c>
      <c r="F51" s="609" t="e">
        <f t="shared" ref="F51:F60" si="15">ROUND(B51*E51/10000,0)</f>
        <v>#DIV/0!</v>
      </c>
      <c r="G51" s="3491"/>
      <c r="H51" s="3467"/>
      <c r="I51" s="724">
        <v>1</v>
      </c>
      <c r="J51" s="724">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0" customFormat="1">
      <c r="A52" s="611" t="s">
        <v>1890</v>
      </c>
      <c r="B52" s="210" t="e">
        <f>ROUND($C$43*C52*D52,0)</f>
        <v>#DIV/0!</v>
      </c>
      <c r="C52" s="163">
        <f t="shared" ref="C52:C60" si="16">IF($C$50="北京市系数",I52,J52)</f>
        <v>0.6</v>
      </c>
      <c r="D52" s="888">
        <v>0.25</v>
      </c>
      <c r="E52" s="612"/>
      <c r="F52" s="609" t="e">
        <f t="shared" si="15"/>
        <v>#DIV/0!</v>
      </c>
      <c r="G52" s="2746" t="s">
        <v>1891</v>
      </c>
      <c r="H52" s="831" t="str">
        <f>项目基本情况!B37</f>
        <v>六级</v>
      </c>
      <c r="I52" s="724">
        <f>SUMIF(修正!A57:A68,H52,修正!B57:B68)</f>
        <v>0.6</v>
      </c>
      <c r="J52" s="725"/>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0" customFormat="1">
      <c r="A53" s="611" t="s">
        <v>1892</v>
      </c>
      <c r="B53" s="210" t="e">
        <f t="shared" ref="B53:B60" si="17">ROUND($C$43*C53*D53,0)</f>
        <v>#DIV/0!</v>
      </c>
      <c r="C53" s="163">
        <f t="shared" si="16"/>
        <v>0.3</v>
      </c>
      <c r="D53" s="888">
        <v>0.25</v>
      </c>
      <c r="E53" s="612"/>
      <c r="F53" s="609" t="e">
        <f t="shared" si="15"/>
        <v>#DIV/0!</v>
      </c>
      <c r="G53" s="2747"/>
      <c r="H53" s="831" t="str">
        <f>项目基本情况!B37</f>
        <v>六级</v>
      </c>
      <c r="I53" s="724">
        <f>SUMIF(修正!A57:A68,H53,修正!C57:C68)</f>
        <v>0.3</v>
      </c>
      <c r="J53" s="725"/>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0" customFormat="1">
      <c r="A54" s="611" t="s">
        <v>1893</v>
      </c>
      <c r="B54" s="210" t="e">
        <f t="shared" si="17"/>
        <v>#DIV/0!</v>
      </c>
      <c r="C54" s="163">
        <f t="shared" si="16"/>
        <v>0.25</v>
      </c>
      <c r="D54" s="888">
        <v>0.25</v>
      </c>
      <c r="E54" s="612"/>
      <c r="F54" s="609" t="e">
        <f t="shared" si="15"/>
        <v>#DIV/0!</v>
      </c>
      <c r="G54" s="2747"/>
      <c r="H54" s="831" t="str">
        <f>项目基本情况!B37</f>
        <v>六级</v>
      </c>
      <c r="I54" s="724">
        <f>SUMIF(修正!A57:A68,H54,修正!D57:D68)</f>
        <v>0.25</v>
      </c>
      <c r="J54" s="725"/>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0" customFormat="1" hidden="1">
      <c r="A55" s="611"/>
      <c r="B55" s="210"/>
      <c r="C55" s="163"/>
      <c r="D55" s="888"/>
      <c r="E55" s="612"/>
      <c r="F55" s="609"/>
      <c r="G55" s="2748"/>
      <c r="H55" s="831"/>
      <c r="I55" s="724"/>
      <c r="J55" s="725"/>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0" customFormat="1">
      <c r="A56" s="611" t="s">
        <v>1894</v>
      </c>
      <c r="B56" s="210" t="e">
        <f t="shared" si="17"/>
        <v>#DIV/0!</v>
      </c>
      <c r="C56" s="163">
        <f t="shared" si="16"/>
        <v>0.25</v>
      </c>
      <c r="D56" s="888">
        <v>0.25</v>
      </c>
      <c r="E56" s="209">
        <f>'数据-汇总表'!E11</f>
        <v>0</v>
      </c>
      <c r="F56" s="609" t="e">
        <f t="shared" si="15"/>
        <v>#DIV/0!</v>
      </c>
      <c r="G56" s="1830" t="s">
        <v>1895</v>
      </c>
      <c r="H56" s="831" t="str">
        <f>项目基本情况!C37</f>
        <v>六级</v>
      </c>
      <c r="I56" s="724">
        <f>SUMIF(修正!A57:A68,H56,修正!E57:E68)</f>
        <v>0.25</v>
      </c>
      <c r="J56" s="725"/>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0" customFormat="1">
      <c r="A57" s="611" t="s">
        <v>1896</v>
      </c>
      <c r="B57" s="210" t="e">
        <f t="shared" si="17"/>
        <v>#DIV/0!</v>
      </c>
      <c r="C57" s="163">
        <f t="shared" si="16"/>
        <v>0.25</v>
      </c>
      <c r="D57" s="888">
        <v>0.25</v>
      </c>
      <c r="E57" s="209">
        <f>'数据-汇总表'!E12</f>
        <v>15395.17</v>
      </c>
      <c r="F57" s="609" t="e">
        <f t="shared" si="15"/>
        <v>#DIV/0!</v>
      </c>
      <c r="G57" s="836" t="s">
        <v>1897</v>
      </c>
      <c r="H57" s="831" t="str">
        <f>IF(G57="商业",项目基本情况!B37,IF(G57="办公",项目基本情况!C37,IF(G57="住宅",项目基本情况!D37,项目基本情况!E37)))</f>
        <v>六级</v>
      </c>
      <c r="I57" s="724">
        <f>SUMIF(修正!A57:A68,H57,修正!F57:F68)</f>
        <v>0.25</v>
      </c>
      <c r="J57" s="725"/>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0" customFormat="1">
      <c r="A58" s="611" t="s">
        <v>1898</v>
      </c>
      <c r="B58" s="210" t="e">
        <f t="shared" si="17"/>
        <v>#DIV/0!</v>
      </c>
      <c r="C58" s="163">
        <f t="shared" si="16"/>
        <v>0.15</v>
      </c>
      <c r="D58" s="888">
        <v>0.25</v>
      </c>
      <c r="E58" s="209">
        <f>'数据-汇总表'!E13</f>
        <v>16034.629999999899</v>
      </c>
      <c r="F58" s="609" t="e">
        <f t="shared" si="15"/>
        <v>#DIV/0!</v>
      </c>
      <c r="G58" s="836" t="s">
        <v>1899</v>
      </c>
      <c r="H58" s="831" t="str">
        <f>IF(G58="商业",项目基本情况!B37,IF(G58="办公",项目基本情况!C37,IF(G58="住宅",项目基本情况!D37,项目基本情况!E37)))</f>
        <v>六级</v>
      </c>
      <c r="I58" s="724">
        <f>SUMIF(修正!A57:A68,H58,修正!G57:G68)</f>
        <v>0.15</v>
      </c>
      <c r="J58" s="725"/>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0" customFormat="1">
      <c r="A59" s="611" t="s">
        <v>1900</v>
      </c>
      <c r="B59" s="210" t="e">
        <f t="shared" si="17"/>
        <v>#DIV/0!</v>
      </c>
      <c r="C59" s="163">
        <f t="shared" si="16"/>
        <v>0.15</v>
      </c>
      <c r="D59" s="888">
        <v>0.25</v>
      </c>
      <c r="E59" s="209">
        <f>'数据-汇总表'!E14</f>
        <v>0</v>
      </c>
      <c r="F59" s="609" t="e">
        <f t="shared" si="15"/>
        <v>#DIV/0!</v>
      </c>
      <c r="G59" s="1830" t="s">
        <v>1891</v>
      </c>
      <c r="H59" s="831" t="str">
        <f>项目基本情况!B37</f>
        <v>六级</v>
      </c>
      <c r="I59" s="724">
        <f>SUMIF(修正!A57:A68,H59,修正!G57:G68)</f>
        <v>0.15</v>
      </c>
      <c r="J59" s="725"/>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0" customFormat="1" ht="15" thickBot="1">
      <c r="A60" s="611" t="s">
        <v>1901</v>
      </c>
      <c r="B60" s="210" t="e">
        <f t="shared" si="17"/>
        <v>#DIV/0!</v>
      </c>
      <c r="C60" s="163">
        <f t="shared" si="16"/>
        <v>0.15</v>
      </c>
      <c r="D60" s="888">
        <v>0.25</v>
      </c>
      <c r="E60" s="209">
        <f>'数据-汇总表'!E15</f>
        <v>0</v>
      </c>
      <c r="F60" s="609" t="e">
        <f t="shared" si="15"/>
        <v>#DIV/0!</v>
      </c>
      <c r="G60" s="1831" t="s">
        <v>1895</v>
      </c>
      <c r="H60" s="841" t="str">
        <f>项目基本情况!C37</f>
        <v>六级</v>
      </c>
      <c r="I60" s="724">
        <f>SUMIF(修正!A57:A68,H60,修正!G57:G68)</f>
        <v>0.15</v>
      </c>
      <c r="J60" s="725"/>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0" customFormat="1" ht="15" thickBot="1">
      <c r="A61" s="613" t="s">
        <v>1902</v>
      </c>
      <c r="B61" s="614" t="s">
        <v>22</v>
      </c>
      <c r="C61" s="614" t="s">
        <v>23</v>
      </c>
      <c r="D61" s="614" t="s">
        <v>392</v>
      </c>
      <c r="E61" s="614">
        <f>IF(B41="楼面地价",SUM(E51:E60),'数据-汇总表'!D3)</f>
        <v>29999.43</v>
      </c>
      <c r="F61" s="615" t="e">
        <f>IF(B41="楼面地价",SUM(F51:F60),ROUND(C43*E61/10000,0))</f>
        <v>#DIV/0!</v>
      </c>
      <c r="G61" s="882"/>
      <c r="H61" s="882"/>
      <c r="I61" s="882"/>
      <c r="J61" s="882"/>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8"/>
      <c r="B62" s="872"/>
      <c r="C62" s="874"/>
      <c r="D62" s="858"/>
      <c r="E62" s="858"/>
      <c r="F62" s="858"/>
      <c r="G62" s="858"/>
      <c r="H62" s="858"/>
      <c r="I62" s="858"/>
      <c r="J62" s="858"/>
      <c r="K62" s="832"/>
      <c r="L62" s="833"/>
      <c r="M62" s="858"/>
      <c r="N62" s="858"/>
      <c r="O62" s="858"/>
      <c r="P62" s="2483"/>
      <c r="Q62" s="2483"/>
      <c r="R62" s="2483"/>
      <c r="S62" s="2483"/>
      <c r="T62" s="2483"/>
      <c r="U62" s="2483"/>
      <c r="V62" s="2483"/>
      <c r="W62" s="2483"/>
      <c r="X62" s="2483"/>
      <c r="Y62" s="2483"/>
      <c r="Z62" s="2483"/>
      <c r="AA62" s="2483"/>
      <c r="AB62" s="2483"/>
      <c r="AC62" s="2483"/>
      <c r="AD62" s="2483"/>
      <c r="AE62" s="2483"/>
    </row>
    <row r="63" spans="1:31">
      <c r="A63" s="858"/>
      <c r="B63" s="872"/>
      <c r="C63" s="654" t="str">
        <f>YEAR(C7)&amp;"-"&amp;MONTH(C7)&amp;"-1"</f>
        <v>2025-5-1</v>
      </c>
      <c r="D63" s="654">
        <f>EDATE(C63,-3)</f>
        <v>45689</v>
      </c>
      <c r="E63" s="654">
        <f>EDATE(D63,-3)</f>
        <v>45597</v>
      </c>
      <c r="F63" s="654">
        <f t="shared" ref="F63:O63" si="18">EDATE(E63,-3)</f>
        <v>45505</v>
      </c>
      <c r="G63" s="654">
        <f t="shared" si="18"/>
        <v>45413</v>
      </c>
      <c r="H63" s="654">
        <f t="shared" si="18"/>
        <v>45323</v>
      </c>
      <c r="I63" s="654">
        <f t="shared" si="18"/>
        <v>45231</v>
      </c>
      <c r="J63" s="654">
        <f t="shared" si="18"/>
        <v>45139</v>
      </c>
      <c r="K63" s="654">
        <f t="shared" si="18"/>
        <v>45047</v>
      </c>
      <c r="L63" s="654">
        <f t="shared" si="18"/>
        <v>44958</v>
      </c>
      <c r="M63" s="654">
        <f t="shared" si="18"/>
        <v>44866</v>
      </c>
      <c r="N63" s="654">
        <f t="shared" si="18"/>
        <v>44774</v>
      </c>
      <c r="O63" s="654">
        <f t="shared" si="18"/>
        <v>44682</v>
      </c>
      <c r="P63" s="2483"/>
      <c r="Q63" s="2483"/>
      <c r="R63" s="2483"/>
      <c r="S63" s="2483"/>
      <c r="T63" s="2483"/>
      <c r="U63" s="2483"/>
      <c r="V63" s="2483"/>
      <c r="W63" s="2483"/>
      <c r="X63" s="2483"/>
      <c r="Y63" s="2483"/>
      <c r="Z63" s="2483"/>
      <c r="AA63" s="2483"/>
      <c r="AB63" s="2483"/>
      <c r="AC63" s="2483"/>
      <c r="AD63" s="2483"/>
      <c r="AE63" s="2483"/>
    </row>
    <row r="64" spans="1:31" ht="21.75" thickBot="1">
      <c r="A64" s="656" t="s">
        <v>1798</v>
      </c>
      <c r="B64" s="385"/>
      <c r="C64" s="657"/>
      <c r="D64" s="657"/>
      <c r="E64" s="657"/>
      <c r="F64" s="658"/>
      <c r="G64" s="658"/>
      <c r="H64" s="657"/>
      <c r="I64" s="657"/>
      <c r="J64" s="657"/>
      <c r="K64" s="659"/>
      <c r="L64" s="660"/>
      <c r="M64" s="657"/>
      <c r="N64" s="657"/>
      <c r="O64" s="883"/>
      <c r="P64" s="2533"/>
      <c r="Q64" s="2504"/>
      <c r="R64" s="2483"/>
      <c r="S64" s="2483"/>
      <c r="T64" s="2483"/>
      <c r="U64" s="2483"/>
      <c r="V64" s="2483"/>
      <c r="W64" s="2483"/>
      <c r="X64" s="2483"/>
      <c r="Y64" s="2483"/>
      <c r="Z64" s="2483"/>
      <c r="AA64" s="2483"/>
      <c r="AB64" s="2483"/>
      <c r="AC64" s="2483"/>
      <c r="AD64" s="2483"/>
      <c r="AE64" s="2483"/>
    </row>
    <row r="65" spans="1:31" s="440" customFormat="1" ht="15">
      <c r="A65" s="1627" t="s">
        <v>1903</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6" t="s">
        <v>1923</v>
      </c>
      <c r="B66" s="280" t="str">
        <f>"北京市平均增长率"&amp;TEXT(基准地价修正!P28,"0.00%")</f>
        <v>北京市平均增长率0.00%</v>
      </c>
      <c r="C66" s="528">
        <v>100</v>
      </c>
      <c r="D66" s="6"/>
      <c r="E66" s="6"/>
      <c r="F66" s="6"/>
      <c r="G66" s="6"/>
      <c r="H66" s="6"/>
      <c r="I66" s="6"/>
      <c r="J66" s="6"/>
      <c r="K66" s="6"/>
      <c r="L66" s="6"/>
      <c r="M66" s="1063"/>
      <c r="N66" s="1063"/>
      <c r="O66" s="1096"/>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7" t="s">
        <v>1716</v>
      </c>
      <c r="B67" s="448"/>
      <c r="C67" s="449"/>
      <c r="D67" s="450"/>
      <c r="E67" s="450"/>
      <c r="F67" s="450"/>
      <c r="G67" s="450"/>
      <c r="H67" s="450"/>
      <c r="I67" s="450"/>
      <c r="J67" s="450"/>
      <c r="K67" s="450"/>
      <c r="L67" s="450"/>
      <c r="M67" s="451"/>
      <c r="N67" s="451"/>
      <c r="O67" s="452"/>
      <c r="P67" s="2504"/>
      <c r="Q67" s="2504"/>
      <c r="R67" s="2435"/>
      <c r="S67" s="2435"/>
      <c r="T67" s="2435"/>
      <c r="U67" s="2435"/>
      <c r="V67" s="2435"/>
      <c r="W67" s="2435"/>
      <c r="X67" s="2435"/>
      <c r="Y67" s="2435"/>
      <c r="Z67" s="2435"/>
      <c r="AA67" s="2435"/>
      <c r="AB67" s="2435"/>
      <c r="AC67" s="2435"/>
      <c r="AD67" s="2435"/>
      <c r="AE67" s="2435"/>
    </row>
    <row r="68" spans="1:31" s="102" customFormat="1" ht="15">
      <c r="A68" s="453" t="s">
        <v>1681</v>
      </c>
      <c r="B68" s="442"/>
      <c r="C68" s="454" t="s">
        <v>1776</v>
      </c>
      <c r="D68" s="31"/>
      <c r="E68" s="31"/>
      <c r="F68" s="31"/>
      <c r="G68" s="31"/>
      <c r="H68" s="31"/>
      <c r="I68" s="31"/>
      <c r="J68" s="31"/>
      <c r="K68" s="31"/>
      <c r="L68" s="455"/>
      <c r="M68" s="456"/>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3"/>
      <c r="B69" s="442"/>
      <c r="C69" s="561">
        <v>100</v>
      </c>
      <c r="D69" s="444"/>
      <c r="E69" s="444"/>
      <c r="F69" s="444"/>
      <c r="G69" s="444"/>
      <c r="H69" s="444"/>
      <c r="I69" s="444"/>
      <c r="J69" s="444"/>
      <c r="K69" s="444"/>
      <c r="L69" s="444"/>
      <c r="M69" s="446"/>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1719</v>
      </c>
      <c r="B70" s="458" t="s">
        <v>1685</v>
      </c>
      <c r="C70" s="460"/>
      <c r="D70" s="460"/>
      <c r="E70" s="460"/>
      <c r="F70" s="460"/>
      <c r="G70" s="460"/>
      <c r="H70" s="460"/>
      <c r="I70" s="460"/>
      <c r="J70" s="460"/>
      <c r="K70" s="461"/>
      <c r="L70" s="462"/>
      <c r="M70" s="463"/>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4"/>
      <c r="C71" s="465"/>
      <c r="D71" s="465"/>
      <c r="E71" s="465"/>
      <c r="F71" s="465"/>
      <c r="G71" s="465"/>
      <c r="H71" s="465"/>
      <c r="I71" s="465"/>
      <c r="J71" s="465"/>
      <c r="K71" s="465"/>
      <c r="L71" s="465"/>
      <c r="M71" s="466"/>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7" t="s">
        <v>1688</v>
      </c>
      <c r="C72" s="468"/>
      <c r="D72" s="468"/>
      <c r="E72" s="468"/>
      <c r="F72" s="468"/>
      <c r="G72" s="468"/>
      <c r="H72" s="468"/>
      <c r="I72" s="468"/>
      <c r="J72" s="468"/>
      <c r="K72" s="469"/>
      <c r="L72" s="470"/>
      <c r="M72" s="471"/>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2"/>
      <c r="C73" s="473"/>
      <c r="D73" s="473"/>
      <c r="E73" s="473"/>
      <c r="F73" s="473"/>
      <c r="G73" s="473"/>
      <c r="H73" s="473"/>
      <c r="I73" s="473"/>
      <c r="J73" s="473"/>
      <c r="K73" s="473"/>
      <c r="L73" s="473"/>
      <c r="M73" s="474"/>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7"/>
      <c r="C75" s="478"/>
      <c r="D75" s="478"/>
      <c r="E75" s="478"/>
      <c r="F75" s="478"/>
      <c r="G75" s="478"/>
      <c r="H75" s="478"/>
      <c r="I75" s="478"/>
      <c r="J75" s="478"/>
      <c r="K75" s="479"/>
      <c r="L75" s="480"/>
      <c r="M75" s="481"/>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2"/>
      <c r="B77" s="467">
        <f>B12</f>
        <v>111</v>
      </c>
      <c r="C77" s="483"/>
      <c r="D77" s="483"/>
      <c r="E77" s="483"/>
      <c r="F77" s="483"/>
      <c r="G77" s="483"/>
      <c r="H77" s="484"/>
      <c r="I77" s="484"/>
      <c r="J77" s="484"/>
      <c r="K77" s="484"/>
      <c r="L77" s="485"/>
      <c r="M77" s="486"/>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2"/>
      <c r="B78" s="472"/>
      <c r="C78" s="489"/>
      <c r="D78" s="465"/>
      <c r="E78" s="465"/>
      <c r="F78" s="465"/>
      <c r="G78" s="465"/>
      <c r="H78" s="465"/>
      <c r="I78" s="465"/>
      <c r="J78" s="465"/>
      <c r="K78" s="465"/>
      <c r="L78" s="465"/>
      <c r="M78" s="466"/>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2"/>
      <c r="B79" s="467">
        <f>B13</f>
        <v>111</v>
      </c>
      <c r="C79" s="483"/>
      <c r="D79" s="483"/>
      <c r="E79" s="483"/>
      <c r="F79" s="483"/>
      <c r="G79" s="483"/>
      <c r="H79" s="484"/>
      <c r="I79" s="484"/>
      <c r="J79" s="484"/>
      <c r="K79" s="484"/>
      <c r="L79" s="485"/>
      <c r="M79" s="486"/>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2"/>
      <c r="B80" s="472"/>
      <c r="C80" s="489"/>
      <c r="D80" s="489"/>
      <c r="E80" s="489"/>
      <c r="F80" s="489"/>
      <c r="G80" s="489"/>
      <c r="H80" s="491"/>
      <c r="I80" s="491"/>
      <c r="J80" s="491"/>
      <c r="K80" s="491"/>
      <c r="L80" s="491"/>
      <c r="M80" s="492"/>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2"/>
      <c r="B81" s="475">
        <f>B14</f>
        <v>111</v>
      </c>
      <c r="C81" s="31"/>
      <c r="D81" s="31"/>
      <c r="E81" s="31"/>
      <c r="F81" s="31"/>
      <c r="G81" s="31"/>
      <c r="H81" s="493"/>
      <c r="I81" s="493"/>
      <c r="J81" s="493"/>
      <c r="K81" s="493"/>
      <c r="L81" s="494"/>
      <c r="M81" s="495"/>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7"/>
      <c r="B82" s="498"/>
      <c r="C82" s="499"/>
      <c r="D82" s="499"/>
      <c r="E82" s="499"/>
      <c r="F82" s="499"/>
      <c r="G82" s="499"/>
      <c r="H82" s="500"/>
      <c r="I82" s="500"/>
      <c r="J82" s="500"/>
      <c r="K82" s="500"/>
      <c r="L82" s="500"/>
      <c r="M82" s="501"/>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58" t="s">
        <v>1829</v>
      </c>
      <c r="C83" s="502" t="s">
        <v>1721</v>
      </c>
      <c r="D83" s="502" t="s">
        <v>1722</v>
      </c>
      <c r="E83" s="502" t="s">
        <v>1723</v>
      </c>
      <c r="F83" s="502" t="s">
        <v>1724</v>
      </c>
      <c r="G83" s="502" t="s">
        <v>1725</v>
      </c>
      <c r="H83" s="459"/>
      <c r="I83" s="459"/>
      <c r="J83" s="459"/>
      <c r="K83" s="503"/>
      <c r="L83" s="504"/>
      <c r="M83" s="505"/>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2"/>
      <c r="C84" s="473">
        <v>100</v>
      </c>
      <c r="D84" s="473">
        <f>C84-$K15</f>
        <v>100</v>
      </c>
      <c r="E84" s="473">
        <f>D84-$K15</f>
        <v>100</v>
      </c>
      <c r="F84" s="473">
        <f>E84-$K15</f>
        <v>100</v>
      </c>
      <c r="G84" s="473">
        <f>F84-$K15</f>
        <v>100</v>
      </c>
      <c r="H84" s="473"/>
      <c r="I84" s="473"/>
      <c r="J84" s="473"/>
      <c r="K84" s="473"/>
      <c r="L84" s="473"/>
      <c r="M84" s="474"/>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7" t="s">
        <v>1726</v>
      </c>
      <c r="C85" s="507" t="s">
        <v>1721</v>
      </c>
      <c r="D85" s="507" t="s">
        <v>1722</v>
      </c>
      <c r="E85" s="507" t="s">
        <v>1723</v>
      </c>
      <c r="F85" s="507" t="s">
        <v>1724</v>
      </c>
      <c r="G85" s="507" t="s">
        <v>1725</v>
      </c>
      <c r="H85" s="468"/>
      <c r="I85" s="468"/>
      <c r="J85" s="468"/>
      <c r="K85" s="469"/>
      <c r="L85" s="470"/>
      <c r="M85" s="471"/>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2"/>
      <c r="C86" s="473">
        <v>100</v>
      </c>
      <c r="D86" s="473">
        <f>C86-$K17</f>
        <v>100</v>
      </c>
      <c r="E86" s="473">
        <f>D86-$K17</f>
        <v>100</v>
      </c>
      <c r="F86" s="473">
        <f>E86-$K17</f>
        <v>100</v>
      </c>
      <c r="G86" s="473">
        <f>F86-$K17</f>
        <v>100</v>
      </c>
      <c r="H86" s="473"/>
      <c r="I86" s="473"/>
      <c r="J86" s="473"/>
      <c r="K86" s="473"/>
      <c r="L86" s="473"/>
      <c r="M86" s="474"/>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7" t="s">
        <v>1906</v>
      </c>
      <c r="C87" s="502" t="s">
        <v>1721</v>
      </c>
      <c r="D87" s="502" t="s">
        <v>1722</v>
      </c>
      <c r="E87" s="502" t="s">
        <v>1723</v>
      </c>
      <c r="F87" s="502" t="s">
        <v>1724</v>
      </c>
      <c r="G87" s="502" t="s">
        <v>1725</v>
      </c>
      <c r="H87" s="507"/>
      <c r="I87" s="507"/>
      <c r="J87" s="507"/>
      <c r="K87" s="507"/>
      <c r="L87" s="616"/>
      <c r="M87" s="545"/>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2"/>
      <c r="C88" s="510">
        <v>100</v>
      </c>
      <c r="D88" s="473">
        <f>C88-$K19</f>
        <v>100</v>
      </c>
      <c r="E88" s="473">
        <f>D88-$K19</f>
        <v>100</v>
      </c>
      <c r="F88" s="473">
        <f>E88-$K19</f>
        <v>100</v>
      </c>
      <c r="G88" s="473">
        <f>F88-$K19</f>
        <v>100</v>
      </c>
      <c r="H88" s="473"/>
      <c r="I88" s="473"/>
      <c r="J88" s="473"/>
      <c r="K88" s="473"/>
      <c r="L88" s="473"/>
      <c r="M88" s="474"/>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7" t="s">
        <v>1907</v>
      </c>
      <c r="C89" s="502" t="s">
        <v>1721</v>
      </c>
      <c r="D89" s="502" t="s">
        <v>1722</v>
      </c>
      <c r="E89" s="502" t="s">
        <v>1723</v>
      </c>
      <c r="F89" s="502" t="s">
        <v>1724</v>
      </c>
      <c r="G89" s="502" t="s">
        <v>1725</v>
      </c>
      <c r="H89" s="507"/>
      <c r="I89" s="507"/>
      <c r="J89" s="507"/>
      <c r="K89" s="507"/>
      <c r="L89" s="507"/>
      <c r="M89" s="545"/>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2"/>
      <c r="C90" s="473">
        <v>100</v>
      </c>
      <c r="D90" s="473">
        <f>C90-$K21</f>
        <v>100</v>
      </c>
      <c r="E90" s="473">
        <f>D90-$K21</f>
        <v>100</v>
      </c>
      <c r="F90" s="473">
        <f>E90-$K21</f>
        <v>100</v>
      </c>
      <c r="G90" s="473">
        <f>F90-$K21</f>
        <v>100</v>
      </c>
      <c r="H90" s="473"/>
      <c r="I90" s="473"/>
      <c r="J90" s="473"/>
      <c r="K90" s="473"/>
      <c r="L90" s="473"/>
      <c r="M90" s="474"/>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2"/>
      <c r="B91" s="467" t="s">
        <v>1778</v>
      </c>
      <c r="C91" s="502" t="s">
        <v>1721</v>
      </c>
      <c r="D91" s="502" t="s">
        <v>1722</v>
      </c>
      <c r="E91" s="502" t="s">
        <v>1723</v>
      </c>
      <c r="F91" s="502" t="s">
        <v>1724</v>
      </c>
      <c r="G91" s="502" t="s">
        <v>1725</v>
      </c>
      <c r="H91" s="525"/>
      <c r="I91" s="525"/>
      <c r="J91" s="525"/>
      <c r="K91" s="525"/>
      <c r="L91" s="526"/>
      <c r="M91" s="527"/>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2"/>
      <c r="B92" s="472"/>
      <c r="C92" s="473">
        <v>100</v>
      </c>
      <c r="D92" s="473">
        <f>C92-$K23</f>
        <v>100</v>
      </c>
      <c r="E92" s="473">
        <f>D92-$K23</f>
        <v>100</v>
      </c>
      <c r="F92" s="473">
        <f>E92-$K23</f>
        <v>100</v>
      </c>
      <c r="G92" s="473">
        <f>F92-$K23</f>
        <v>100</v>
      </c>
      <c r="H92" s="532"/>
      <c r="I92" s="532"/>
      <c r="J92" s="532"/>
      <c r="K92" s="532"/>
      <c r="L92" s="532"/>
      <c r="M92" s="533"/>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2"/>
      <c r="B93" s="475" t="s">
        <v>1924</v>
      </c>
      <c r="C93" s="579" t="s">
        <v>1799</v>
      </c>
      <c r="D93" s="579" t="s">
        <v>1800</v>
      </c>
      <c r="E93" s="579" t="s">
        <v>1801</v>
      </c>
      <c r="F93" s="579" t="s">
        <v>1802</v>
      </c>
      <c r="G93" s="579" t="s">
        <v>1803</v>
      </c>
      <c r="H93" s="525"/>
      <c r="I93" s="525"/>
      <c r="J93" s="525"/>
      <c r="K93" s="525"/>
      <c r="L93" s="525"/>
      <c r="M93" s="527"/>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2"/>
      <c r="B94" s="475"/>
      <c r="C94" s="473">
        <v>100</v>
      </c>
      <c r="D94" s="473">
        <f>C94-$K25</f>
        <v>100</v>
      </c>
      <c r="E94" s="473">
        <f>D94-$K25</f>
        <v>100</v>
      </c>
      <c r="F94" s="473">
        <f>E94-$K25</f>
        <v>100</v>
      </c>
      <c r="G94" s="473">
        <f>F94-$K25</f>
        <v>100</v>
      </c>
      <c r="H94" s="477"/>
      <c r="I94" s="477"/>
      <c r="J94" s="477"/>
      <c r="K94" s="477"/>
      <c r="L94" s="477"/>
      <c r="M94" s="1062"/>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7" t="str">
        <f>B27</f>
        <v>临街状况</v>
      </c>
      <c r="C95" s="468" t="s">
        <v>1908</v>
      </c>
      <c r="D95" s="468" t="s">
        <v>1909</v>
      </c>
      <c r="E95" s="468" t="s">
        <v>1910</v>
      </c>
      <c r="F95" s="468" t="s">
        <v>1911</v>
      </c>
      <c r="G95" s="468"/>
      <c r="H95" s="468"/>
      <c r="I95" s="468"/>
      <c r="J95" s="468"/>
      <c r="K95" s="469"/>
      <c r="L95" s="470"/>
      <c r="M95" s="471"/>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7" t="s">
        <v>1815</v>
      </c>
      <c r="C97" s="483"/>
      <c r="D97" s="483"/>
      <c r="E97" s="483"/>
      <c r="F97" s="483"/>
      <c r="G97" s="483"/>
      <c r="H97" s="511"/>
      <c r="I97" s="511"/>
      <c r="J97" s="511"/>
      <c r="K97" s="512"/>
      <c r="L97" s="513"/>
      <c r="M97" s="514"/>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7" t="s">
        <v>1872</v>
      </c>
      <c r="C99" s="511"/>
      <c r="D99" s="511"/>
      <c r="E99" s="511"/>
      <c r="F99" s="511"/>
      <c r="G99" s="511"/>
      <c r="H99" s="511"/>
      <c r="I99" s="511"/>
      <c r="J99" s="511"/>
      <c r="K99" s="512"/>
      <c r="L99" s="513"/>
      <c r="M99" s="514"/>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5">
        <f>B31</f>
        <v>111</v>
      </c>
      <c r="C101" s="483"/>
      <c r="D101" s="483"/>
      <c r="E101" s="483"/>
      <c r="F101" s="483"/>
      <c r="G101" s="515"/>
      <c r="H101" s="515"/>
      <c r="I101" s="515"/>
      <c r="J101" s="515"/>
      <c r="K101" s="516"/>
      <c r="L101" s="517"/>
      <c r="M101" s="518"/>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498"/>
      <c r="C102" s="489"/>
      <c r="D102" s="465"/>
      <c r="E102" s="465"/>
      <c r="F102" s="465"/>
      <c r="G102" s="519"/>
      <c r="H102" s="519"/>
      <c r="I102" s="519"/>
      <c r="J102" s="519"/>
      <c r="K102" s="519"/>
      <c r="L102" s="519"/>
      <c r="M102" s="520"/>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3"/>
      <c r="B103" s="467">
        <f>B32</f>
        <v>111</v>
      </c>
      <c r="C103" s="483"/>
      <c r="D103" s="483"/>
      <c r="E103" s="483"/>
      <c r="F103" s="483"/>
      <c r="G103" s="511"/>
      <c r="H103" s="511"/>
      <c r="I103" s="511"/>
      <c r="J103" s="511"/>
      <c r="K103" s="512"/>
      <c r="L103" s="513"/>
      <c r="M103" s="514"/>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2"/>
      <c r="C104" s="489"/>
      <c r="D104" s="489"/>
      <c r="E104" s="489"/>
      <c r="F104" s="489"/>
      <c r="G104" s="465"/>
      <c r="H104" s="465"/>
      <c r="I104" s="465"/>
      <c r="J104" s="465"/>
      <c r="K104" s="465"/>
      <c r="L104" s="465"/>
      <c r="M104" s="466"/>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1">
        <f>B33</f>
        <v>111</v>
      </c>
      <c r="C105" s="31"/>
      <c r="D105" s="31"/>
      <c r="E105" s="31"/>
      <c r="F105" s="31"/>
      <c r="G105" s="6"/>
      <c r="H105" s="6"/>
      <c r="I105" s="6"/>
      <c r="J105" s="522"/>
      <c r="K105" s="522"/>
      <c r="L105" s="523"/>
      <c r="M105" s="524"/>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2"/>
      <c r="B106" s="475"/>
      <c r="C106" s="499"/>
      <c r="D106" s="499"/>
      <c r="E106" s="499"/>
      <c r="F106" s="499"/>
      <c r="G106" s="595"/>
      <c r="H106" s="595"/>
      <c r="I106" s="595"/>
      <c r="J106" s="595"/>
      <c r="K106" s="595"/>
      <c r="L106" s="595"/>
      <c r="M106" s="617"/>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58" t="s">
        <v>1912</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5"/>
      <c r="C108" s="6"/>
      <c r="D108" s="6"/>
      <c r="E108" s="6"/>
      <c r="F108" s="6"/>
      <c r="G108" s="6"/>
      <c r="H108" s="6"/>
      <c r="I108" s="6"/>
      <c r="J108" s="522"/>
      <c r="K108" s="522"/>
      <c r="L108" s="523"/>
      <c r="M108" s="524"/>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2"/>
      <c r="C109" s="499"/>
      <c r="D109" s="519"/>
      <c r="E109" s="519"/>
      <c r="F109" s="519"/>
      <c r="G109" s="519"/>
      <c r="H109" s="519"/>
      <c r="I109" s="519"/>
      <c r="J109" s="519"/>
      <c r="K109" s="519"/>
      <c r="L109" s="519"/>
      <c r="M109" s="520"/>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7" t="s">
        <v>1913</v>
      </c>
      <c r="C110" s="511"/>
      <c r="D110" s="511"/>
      <c r="E110" s="511"/>
      <c r="F110" s="511"/>
      <c r="G110" s="511"/>
      <c r="H110" s="511"/>
      <c r="I110" s="511"/>
      <c r="J110" s="511"/>
      <c r="K110" s="512"/>
      <c r="L110" s="513"/>
      <c r="M110" s="514"/>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7" t="s">
        <v>1915</v>
      </c>
      <c r="C112" s="483"/>
      <c r="D112" s="483"/>
      <c r="E112" s="483"/>
      <c r="F112" s="483"/>
      <c r="G112" s="483"/>
      <c r="H112" s="511"/>
      <c r="I112" s="511"/>
      <c r="J112" s="511"/>
      <c r="K112" s="512"/>
      <c r="L112" s="513"/>
      <c r="M112" s="514"/>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7" t="s">
        <v>1916</v>
      </c>
      <c r="C114" s="483"/>
      <c r="D114" s="483"/>
      <c r="E114" s="511"/>
      <c r="F114" s="511"/>
      <c r="G114" s="511"/>
      <c r="H114" s="511"/>
      <c r="I114" s="511"/>
      <c r="J114" s="511"/>
      <c r="K114" s="512"/>
      <c r="L114" s="513"/>
      <c r="M114" s="514"/>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7">
        <f>B38</f>
        <v>111</v>
      </c>
      <c r="C116" s="483"/>
      <c r="D116" s="483"/>
      <c r="E116" s="483"/>
      <c r="F116" s="483"/>
      <c r="G116" s="483"/>
      <c r="H116" s="511"/>
      <c r="I116" s="511"/>
      <c r="J116" s="511"/>
      <c r="K116" s="512"/>
      <c r="L116" s="513"/>
      <c r="M116" s="514"/>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2"/>
      <c r="C117" s="489"/>
      <c r="D117" s="465"/>
      <c r="E117" s="465"/>
      <c r="F117" s="465"/>
      <c r="G117" s="465"/>
      <c r="H117" s="465"/>
      <c r="I117" s="465"/>
      <c r="J117" s="465"/>
      <c r="K117" s="465"/>
      <c r="L117" s="465"/>
      <c r="M117" s="466"/>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7">
        <f>B39</f>
        <v>111</v>
      </c>
      <c r="C118" s="483"/>
      <c r="D118" s="483"/>
      <c r="E118" s="483"/>
      <c r="F118" s="483"/>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2"/>
      <c r="C119" s="489"/>
      <c r="D119" s="489"/>
      <c r="E119" s="489"/>
      <c r="F119" s="489"/>
      <c r="G119" s="465"/>
      <c r="H119" s="465"/>
      <c r="I119" s="465"/>
      <c r="J119" s="465"/>
      <c r="K119" s="465"/>
      <c r="L119" s="465"/>
      <c r="M119" s="466"/>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7">
        <f>B40</f>
        <v>111</v>
      </c>
      <c r="C120" s="31"/>
      <c r="D120" s="31"/>
      <c r="E120" s="31"/>
      <c r="F120" s="31"/>
      <c r="G120" s="484"/>
      <c r="H120" s="484"/>
      <c r="I120" s="484"/>
      <c r="J120" s="484"/>
      <c r="K120" s="484"/>
      <c r="L120" s="485"/>
      <c r="M120" s="486"/>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7"/>
      <c r="B121" s="618"/>
      <c r="C121" s="499"/>
      <c r="D121" s="499"/>
      <c r="E121" s="499"/>
      <c r="F121" s="499"/>
      <c r="G121" s="519"/>
      <c r="H121" s="519"/>
      <c r="I121" s="519"/>
      <c r="J121" s="519"/>
      <c r="K121" s="519"/>
      <c r="L121" s="519"/>
      <c r="M121" s="520"/>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F00-000000000000}">
      <formula1>单价内涵</formula1>
    </dataValidation>
    <dataValidation type="list" allowBlank="1" showInputMessage="1" showErrorMessage="1" sqref="C22 E22 G22 I22" xr:uid="{00000000-0002-0000-2F00-000001000000}">
      <formula1>环境</formula1>
    </dataValidation>
    <dataValidation type="list" allowBlank="1" showInputMessage="1" showErrorMessage="1" sqref="E18 C18 G18 I18" xr:uid="{00000000-0002-0000-2F00-000002000000}">
      <formula1>交通便捷度</formula1>
    </dataValidation>
    <dataValidation type="list" allowBlank="1" showInputMessage="1" showErrorMessage="1" sqref="E24 C24 G24 I24" xr:uid="{00000000-0002-0000-2F00-000003000000}">
      <formula1>公共配套设施</formula1>
    </dataValidation>
    <dataValidation type="list" allowBlank="1" showInputMessage="1" showErrorMessage="1" sqref="C8 E8 G8 I8" xr:uid="{00000000-0002-0000-2F00-000004000000}">
      <formula1>套工交易情况</formula1>
    </dataValidation>
    <dataValidation type="list" allowBlank="1" showInputMessage="1" showErrorMessage="1" sqref="C9 E9 G9 I9" xr:uid="{00000000-0002-0000-2F00-000005000000}">
      <formula1>套工用途</formula1>
    </dataValidation>
    <dataValidation type="list" allowBlank="1" showInputMessage="1" showErrorMessage="1" sqref="I30 E30 G30" xr:uid="{00000000-0002-0000-2F00-000006000000}">
      <formula1>套工土地级别</formula1>
    </dataValidation>
    <dataValidation type="list" allowBlank="1" showInputMessage="1" showErrorMessage="1" sqref="C27 E27 G27 I27" xr:uid="{00000000-0002-0000-2F00-000007000000}">
      <formula1>临街状况</formula1>
    </dataValidation>
    <dataValidation type="list" allowBlank="1" showInputMessage="1" showErrorMessage="1" sqref="E20 G20 I20 C20" xr:uid="{00000000-0002-0000-2F00-000008000000}">
      <formula1>区域土地利用方向</formula1>
    </dataValidation>
    <dataValidation type="list" allowBlank="1" showInputMessage="1" showErrorMessage="1" sqref="C50" xr:uid="{00000000-0002-0000-2F00-000009000000}">
      <formula1>"北京市系数,其他省市系数"</formula1>
    </dataValidation>
    <dataValidation type="list" allowBlank="1" showInputMessage="1" showErrorMessage="1" sqref="C16 E16 G16 I16" xr:uid="{00000000-0002-0000-2F00-00000A000000}">
      <formula1>产业集聚程度</formula1>
    </dataValidation>
    <dataValidation type="list" allowBlank="1" showInputMessage="1" showErrorMessage="1" sqref="C29 E29 G29 I29" xr:uid="{00000000-0002-0000-2F00-00000B000000}">
      <formula1>套工道路等级</formula1>
    </dataValidation>
    <dataValidation type="list" allowBlank="1" showInputMessage="1" showErrorMessage="1" sqref="C35 E35 G35 I35" xr:uid="{00000000-0002-0000-2F00-00000C000000}">
      <formula1>套工宗地形状</formula1>
    </dataValidation>
    <dataValidation type="list" allowBlank="1" showInputMessage="1" showErrorMessage="1" sqref="C36 E36 G36 I36" xr:uid="{00000000-0002-0000-2F00-00000D000000}">
      <formula1>套工宗地开发程度</formula1>
    </dataValidation>
    <dataValidation type="list" allowBlank="1" showInputMessage="1" showErrorMessage="1" sqref="C37 E37 G37 I37" xr:uid="{00000000-0002-0000-2F00-00000E000000}">
      <formula1>套工地质条件</formula1>
    </dataValidation>
    <dataValidation type="list" allowBlank="1" showInputMessage="1" showErrorMessage="1" sqref="G58" xr:uid="{00000000-0002-0000-2F00-00000F000000}">
      <formula1>"住宅,工业"</formula1>
    </dataValidation>
    <dataValidation type="list" allowBlank="1" showInputMessage="1" showErrorMessage="1" sqref="G57" xr:uid="{00000000-0002-0000-2F00-000010000000}">
      <formula1>"商业,办公,住宅,工业"</formula1>
    </dataValidation>
    <dataValidation type="list" allowBlank="1" showInputMessage="1" showErrorMessage="1" sqref="D52:D60" xr:uid="{00000000-0002-0000-2F00-000011000000}">
      <formula1>"25%,1"</formula1>
    </dataValidation>
    <dataValidation type="list" allowBlank="1" showInputMessage="1" showErrorMessage="1" sqref="C26 E26 G26 I26" xr:uid="{00000000-0002-0000-2F00-000012000000}">
      <formula1>基础设施水平</formula1>
    </dataValidation>
    <dataValidation type="list" allowBlank="1" showInputMessage="1" showErrorMessage="1" sqref="D42" xr:uid="{00000000-0002-0000-2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8"/>
      <c r="B1" s="926" t="s">
        <v>2082</v>
      </c>
      <c r="C1" s="3549" t="s">
        <v>2083</v>
      </c>
      <c r="D1" s="3550"/>
      <c r="E1" s="3550"/>
      <c r="F1" s="3550"/>
      <c r="G1" s="3550"/>
      <c r="H1" s="3550"/>
      <c r="I1" s="3550"/>
      <c r="J1" s="3550"/>
      <c r="K1" s="3550"/>
      <c r="L1" s="3550"/>
      <c r="M1" s="3550"/>
      <c r="N1" s="3550"/>
      <c r="O1" s="3550"/>
      <c r="P1" s="3550"/>
      <c r="Q1" s="3550"/>
      <c r="R1" s="3550"/>
      <c r="S1" s="3551"/>
      <c r="T1" s="926" t="s">
        <v>2084</v>
      </c>
    </row>
    <row r="2" spans="1:45" s="623" customFormat="1">
      <c r="A2" s="927"/>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29"/>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0"/>
      <c r="B4" s="931"/>
      <c r="C4" s="932"/>
      <c r="D4" s="933"/>
      <c r="E4" s="933"/>
      <c r="F4" s="1221"/>
      <c r="G4" s="1221"/>
      <c r="H4" s="1221"/>
      <c r="I4" s="1221"/>
      <c r="J4" s="1221"/>
      <c r="K4" s="1221"/>
      <c r="L4" s="1221"/>
      <c r="M4" s="1222"/>
      <c r="N4" s="1222"/>
      <c r="O4" s="1221"/>
      <c r="P4" s="1221"/>
      <c r="Q4" s="1221"/>
      <c r="R4" s="1221"/>
      <c r="S4" s="1223"/>
      <c r="T4" s="936"/>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2"/>
      <c r="B5" s="1246" t="s">
        <v>2086</v>
      </c>
      <c r="C5" s="937"/>
      <c r="D5" s="938"/>
      <c r="E5" s="938"/>
      <c r="F5" s="1224"/>
      <c r="G5" s="1224"/>
      <c r="H5" s="1224"/>
      <c r="I5" s="1224"/>
      <c r="J5" s="1224"/>
      <c r="K5" s="1224"/>
      <c r="L5" s="1225"/>
      <c r="M5" s="1226"/>
      <c r="N5" s="1226"/>
      <c r="O5" s="1224"/>
      <c r="P5" s="1224"/>
      <c r="Q5" s="1224"/>
      <c r="R5" s="1224"/>
      <c r="S5" s="1227"/>
      <c r="T5" s="940"/>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2"/>
      <c r="B7" s="1247" t="s">
        <v>2087</v>
      </c>
      <c r="C7" s="848"/>
      <c r="D7" s="842"/>
      <c r="E7" s="842"/>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2"/>
      <c r="B9" s="1247" t="s">
        <v>2088</v>
      </c>
      <c r="C9" s="848"/>
      <c r="D9" s="842"/>
      <c r="E9" s="842"/>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2"/>
      <c r="B11" s="1246" t="s">
        <v>2089</v>
      </c>
      <c r="C11" s="937"/>
      <c r="D11" s="938"/>
      <c r="E11" s="938"/>
      <c r="F11" s="938"/>
      <c r="G11" s="938"/>
      <c r="H11" s="938"/>
      <c r="I11" s="938"/>
      <c r="J11" s="938"/>
      <c r="K11" s="938"/>
      <c r="L11" s="938"/>
      <c r="M11" s="939"/>
      <c r="N11" s="942"/>
      <c r="O11" s="943"/>
      <c r="P11" s="943"/>
      <c r="Q11" s="944"/>
      <c r="R11" s="945"/>
      <c r="S11" s="946"/>
      <c r="T11" s="940"/>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2"/>
      <c r="B13" s="1246" t="s">
        <v>2090</v>
      </c>
      <c r="C13" s="937"/>
      <c r="D13" s="938"/>
      <c r="E13" s="938"/>
      <c r="F13" s="938"/>
      <c r="G13" s="938"/>
      <c r="H13" s="938"/>
      <c r="I13" s="938"/>
      <c r="J13" s="938"/>
      <c r="K13" s="938"/>
      <c r="L13" s="938"/>
      <c r="M13" s="939"/>
      <c r="N13" s="942"/>
      <c r="O13" s="943"/>
      <c r="P13" s="943"/>
      <c r="Q13" s="944"/>
      <c r="R13" s="945"/>
      <c r="S13" s="946"/>
      <c r="T13" s="947"/>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2"/>
      <c r="B15" s="1246" t="s">
        <v>2091</v>
      </c>
      <c r="C15" s="937"/>
      <c r="D15" s="938"/>
      <c r="E15" s="938"/>
      <c r="F15" s="938"/>
      <c r="G15" s="938"/>
      <c r="H15" s="938"/>
      <c r="I15" s="938"/>
      <c r="J15" s="938"/>
      <c r="K15" s="938"/>
      <c r="L15" s="938"/>
      <c r="M15" s="939"/>
      <c r="N15" s="942"/>
      <c r="O15" s="943"/>
      <c r="P15" s="943"/>
      <c r="Q15" s="944"/>
      <c r="R15" s="945"/>
      <c r="S15" s="946"/>
      <c r="T15" s="947"/>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1" t="s">
        <v>2092</v>
      </c>
      <c r="B17" s="1982" t="s">
        <v>2093</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3"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21"/>
      <c r="B19" s="151"/>
      <c r="C19" s="151"/>
      <c r="D19" s="1983" t="s">
        <v>2094</v>
      </c>
      <c r="E19" s="1250"/>
      <c r="F19" s="1250"/>
      <c r="G19" s="1250"/>
      <c r="H19" s="993"/>
      <c r="I19" s="151"/>
      <c r="J19" s="151"/>
      <c r="K19" s="151"/>
      <c r="L19" s="151"/>
      <c r="M19" s="151"/>
      <c r="N19" s="151"/>
      <c r="O19" s="151"/>
      <c r="P19" s="151"/>
      <c r="Q19" s="151"/>
      <c r="R19" s="151"/>
      <c r="S19" s="121"/>
    </row>
    <row r="20" spans="1:45" ht="16.5" thickBot="1">
      <c r="A20" s="630" t="s">
        <v>2095</v>
      </c>
      <c r="B20" s="286" t="e">
        <f ca="1">IF(D20="——",S22,S22-F20)</f>
        <v>#REF!</v>
      </c>
      <c r="C20" s="151"/>
      <c r="D20" s="1984"/>
      <c r="E20" s="1251"/>
      <c r="F20" s="926" t="e">
        <f ca="1">SUMIF(INDIRECT("'"&amp;H20&amp;"'"&amp;"!A:A"),"承租人权益价值",INDIRECT("'"&amp;H20&amp;"'"&amp;"!c:c"))</f>
        <v>#REF!</v>
      </c>
      <c r="G20" s="926" t="s">
        <v>2096</v>
      </c>
      <c r="H20" s="1985"/>
      <c r="I20" s="151"/>
      <c r="J20" s="151"/>
      <c r="K20" s="151"/>
      <c r="L20" s="151"/>
      <c r="M20" s="151"/>
      <c r="N20" s="151"/>
      <c r="O20" s="151"/>
      <c r="P20" s="151"/>
      <c r="Q20" s="151"/>
      <c r="R20" s="151"/>
      <c r="S20" s="121"/>
    </row>
    <row r="21" spans="1:45" ht="15.75">
      <c r="A21" s="630"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546" t="s">
        <v>27</v>
      </c>
      <c r="D22" s="3547"/>
      <c r="E22" s="3547"/>
      <c r="F22" s="3547"/>
      <c r="G22" s="3547"/>
      <c r="H22" s="3547"/>
      <c r="I22" s="3547"/>
      <c r="J22" s="3547"/>
      <c r="K22" s="3547"/>
      <c r="L22" s="3547"/>
      <c r="M22" s="3547"/>
      <c r="N22" s="3547"/>
      <c r="O22" s="3547"/>
      <c r="P22" s="3547"/>
      <c r="Q22" s="3548"/>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6">
        <v>1</v>
      </c>
      <c r="D24" s="2567"/>
      <c r="E24" s="2566">
        <v>1</v>
      </c>
      <c r="F24" s="2567"/>
      <c r="G24" s="2566">
        <v>1</v>
      </c>
      <c r="H24" s="2567"/>
      <c r="I24" s="2566">
        <v>1</v>
      </c>
      <c r="J24" s="2567"/>
      <c r="K24" s="2566">
        <v>1</v>
      </c>
      <c r="L24" s="2567"/>
      <c r="M24" s="2566">
        <v>1</v>
      </c>
      <c r="N24" s="2567"/>
      <c r="O24" s="2566">
        <v>1</v>
      </c>
      <c r="P24" s="2567"/>
      <c r="Q24" s="2566">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2"/>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8">
        <f t="shared" si="11"/>
        <v>0</v>
      </c>
    </row>
    <row r="28" spans="1:45">
      <c r="A28" s="142"/>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8">
        <f t="shared" si="11"/>
        <v>0</v>
      </c>
    </row>
    <row r="29" spans="1:45">
      <c r="A29" s="142"/>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8">
        <f t="shared" si="11"/>
        <v>0</v>
      </c>
    </row>
    <row r="30" spans="1:45">
      <c r="A30" s="142"/>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8">
        <f t="shared" si="11"/>
        <v>0</v>
      </c>
    </row>
    <row r="31" spans="1:45">
      <c r="A31" s="142"/>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8">
        <f t="shared" si="11"/>
        <v>0</v>
      </c>
    </row>
    <row r="32" spans="1:45">
      <c r="A32" s="142"/>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8">
        <f t="shared" si="11"/>
        <v>0</v>
      </c>
    </row>
    <row r="33" spans="1:19">
      <c r="A33" s="142"/>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8">
        <f t="shared" si="11"/>
        <v>0</v>
      </c>
    </row>
    <row r="34" spans="1:19">
      <c r="A34" s="142"/>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8">
        <f t="shared" si="11"/>
        <v>0</v>
      </c>
    </row>
    <row r="35" spans="1:19">
      <c r="A35" s="142"/>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8">
        <f t="shared" si="11"/>
        <v>0</v>
      </c>
    </row>
    <row r="36" spans="1:19">
      <c r="A36" s="142"/>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8">
        <f t="shared" si="11"/>
        <v>0</v>
      </c>
    </row>
    <row r="37" spans="1:19">
      <c r="A37" s="142"/>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8">
        <f t="shared" si="11"/>
        <v>0</v>
      </c>
    </row>
    <row r="38" spans="1:19">
      <c r="A38" s="142"/>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8">
        <f t="shared" si="11"/>
        <v>0</v>
      </c>
    </row>
    <row r="39" spans="1:19">
      <c r="A39" s="142"/>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8">
        <f t="shared" si="11"/>
        <v>0</v>
      </c>
    </row>
    <row r="40" spans="1:19">
      <c r="A40" s="142"/>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8">
        <f t="shared" si="11"/>
        <v>0</v>
      </c>
    </row>
    <row r="41" spans="1:19">
      <c r="A41" s="142"/>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8">
        <f t="shared" si="11"/>
        <v>0</v>
      </c>
    </row>
    <row r="42" spans="1:19">
      <c r="A42" s="142"/>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8">
        <f t="shared" si="11"/>
        <v>0</v>
      </c>
    </row>
    <row r="43" spans="1:19">
      <c r="A43" s="142"/>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8">
        <f t="shared" si="11"/>
        <v>0</v>
      </c>
    </row>
    <row r="44" spans="1:19">
      <c r="A44" s="142"/>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8">
        <f t="shared" si="11"/>
        <v>0</v>
      </c>
    </row>
    <row r="45" spans="1:19">
      <c r="A45" s="142"/>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8">
        <f t="shared" si="11"/>
        <v>0</v>
      </c>
    </row>
    <row r="46" spans="1:19">
      <c r="A46" s="142"/>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8">
        <f t="shared" si="11"/>
        <v>0</v>
      </c>
    </row>
    <row r="47" spans="1:19">
      <c r="A47" s="142"/>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8">
        <f t="shared" si="11"/>
        <v>0</v>
      </c>
    </row>
    <row r="48" spans="1:19">
      <c r="A48" s="142"/>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8">
        <f t="shared" si="11"/>
        <v>0</v>
      </c>
    </row>
    <row r="49" spans="1:19">
      <c r="A49" s="142"/>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8">
        <f t="shared" si="11"/>
        <v>0</v>
      </c>
    </row>
    <row r="50" spans="1:19">
      <c r="A50" s="142"/>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8">
        <f t="shared" si="11"/>
        <v>0</v>
      </c>
    </row>
    <row r="51" spans="1:19">
      <c r="A51" s="142"/>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8">
        <f t="shared" si="11"/>
        <v>0</v>
      </c>
    </row>
    <row r="52" spans="1:19">
      <c r="A52" s="142"/>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8">
        <f t="shared" si="11"/>
        <v>0</v>
      </c>
    </row>
    <row r="53" spans="1:19">
      <c r="A53" s="142"/>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8">
        <f t="shared" si="11"/>
        <v>0</v>
      </c>
    </row>
    <row r="54" spans="1:19">
      <c r="A54" s="142"/>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8">
        <f t="shared" si="11"/>
        <v>0</v>
      </c>
    </row>
    <row r="55" spans="1:19">
      <c r="A55" s="142"/>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8">
        <f t="shared" ref="S55:S77" si="21">ROUND(R55*B55/10000,0)</f>
        <v>0</v>
      </c>
    </row>
    <row r="56" spans="1:19">
      <c r="A56" s="142"/>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8">
        <f t="shared" si="21"/>
        <v>0</v>
      </c>
    </row>
    <row r="57" spans="1:19">
      <c r="A57" s="142"/>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8">
        <f t="shared" si="21"/>
        <v>0</v>
      </c>
    </row>
    <row r="58" spans="1:19">
      <c r="A58" s="142"/>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8">
        <f t="shared" si="21"/>
        <v>0</v>
      </c>
    </row>
    <row r="59" spans="1:19">
      <c r="A59" s="142"/>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8">
        <f t="shared" si="21"/>
        <v>0</v>
      </c>
    </row>
    <row r="60" spans="1:19">
      <c r="A60" s="142"/>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8">
        <f t="shared" si="21"/>
        <v>0</v>
      </c>
    </row>
    <row r="61" spans="1:19">
      <c r="A61" s="142"/>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8">
        <f t="shared" si="21"/>
        <v>0</v>
      </c>
    </row>
    <row r="62" spans="1:19">
      <c r="A62" s="142"/>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8">
        <f t="shared" si="21"/>
        <v>0</v>
      </c>
    </row>
    <row r="63" spans="1:19">
      <c r="A63" s="142"/>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8">
        <f t="shared" si="21"/>
        <v>0</v>
      </c>
    </row>
    <row r="64" spans="1:19">
      <c r="A64" s="142"/>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8">
        <f t="shared" si="21"/>
        <v>0</v>
      </c>
    </row>
    <row r="65" spans="1:19">
      <c r="A65" s="142"/>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8">
        <f t="shared" si="21"/>
        <v>0</v>
      </c>
    </row>
    <row r="66" spans="1:19">
      <c r="A66" s="142"/>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8">
        <f t="shared" si="21"/>
        <v>0</v>
      </c>
    </row>
    <row r="67" spans="1:19">
      <c r="A67" s="142"/>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8">
        <f t="shared" si="21"/>
        <v>0</v>
      </c>
    </row>
    <row r="68" spans="1:19">
      <c r="A68" s="142"/>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8">
        <f t="shared" si="21"/>
        <v>0</v>
      </c>
    </row>
    <row r="69" spans="1:19">
      <c r="A69" s="142"/>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8">
        <f t="shared" si="21"/>
        <v>0</v>
      </c>
    </row>
    <row r="70" spans="1:19">
      <c r="A70" s="142"/>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8">
        <f t="shared" si="21"/>
        <v>0</v>
      </c>
    </row>
    <row r="71" spans="1:19">
      <c r="A71" s="142"/>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8">
        <f t="shared" si="21"/>
        <v>0</v>
      </c>
    </row>
    <row r="72" spans="1:19">
      <c r="A72" s="142"/>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8">
        <f t="shared" si="21"/>
        <v>0</v>
      </c>
    </row>
    <row r="73" spans="1:19">
      <c r="A73" s="142"/>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8">
        <f t="shared" si="21"/>
        <v>0</v>
      </c>
    </row>
    <row r="74" spans="1:19">
      <c r="A74" s="142"/>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8">
        <f t="shared" si="21"/>
        <v>0</v>
      </c>
    </row>
    <row r="75" spans="1:19">
      <c r="A75" s="142"/>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8">
        <f t="shared" si="21"/>
        <v>0</v>
      </c>
    </row>
    <row r="76" spans="1:19">
      <c r="A76" s="142"/>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8">
        <f t="shared" si="21"/>
        <v>0</v>
      </c>
    </row>
    <row r="77" spans="1:19">
      <c r="A77" s="142"/>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8">
        <f t="shared" si="21"/>
        <v>0</v>
      </c>
    </row>
    <row r="78" spans="1:19">
      <c r="A78" s="142"/>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8">
        <f t="shared" ref="S78:S122" si="22">ROUND(R78*B78/10000,0)</f>
        <v>0</v>
      </c>
    </row>
    <row r="79" spans="1:19">
      <c r="A79" s="142"/>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8">
        <f t="shared" si="22"/>
        <v>0</v>
      </c>
    </row>
    <row r="80" spans="1:19">
      <c r="A80" s="142"/>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8">
        <f t="shared" si="22"/>
        <v>0</v>
      </c>
    </row>
    <row r="81" spans="1:19">
      <c r="A81" s="142"/>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8">
        <f t="shared" si="22"/>
        <v>0</v>
      </c>
    </row>
    <row r="82" spans="1:19">
      <c r="A82" s="142"/>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8">
        <f t="shared" si="22"/>
        <v>0</v>
      </c>
    </row>
    <row r="83" spans="1:19">
      <c r="A83" s="142"/>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8">
        <f t="shared" si="22"/>
        <v>0</v>
      </c>
    </row>
    <row r="84" spans="1:19">
      <c r="A84" s="142"/>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8">
        <f t="shared" si="22"/>
        <v>0</v>
      </c>
    </row>
    <row r="85" spans="1:19">
      <c r="A85" s="142"/>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8">
        <f t="shared" si="22"/>
        <v>0</v>
      </c>
    </row>
    <row r="86" spans="1:19">
      <c r="A86" s="142"/>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8">
        <f t="shared" si="22"/>
        <v>0</v>
      </c>
    </row>
    <row r="87" spans="1:19">
      <c r="A87" s="142"/>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8">
        <f t="shared" si="22"/>
        <v>0</v>
      </c>
    </row>
    <row r="88" spans="1:19">
      <c r="A88" s="142"/>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8">
        <f t="shared" si="22"/>
        <v>0</v>
      </c>
    </row>
    <row r="89" spans="1:19">
      <c r="A89" s="142"/>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8">
        <f t="shared" si="22"/>
        <v>0</v>
      </c>
    </row>
    <row r="90" spans="1:19">
      <c r="A90" s="142"/>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8">
        <f t="shared" si="22"/>
        <v>0</v>
      </c>
    </row>
    <row r="92" spans="1:19">
      <c r="A92" s="142"/>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8">
        <f t="shared" si="22"/>
        <v>0</v>
      </c>
    </row>
    <row r="93" spans="1:19">
      <c r="A93" s="142"/>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8">
        <f t="shared" si="22"/>
        <v>0</v>
      </c>
    </row>
    <row r="94" spans="1:19">
      <c r="A94" s="142"/>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8">
        <f t="shared" si="22"/>
        <v>0</v>
      </c>
    </row>
    <row r="95" spans="1:19">
      <c r="A95" s="142"/>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8">
        <f t="shared" si="22"/>
        <v>0</v>
      </c>
    </row>
    <row r="96" spans="1:19">
      <c r="A96" s="142"/>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8">
        <f t="shared" si="22"/>
        <v>0</v>
      </c>
    </row>
    <row r="97" spans="1:19">
      <c r="A97" s="142"/>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8">
        <f t="shared" si="22"/>
        <v>0</v>
      </c>
    </row>
    <row r="98" spans="1:19">
      <c r="A98" s="142"/>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8">
        <f t="shared" si="22"/>
        <v>0</v>
      </c>
    </row>
    <row r="99" spans="1:19">
      <c r="A99" s="142"/>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8">
        <f t="shared" si="22"/>
        <v>0</v>
      </c>
    </row>
    <row r="100" spans="1:19">
      <c r="A100" s="142"/>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8">
        <f t="shared" si="22"/>
        <v>0</v>
      </c>
    </row>
    <row r="101" spans="1:19">
      <c r="A101" s="142"/>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8">
        <f t="shared" si="22"/>
        <v>0</v>
      </c>
    </row>
    <row r="102" spans="1:19">
      <c r="A102" s="142"/>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8">
        <f t="shared" si="22"/>
        <v>0</v>
      </c>
    </row>
    <row r="103" spans="1:19">
      <c r="A103" s="142"/>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8">
        <f t="shared" si="22"/>
        <v>0</v>
      </c>
    </row>
    <row r="104" spans="1:19">
      <c r="A104" s="142"/>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8">
        <f t="shared" si="22"/>
        <v>0</v>
      </c>
    </row>
    <row r="105" spans="1:19">
      <c r="A105" s="142"/>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8">
        <f t="shared" si="22"/>
        <v>0</v>
      </c>
    </row>
    <row r="106" spans="1:19">
      <c r="A106" s="142"/>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8">
        <f t="shared" si="22"/>
        <v>0</v>
      </c>
    </row>
    <row r="107" spans="1:19">
      <c r="A107" s="142"/>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8">
        <f t="shared" si="22"/>
        <v>0</v>
      </c>
    </row>
    <row r="108" spans="1:19">
      <c r="A108" s="142"/>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8">
        <f t="shared" si="22"/>
        <v>0</v>
      </c>
    </row>
    <row r="109" spans="1:19">
      <c r="A109" s="142"/>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8">
        <f t="shared" si="22"/>
        <v>0</v>
      </c>
    </row>
    <row r="110" spans="1:19">
      <c r="A110" s="142"/>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8">
        <f t="shared" si="22"/>
        <v>0</v>
      </c>
    </row>
    <row r="111" spans="1:19">
      <c r="A111" s="142"/>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8">
        <f t="shared" si="22"/>
        <v>0</v>
      </c>
    </row>
    <row r="112" spans="1:19">
      <c r="A112" s="142"/>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8">
        <f t="shared" si="22"/>
        <v>0</v>
      </c>
    </row>
    <row r="113" spans="1:19">
      <c r="A113" s="142"/>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8">
        <f t="shared" si="22"/>
        <v>0</v>
      </c>
    </row>
    <row r="114" spans="1:19">
      <c r="A114" s="142"/>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8">
        <f t="shared" si="22"/>
        <v>0</v>
      </c>
    </row>
    <row r="115" spans="1:19">
      <c r="A115" s="142"/>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8">
        <f t="shared" si="22"/>
        <v>0</v>
      </c>
    </row>
    <row r="116" spans="1:19">
      <c r="A116" s="142"/>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8">
        <f t="shared" si="22"/>
        <v>0</v>
      </c>
    </row>
    <row r="117" spans="1:19">
      <c r="A117" s="142"/>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8">
        <f t="shared" si="22"/>
        <v>0</v>
      </c>
    </row>
    <row r="118" spans="1:19">
      <c r="A118" s="142"/>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8">
        <f t="shared" si="22"/>
        <v>0</v>
      </c>
    </row>
    <row r="119" spans="1:19">
      <c r="A119" s="142"/>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8">
        <f t="shared" si="22"/>
        <v>0</v>
      </c>
    </row>
    <row r="120" spans="1:19">
      <c r="A120" s="142"/>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8">
        <f t="shared" si="22"/>
        <v>0</v>
      </c>
    </row>
    <row r="121" spans="1:19">
      <c r="A121" s="142"/>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8">
        <f t="shared" si="22"/>
        <v>0</v>
      </c>
    </row>
    <row r="122" spans="1:19">
      <c r="A122" s="142"/>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8">
        <f t="shared" si="22"/>
        <v>0</v>
      </c>
    </row>
    <row r="123" spans="1:19">
      <c r="A123" s="142"/>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8">
        <f t="shared" ref="S123:S186" si="32">ROUND(R123*B123/10000,0)</f>
        <v>0</v>
      </c>
    </row>
    <row r="124" spans="1:19">
      <c r="A124" s="142"/>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8">
        <f t="shared" si="32"/>
        <v>0</v>
      </c>
    </row>
    <row r="125" spans="1:19">
      <c r="A125" s="142"/>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8">
        <f t="shared" si="32"/>
        <v>0</v>
      </c>
    </row>
    <row r="126" spans="1:19">
      <c r="A126" s="142"/>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8">
        <f t="shared" si="32"/>
        <v>0</v>
      </c>
    </row>
    <row r="127" spans="1:19">
      <c r="A127" s="142"/>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8">
        <f t="shared" si="32"/>
        <v>0</v>
      </c>
    </row>
    <row r="128" spans="1:19">
      <c r="A128" s="142"/>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8">
        <f t="shared" si="32"/>
        <v>0</v>
      </c>
    </row>
    <row r="129" spans="1:19">
      <c r="A129" s="142"/>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8">
        <f t="shared" si="32"/>
        <v>0</v>
      </c>
    </row>
    <row r="130" spans="1:19">
      <c r="A130" s="142"/>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8">
        <f t="shared" si="32"/>
        <v>0</v>
      </c>
    </row>
    <row r="131" spans="1:19">
      <c r="A131" s="142"/>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8">
        <f t="shared" si="32"/>
        <v>0</v>
      </c>
    </row>
    <row r="132" spans="1:19">
      <c r="A132" s="142"/>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8">
        <f t="shared" si="32"/>
        <v>0</v>
      </c>
    </row>
    <row r="133" spans="1:19">
      <c r="A133" s="142"/>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8">
        <f t="shared" si="32"/>
        <v>0</v>
      </c>
    </row>
    <row r="134" spans="1:19">
      <c r="A134" s="142"/>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8">
        <f t="shared" si="32"/>
        <v>0</v>
      </c>
    </row>
    <row r="135" spans="1:19">
      <c r="A135" s="142"/>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8">
        <f t="shared" si="32"/>
        <v>0</v>
      </c>
    </row>
    <row r="136" spans="1:19">
      <c r="A136" s="142"/>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8">
        <f t="shared" si="32"/>
        <v>0</v>
      </c>
    </row>
    <row r="137" spans="1:19">
      <c r="A137" s="142"/>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8">
        <f t="shared" si="32"/>
        <v>0</v>
      </c>
    </row>
    <row r="138" spans="1:19">
      <c r="A138" s="142"/>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8">
        <f t="shared" si="32"/>
        <v>0</v>
      </c>
    </row>
    <row r="139" spans="1:19">
      <c r="A139" s="142"/>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8">
        <f t="shared" si="32"/>
        <v>0</v>
      </c>
    </row>
    <row r="140" spans="1:19">
      <c r="A140" s="142"/>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8">
        <f t="shared" si="32"/>
        <v>0</v>
      </c>
    </row>
    <row r="141" spans="1:19">
      <c r="A141" s="142"/>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8">
        <f t="shared" si="32"/>
        <v>0</v>
      </c>
    </row>
    <row r="142" spans="1:19">
      <c r="A142" s="142"/>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8">
        <f t="shared" si="32"/>
        <v>0</v>
      </c>
    </row>
    <row r="143" spans="1:19">
      <c r="A143" s="142"/>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8">
        <f t="shared" si="32"/>
        <v>0</v>
      </c>
    </row>
    <row r="144" spans="1:19">
      <c r="A144" s="142"/>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8">
        <f t="shared" si="32"/>
        <v>0</v>
      </c>
    </row>
    <row r="145" spans="1:19">
      <c r="A145" s="142"/>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8">
        <f t="shared" si="32"/>
        <v>0</v>
      </c>
    </row>
    <row r="146" spans="1:19">
      <c r="A146" s="142"/>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8">
        <f t="shared" si="32"/>
        <v>0</v>
      </c>
    </row>
    <row r="147" spans="1:19">
      <c r="A147" s="142"/>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8">
        <f t="shared" si="32"/>
        <v>0</v>
      </c>
    </row>
    <row r="148" spans="1:19">
      <c r="A148" s="142"/>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8">
        <f t="shared" si="32"/>
        <v>0</v>
      </c>
    </row>
    <row r="149" spans="1:19">
      <c r="A149" s="142"/>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8">
        <f t="shared" si="32"/>
        <v>0</v>
      </c>
    </row>
    <row r="150" spans="1:19">
      <c r="A150" s="142"/>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8">
        <f t="shared" si="32"/>
        <v>0</v>
      </c>
    </row>
    <row r="151" spans="1:19">
      <c r="A151" s="142"/>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8">
        <f t="shared" si="32"/>
        <v>0</v>
      </c>
    </row>
    <row r="152" spans="1:19">
      <c r="A152" s="142"/>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8">
        <f t="shared" si="32"/>
        <v>0</v>
      </c>
    </row>
    <row r="153" spans="1:19">
      <c r="A153" s="142"/>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8">
        <f t="shared" si="32"/>
        <v>0</v>
      </c>
    </row>
    <row r="154" spans="1:19">
      <c r="A154" s="142"/>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8">
        <f t="shared" si="32"/>
        <v>0</v>
      </c>
    </row>
    <row r="156" spans="1:19">
      <c r="A156" s="142"/>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8">
        <f t="shared" si="32"/>
        <v>0</v>
      </c>
    </row>
    <row r="157" spans="1:19">
      <c r="A157" s="142"/>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8">
        <f t="shared" si="32"/>
        <v>0</v>
      </c>
    </row>
    <row r="158" spans="1:19">
      <c r="A158" s="142"/>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8">
        <f t="shared" si="32"/>
        <v>0</v>
      </c>
    </row>
    <row r="159" spans="1:19">
      <c r="A159" s="142"/>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8">
        <f t="shared" si="32"/>
        <v>0</v>
      </c>
    </row>
    <row r="160" spans="1:19">
      <c r="A160" s="142"/>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8">
        <f t="shared" si="32"/>
        <v>0</v>
      </c>
    </row>
    <row r="161" spans="1:19">
      <c r="A161" s="142"/>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8">
        <f t="shared" si="32"/>
        <v>0</v>
      </c>
    </row>
    <row r="162" spans="1:19">
      <c r="A162" s="142"/>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8">
        <f t="shared" si="32"/>
        <v>0</v>
      </c>
    </row>
    <row r="163" spans="1:19">
      <c r="A163" s="142"/>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8">
        <f t="shared" si="32"/>
        <v>0</v>
      </c>
    </row>
    <row r="164" spans="1:19">
      <c r="A164" s="142"/>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8">
        <f t="shared" si="32"/>
        <v>0</v>
      </c>
    </row>
    <row r="165" spans="1:19">
      <c r="A165" s="142"/>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8">
        <f t="shared" si="32"/>
        <v>0</v>
      </c>
    </row>
    <row r="166" spans="1:19">
      <c r="A166" s="142"/>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8">
        <f t="shared" si="32"/>
        <v>0</v>
      </c>
    </row>
    <row r="167" spans="1:19">
      <c r="A167" s="142"/>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8">
        <f t="shared" si="32"/>
        <v>0</v>
      </c>
    </row>
    <row r="168" spans="1:19">
      <c r="A168" s="142"/>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8">
        <f t="shared" si="32"/>
        <v>0</v>
      </c>
    </row>
    <row r="169" spans="1:19">
      <c r="A169" s="142"/>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8">
        <f t="shared" si="32"/>
        <v>0</v>
      </c>
    </row>
    <row r="170" spans="1:19">
      <c r="A170" s="142"/>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8">
        <f t="shared" si="32"/>
        <v>0</v>
      </c>
    </row>
    <row r="171" spans="1:19">
      <c r="A171" s="142"/>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8">
        <f t="shared" si="32"/>
        <v>0</v>
      </c>
    </row>
    <row r="172" spans="1:19">
      <c r="A172" s="142"/>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8">
        <f t="shared" si="32"/>
        <v>0</v>
      </c>
    </row>
    <row r="173" spans="1:19">
      <c r="A173" s="142"/>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8">
        <f t="shared" si="32"/>
        <v>0</v>
      </c>
    </row>
    <row r="174" spans="1:19">
      <c r="A174" s="142"/>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8">
        <f t="shared" si="32"/>
        <v>0</v>
      </c>
    </row>
    <row r="175" spans="1:19">
      <c r="A175" s="142"/>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8">
        <f t="shared" si="32"/>
        <v>0</v>
      </c>
    </row>
    <row r="176" spans="1:19">
      <c r="A176" s="142"/>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8">
        <f t="shared" si="32"/>
        <v>0</v>
      </c>
    </row>
    <row r="177" spans="1:19">
      <c r="A177" s="142"/>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8">
        <f t="shared" si="32"/>
        <v>0</v>
      </c>
    </row>
    <row r="178" spans="1:19">
      <c r="A178" s="142"/>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8">
        <f t="shared" si="32"/>
        <v>0</v>
      </c>
    </row>
    <row r="179" spans="1:19">
      <c r="A179" s="142"/>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8">
        <f t="shared" si="32"/>
        <v>0</v>
      </c>
    </row>
    <row r="180" spans="1:19">
      <c r="A180" s="142"/>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8">
        <f t="shared" si="32"/>
        <v>0</v>
      </c>
    </row>
    <row r="181" spans="1:19">
      <c r="A181" s="142"/>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8">
        <f t="shared" si="32"/>
        <v>0</v>
      </c>
    </row>
    <row r="182" spans="1:19">
      <c r="A182" s="142"/>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8">
        <f t="shared" si="32"/>
        <v>0</v>
      </c>
    </row>
    <row r="183" spans="1:19">
      <c r="A183" s="142"/>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8">
        <f t="shared" si="32"/>
        <v>0</v>
      </c>
    </row>
    <row r="184" spans="1:19">
      <c r="A184" s="142"/>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8">
        <f t="shared" si="32"/>
        <v>0</v>
      </c>
    </row>
    <row r="185" spans="1:19">
      <c r="A185" s="142"/>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8">
        <f t="shared" si="32"/>
        <v>0</v>
      </c>
    </row>
    <row r="186" spans="1:19">
      <c r="A186" s="142"/>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8">
        <f t="shared" si="32"/>
        <v>0</v>
      </c>
    </row>
    <row r="187" spans="1:19">
      <c r="A187" s="142"/>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8">
        <f t="shared" ref="S187:S222" si="42">ROUND(R187*B187/10000,0)</f>
        <v>0</v>
      </c>
    </row>
    <row r="188" spans="1:19">
      <c r="A188" s="142"/>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8">
        <f t="shared" si="42"/>
        <v>0</v>
      </c>
    </row>
    <row r="189" spans="1:19">
      <c r="A189" s="142"/>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8">
        <f t="shared" si="42"/>
        <v>0</v>
      </c>
    </row>
    <row r="190" spans="1:19">
      <c r="A190" s="142"/>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8">
        <f t="shared" si="42"/>
        <v>0</v>
      </c>
    </row>
    <row r="191" spans="1:19">
      <c r="A191" s="142"/>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8">
        <f t="shared" si="42"/>
        <v>0</v>
      </c>
    </row>
    <row r="192" spans="1:19">
      <c r="A192" s="142"/>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8">
        <f t="shared" si="42"/>
        <v>0</v>
      </c>
    </row>
    <row r="193" spans="1:19">
      <c r="A193" s="142"/>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8">
        <f t="shared" si="42"/>
        <v>0</v>
      </c>
    </row>
    <row r="194" spans="1:19">
      <c r="A194" s="142"/>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8">
        <f t="shared" si="42"/>
        <v>0</v>
      </c>
    </row>
    <row r="195" spans="1:19">
      <c r="A195" s="142"/>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8">
        <f t="shared" si="42"/>
        <v>0</v>
      </c>
    </row>
    <row r="196" spans="1:19">
      <c r="A196" s="142"/>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8">
        <f t="shared" si="42"/>
        <v>0</v>
      </c>
    </row>
    <row r="197" spans="1:19">
      <c r="A197" s="142"/>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8">
        <f t="shared" si="42"/>
        <v>0</v>
      </c>
    </row>
    <row r="198" spans="1:19">
      <c r="A198" s="142"/>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8">
        <f t="shared" si="42"/>
        <v>0</v>
      </c>
    </row>
    <row r="199" spans="1:19">
      <c r="A199" s="142"/>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8">
        <f t="shared" si="42"/>
        <v>0</v>
      </c>
    </row>
    <row r="200" spans="1:19">
      <c r="A200" s="142"/>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8">
        <f t="shared" si="42"/>
        <v>0</v>
      </c>
    </row>
    <row r="201" spans="1:19">
      <c r="A201" s="142"/>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8">
        <f t="shared" si="42"/>
        <v>0</v>
      </c>
    </row>
    <row r="202" spans="1:19">
      <c r="A202" s="142"/>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8">
        <f t="shared" si="42"/>
        <v>0</v>
      </c>
    </row>
    <row r="203" spans="1:19">
      <c r="A203" s="142"/>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8">
        <f t="shared" si="42"/>
        <v>0</v>
      </c>
    </row>
    <row r="204" spans="1:19">
      <c r="A204" s="142"/>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8">
        <f t="shared" si="42"/>
        <v>0</v>
      </c>
    </row>
    <row r="205" spans="1:19">
      <c r="A205" s="142"/>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8">
        <f t="shared" si="42"/>
        <v>0</v>
      </c>
    </row>
    <row r="206" spans="1:19">
      <c r="A206" s="142"/>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8">
        <f t="shared" si="42"/>
        <v>0</v>
      </c>
    </row>
    <row r="207" spans="1:19">
      <c r="A207" s="142"/>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8">
        <f t="shared" si="42"/>
        <v>0</v>
      </c>
    </row>
    <row r="208" spans="1:19">
      <c r="A208" s="142"/>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8">
        <f t="shared" si="42"/>
        <v>0</v>
      </c>
    </row>
    <row r="209" spans="1:19">
      <c r="A209" s="142"/>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8">
        <f t="shared" si="42"/>
        <v>0</v>
      </c>
    </row>
    <row r="210" spans="1:19">
      <c r="A210" s="142"/>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8">
        <f t="shared" si="42"/>
        <v>0</v>
      </c>
    </row>
    <row r="211" spans="1:19">
      <c r="A211" s="142"/>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8">
        <f t="shared" si="42"/>
        <v>0</v>
      </c>
    </row>
    <row r="212" spans="1:19">
      <c r="A212" s="142"/>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8">
        <f t="shared" si="42"/>
        <v>0</v>
      </c>
    </row>
    <row r="213" spans="1:19">
      <c r="A213" s="142"/>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8">
        <f t="shared" si="42"/>
        <v>0</v>
      </c>
    </row>
    <row r="214" spans="1:19">
      <c r="A214" s="142"/>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8">
        <f t="shared" si="42"/>
        <v>0</v>
      </c>
    </row>
    <row r="215" spans="1:19">
      <c r="A215" s="142"/>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8">
        <f t="shared" si="42"/>
        <v>0</v>
      </c>
    </row>
    <row r="216" spans="1:19">
      <c r="A216" s="142"/>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8">
        <f t="shared" si="42"/>
        <v>0</v>
      </c>
    </row>
    <row r="217" spans="1:19">
      <c r="A217" s="142"/>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8">
        <f t="shared" si="42"/>
        <v>0</v>
      </c>
    </row>
    <row r="218" spans="1:19">
      <c r="A218" s="142"/>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8">
        <f t="shared" si="42"/>
        <v>0</v>
      </c>
    </row>
    <row r="220" spans="1:19">
      <c r="A220" s="142"/>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8">
        <f t="shared" si="42"/>
        <v>0</v>
      </c>
    </row>
    <row r="221" spans="1:19">
      <c r="A221" s="142"/>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8">
        <f t="shared" si="42"/>
        <v>0</v>
      </c>
    </row>
    <row r="222" spans="1:19">
      <c r="A222" s="142"/>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8">
        <f t="shared" si="42"/>
        <v>0</v>
      </c>
    </row>
    <row r="223" spans="1:19">
      <c r="A223" s="142"/>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8">
        <f t="shared" ref="S223:S286" si="52">ROUND(R223*B223/10000,0)</f>
        <v>0</v>
      </c>
    </row>
    <row r="224" spans="1:19">
      <c r="A224" s="142"/>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8">
        <f t="shared" si="52"/>
        <v>0</v>
      </c>
    </row>
    <row r="225" spans="1:19">
      <c r="A225" s="142"/>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8">
        <f t="shared" si="52"/>
        <v>0</v>
      </c>
    </row>
    <row r="226" spans="1:19">
      <c r="A226" s="142"/>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8">
        <f t="shared" si="52"/>
        <v>0</v>
      </c>
    </row>
    <row r="227" spans="1:19">
      <c r="A227" s="142"/>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8">
        <f t="shared" si="52"/>
        <v>0</v>
      </c>
    </row>
    <row r="228" spans="1:19">
      <c r="A228" s="142"/>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8">
        <f t="shared" si="52"/>
        <v>0</v>
      </c>
    </row>
    <row r="229" spans="1:19">
      <c r="A229" s="142"/>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8">
        <f t="shared" si="52"/>
        <v>0</v>
      </c>
    </row>
    <row r="230" spans="1:19">
      <c r="A230" s="142"/>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8">
        <f t="shared" si="52"/>
        <v>0</v>
      </c>
    </row>
    <row r="231" spans="1:19">
      <c r="A231" s="142"/>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8">
        <f t="shared" si="52"/>
        <v>0</v>
      </c>
    </row>
    <row r="232" spans="1:19">
      <c r="A232" s="142"/>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8">
        <f t="shared" si="52"/>
        <v>0</v>
      </c>
    </row>
    <row r="233" spans="1:19">
      <c r="A233" s="142"/>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8">
        <f t="shared" si="52"/>
        <v>0</v>
      </c>
    </row>
    <row r="234" spans="1:19">
      <c r="A234" s="142"/>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8">
        <f t="shared" si="52"/>
        <v>0</v>
      </c>
    </row>
    <row r="235" spans="1:19">
      <c r="A235" s="142"/>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8">
        <f t="shared" si="52"/>
        <v>0</v>
      </c>
    </row>
    <row r="236" spans="1:19">
      <c r="A236" s="142"/>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8">
        <f t="shared" si="52"/>
        <v>0</v>
      </c>
    </row>
    <row r="237" spans="1:19">
      <c r="A237" s="142"/>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8">
        <f t="shared" si="52"/>
        <v>0</v>
      </c>
    </row>
    <row r="238" spans="1:19">
      <c r="A238" s="142"/>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8">
        <f t="shared" si="52"/>
        <v>0</v>
      </c>
    </row>
    <row r="239" spans="1:19">
      <c r="A239" s="142"/>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8">
        <f t="shared" si="52"/>
        <v>0</v>
      </c>
    </row>
    <row r="240" spans="1:19">
      <c r="A240" s="142"/>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8">
        <f t="shared" si="52"/>
        <v>0</v>
      </c>
    </row>
    <row r="241" spans="1:19">
      <c r="A241" s="142"/>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8">
        <f t="shared" si="52"/>
        <v>0</v>
      </c>
    </row>
    <row r="242" spans="1:19">
      <c r="A242" s="142"/>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8">
        <f t="shared" si="52"/>
        <v>0</v>
      </c>
    </row>
    <row r="243" spans="1:19">
      <c r="A243" s="142"/>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8">
        <f t="shared" si="52"/>
        <v>0</v>
      </c>
    </row>
    <row r="244" spans="1:19">
      <c r="A244" s="142"/>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8">
        <f t="shared" si="52"/>
        <v>0</v>
      </c>
    </row>
    <row r="245" spans="1:19">
      <c r="A245" s="142"/>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8">
        <f t="shared" si="52"/>
        <v>0</v>
      </c>
    </row>
    <row r="246" spans="1:19">
      <c r="A246" s="142"/>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8">
        <f t="shared" si="52"/>
        <v>0</v>
      </c>
    </row>
    <row r="247" spans="1:19">
      <c r="A247" s="142"/>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8">
        <f t="shared" si="52"/>
        <v>0</v>
      </c>
    </row>
    <row r="248" spans="1:19">
      <c r="A248" s="142"/>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8">
        <f t="shared" si="52"/>
        <v>0</v>
      </c>
    </row>
    <row r="249" spans="1:19">
      <c r="A249" s="142"/>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8">
        <f t="shared" si="52"/>
        <v>0</v>
      </c>
    </row>
    <row r="250" spans="1:19">
      <c r="A250" s="142"/>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8">
        <f t="shared" si="52"/>
        <v>0</v>
      </c>
    </row>
    <row r="251" spans="1:19">
      <c r="A251" s="142"/>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8">
        <f t="shared" si="52"/>
        <v>0</v>
      </c>
    </row>
    <row r="252" spans="1:19">
      <c r="A252" s="142"/>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8">
        <f t="shared" si="52"/>
        <v>0</v>
      </c>
    </row>
    <row r="253" spans="1:19">
      <c r="A253" s="142"/>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8">
        <f t="shared" si="52"/>
        <v>0</v>
      </c>
    </row>
    <row r="254" spans="1:19">
      <c r="A254" s="142"/>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8">
        <f t="shared" si="52"/>
        <v>0</v>
      </c>
    </row>
    <row r="255" spans="1:19">
      <c r="A255" s="142"/>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8">
        <f t="shared" si="52"/>
        <v>0</v>
      </c>
    </row>
    <row r="256" spans="1:19">
      <c r="A256" s="142"/>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8">
        <f t="shared" si="52"/>
        <v>0</v>
      </c>
    </row>
    <row r="257" spans="1:19">
      <c r="A257" s="142"/>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8">
        <f t="shared" si="52"/>
        <v>0</v>
      </c>
    </row>
    <row r="258" spans="1:19">
      <c r="A258" s="142"/>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8">
        <f t="shared" si="52"/>
        <v>0</v>
      </c>
    </row>
    <row r="259" spans="1:19">
      <c r="A259" s="142"/>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8">
        <f t="shared" si="52"/>
        <v>0</v>
      </c>
    </row>
    <row r="260" spans="1:19">
      <c r="A260" s="142"/>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8">
        <f t="shared" si="52"/>
        <v>0</v>
      </c>
    </row>
    <row r="261" spans="1:19">
      <c r="A261" s="142"/>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8">
        <f t="shared" si="52"/>
        <v>0</v>
      </c>
    </row>
    <row r="262" spans="1:19">
      <c r="A262" s="142"/>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8">
        <f t="shared" si="52"/>
        <v>0</v>
      </c>
    </row>
    <row r="263" spans="1:19">
      <c r="A263" s="142"/>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8">
        <f t="shared" si="52"/>
        <v>0</v>
      </c>
    </row>
    <row r="264" spans="1:19">
      <c r="A264" s="142"/>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8">
        <f t="shared" si="52"/>
        <v>0</v>
      </c>
    </row>
    <row r="265" spans="1:19">
      <c r="A265" s="142"/>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8">
        <f t="shared" si="52"/>
        <v>0</v>
      </c>
    </row>
    <row r="266" spans="1:19">
      <c r="A266" s="142"/>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8">
        <f t="shared" si="52"/>
        <v>0</v>
      </c>
    </row>
    <row r="267" spans="1:19">
      <c r="A267" s="142"/>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8">
        <f t="shared" si="52"/>
        <v>0</v>
      </c>
    </row>
    <row r="268" spans="1:19">
      <c r="A268" s="142"/>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8">
        <f t="shared" si="52"/>
        <v>0</v>
      </c>
    </row>
    <row r="269" spans="1:19">
      <c r="A269" s="142"/>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8">
        <f t="shared" si="52"/>
        <v>0</v>
      </c>
    </row>
    <row r="270" spans="1:19">
      <c r="A270" s="142"/>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8">
        <f t="shared" si="52"/>
        <v>0</v>
      </c>
    </row>
    <row r="271" spans="1:19">
      <c r="A271" s="142"/>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8">
        <f t="shared" si="52"/>
        <v>0</v>
      </c>
    </row>
    <row r="272" spans="1:19">
      <c r="A272" s="142"/>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8">
        <f t="shared" si="52"/>
        <v>0</v>
      </c>
    </row>
    <row r="273" spans="1:19">
      <c r="A273" s="142"/>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8">
        <f t="shared" si="52"/>
        <v>0</v>
      </c>
    </row>
    <row r="274" spans="1:19">
      <c r="A274" s="142"/>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8">
        <f t="shared" si="52"/>
        <v>0</v>
      </c>
    </row>
    <row r="275" spans="1:19">
      <c r="A275" s="142"/>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8">
        <f t="shared" si="52"/>
        <v>0</v>
      </c>
    </row>
    <row r="276" spans="1:19">
      <c r="A276" s="142"/>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8">
        <f t="shared" si="52"/>
        <v>0</v>
      </c>
    </row>
    <row r="277" spans="1:19">
      <c r="A277" s="142"/>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8">
        <f t="shared" si="52"/>
        <v>0</v>
      </c>
    </row>
    <row r="278" spans="1:19">
      <c r="A278" s="142"/>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8">
        <f t="shared" si="52"/>
        <v>0</v>
      </c>
    </row>
    <row r="279" spans="1:19">
      <c r="A279" s="142"/>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8">
        <f t="shared" si="52"/>
        <v>0</v>
      </c>
    </row>
    <row r="280" spans="1:19">
      <c r="A280" s="142"/>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8">
        <f t="shared" si="52"/>
        <v>0</v>
      </c>
    </row>
    <row r="281" spans="1:19">
      <c r="A281" s="142"/>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8">
        <f t="shared" si="52"/>
        <v>0</v>
      </c>
    </row>
    <row r="282" spans="1:19">
      <c r="A282" s="142"/>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8">
        <f t="shared" si="52"/>
        <v>0</v>
      </c>
    </row>
    <row r="284" spans="1:19">
      <c r="A284" s="142"/>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8">
        <f t="shared" si="52"/>
        <v>0</v>
      </c>
    </row>
    <row r="285" spans="1:19">
      <c r="A285" s="142"/>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8">
        <f t="shared" si="52"/>
        <v>0</v>
      </c>
    </row>
    <row r="286" spans="1:19">
      <c r="A286" s="142"/>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8">
        <f t="shared" si="52"/>
        <v>0</v>
      </c>
    </row>
    <row r="287" spans="1:19">
      <c r="A287" s="142"/>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8">
        <f t="shared" ref="S287:S320" si="62">ROUND(R287*B287/10000,0)</f>
        <v>0</v>
      </c>
    </row>
    <row r="288" spans="1:19">
      <c r="A288" s="142"/>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8">
        <f t="shared" si="62"/>
        <v>0</v>
      </c>
    </row>
    <row r="289" spans="1:19">
      <c r="A289" s="142"/>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8">
        <f t="shared" si="62"/>
        <v>0</v>
      </c>
    </row>
    <row r="290" spans="1:19">
      <c r="A290" s="142"/>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8">
        <f t="shared" si="62"/>
        <v>0</v>
      </c>
    </row>
    <row r="291" spans="1:19">
      <c r="A291" s="142"/>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8">
        <f t="shared" si="62"/>
        <v>0</v>
      </c>
    </row>
    <row r="292" spans="1:19">
      <c r="A292" s="142"/>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8">
        <f t="shared" si="62"/>
        <v>0</v>
      </c>
    </row>
    <row r="293" spans="1:19">
      <c r="A293" s="142"/>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8">
        <f t="shared" si="62"/>
        <v>0</v>
      </c>
    </row>
    <row r="294" spans="1:19">
      <c r="A294" s="142"/>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8">
        <f t="shared" si="62"/>
        <v>0</v>
      </c>
    </row>
    <row r="295" spans="1:19">
      <c r="A295" s="142"/>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8">
        <f t="shared" si="62"/>
        <v>0</v>
      </c>
    </row>
    <row r="296" spans="1:19">
      <c r="A296" s="142"/>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8">
        <f t="shared" si="62"/>
        <v>0</v>
      </c>
    </row>
    <row r="297" spans="1:19">
      <c r="A297" s="142"/>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8">
        <f t="shared" si="62"/>
        <v>0</v>
      </c>
    </row>
    <row r="298" spans="1:19">
      <c r="A298" s="142"/>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8">
        <f t="shared" si="62"/>
        <v>0</v>
      </c>
    </row>
    <row r="299" spans="1:19">
      <c r="A299" s="142"/>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8">
        <f t="shared" si="62"/>
        <v>0</v>
      </c>
    </row>
    <row r="300" spans="1:19">
      <c r="A300" s="142"/>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8">
        <f t="shared" si="62"/>
        <v>0</v>
      </c>
    </row>
    <row r="301" spans="1:19">
      <c r="A301" s="142"/>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8">
        <f t="shared" si="62"/>
        <v>0</v>
      </c>
    </row>
    <row r="302" spans="1:19">
      <c r="A302" s="142"/>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8">
        <f t="shared" si="62"/>
        <v>0</v>
      </c>
    </row>
    <row r="303" spans="1:19">
      <c r="A303" s="142"/>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8">
        <f t="shared" si="62"/>
        <v>0</v>
      </c>
    </row>
    <row r="304" spans="1:19">
      <c r="A304" s="142"/>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8">
        <f t="shared" si="62"/>
        <v>0</v>
      </c>
    </row>
    <row r="305" spans="1:19">
      <c r="A305" s="142"/>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8">
        <f t="shared" si="62"/>
        <v>0</v>
      </c>
    </row>
    <row r="306" spans="1:19">
      <c r="A306" s="142"/>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8">
        <f t="shared" si="62"/>
        <v>0</v>
      </c>
    </row>
    <row r="307" spans="1:19">
      <c r="A307" s="142"/>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8">
        <f t="shared" si="62"/>
        <v>0</v>
      </c>
    </row>
    <row r="308" spans="1:19">
      <c r="A308" s="142"/>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8">
        <f t="shared" si="62"/>
        <v>0</v>
      </c>
    </row>
    <row r="309" spans="1:19">
      <c r="A309" s="142"/>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8">
        <f t="shared" si="62"/>
        <v>0</v>
      </c>
    </row>
    <row r="310" spans="1:19">
      <c r="A310" s="142"/>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8">
        <f t="shared" si="62"/>
        <v>0</v>
      </c>
    </row>
    <row r="311" spans="1:19">
      <c r="A311" s="142"/>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8">
        <f t="shared" si="62"/>
        <v>0</v>
      </c>
    </row>
    <row r="312" spans="1:19">
      <c r="A312" s="142"/>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8">
        <f t="shared" si="62"/>
        <v>0</v>
      </c>
    </row>
    <row r="313" spans="1:19">
      <c r="A313" s="142"/>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8">
        <f t="shared" si="62"/>
        <v>0</v>
      </c>
    </row>
    <row r="314" spans="1:19">
      <c r="A314" s="142"/>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8">
        <f t="shared" si="62"/>
        <v>0</v>
      </c>
    </row>
    <row r="315" spans="1:19">
      <c r="A315" s="142"/>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8">
        <f t="shared" si="62"/>
        <v>0</v>
      </c>
    </row>
    <row r="316" spans="1:19">
      <c r="A316" s="142"/>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8">
        <f t="shared" si="62"/>
        <v>0</v>
      </c>
    </row>
    <row r="317" spans="1:19">
      <c r="A317" s="142"/>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8">
        <f t="shared" si="62"/>
        <v>0</v>
      </c>
    </row>
    <row r="318" spans="1:19">
      <c r="A318" s="142"/>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8">
        <f t="shared" si="62"/>
        <v>0</v>
      </c>
    </row>
    <row r="319" spans="1:19">
      <c r="A319" s="142"/>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8">
        <f t="shared" si="62"/>
        <v>0</v>
      </c>
    </row>
    <row r="320" spans="1:19">
      <c r="A320" s="142"/>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8">
        <f t="shared" si="62"/>
        <v>0</v>
      </c>
    </row>
    <row r="321" spans="1:19">
      <c r="A321" s="142"/>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8">
        <f t="shared" ref="S321:S384" si="63">ROUND(R321*B321/10000,0)</f>
        <v>0</v>
      </c>
    </row>
    <row r="322" spans="1:19">
      <c r="A322" s="142"/>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8">
        <f t="shared" si="63"/>
        <v>0</v>
      </c>
    </row>
    <row r="323" spans="1:19">
      <c r="A323" s="142"/>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8">
        <f t="shared" si="63"/>
        <v>0</v>
      </c>
    </row>
    <row r="324" spans="1:19">
      <c r="A324" s="142"/>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8">
        <f t="shared" si="63"/>
        <v>0</v>
      </c>
    </row>
    <row r="325" spans="1:19">
      <c r="A325" s="142"/>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8">
        <f t="shared" si="63"/>
        <v>0</v>
      </c>
    </row>
    <row r="326" spans="1:19">
      <c r="A326" s="142"/>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8">
        <f t="shared" si="63"/>
        <v>0</v>
      </c>
    </row>
    <row r="327" spans="1:19">
      <c r="A327" s="142"/>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8">
        <f t="shared" si="63"/>
        <v>0</v>
      </c>
    </row>
    <row r="328" spans="1:19">
      <c r="A328" s="142"/>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8">
        <f t="shared" si="63"/>
        <v>0</v>
      </c>
    </row>
    <row r="329" spans="1:19">
      <c r="A329" s="142"/>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8">
        <f t="shared" si="63"/>
        <v>0</v>
      </c>
    </row>
    <row r="330" spans="1:19">
      <c r="A330" s="142"/>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8">
        <f t="shared" si="63"/>
        <v>0</v>
      </c>
    </row>
    <row r="331" spans="1:19">
      <c r="A331" s="142"/>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8">
        <f t="shared" si="63"/>
        <v>0</v>
      </c>
    </row>
    <row r="332" spans="1:19">
      <c r="A332" s="142"/>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8">
        <f t="shared" si="63"/>
        <v>0</v>
      </c>
    </row>
    <row r="333" spans="1:19">
      <c r="A333" s="142"/>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8">
        <f t="shared" si="63"/>
        <v>0</v>
      </c>
    </row>
    <row r="334" spans="1:19">
      <c r="A334" s="142"/>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8">
        <f t="shared" si="63"/>
        <v>0</v>
      </c>
    </row>
    <row r="335" spans="1:19">
      <c r="A335" s="142"/>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8">
        <f t="shared" si="63"/>
        <v>0</v>
      </c>
    </row>
    <row r="336" spans="1:19">
      <c r="A336" s="142"/>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8">
        <f t="shared" si="63"/>
        <v>0</v>
      </c>
    </row>
    <row r="337" spans="1:19">
      <c r="A337" s="142"/>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8">
        <f t="shared" si="63"/>
        <v>0</v>
      </c>
    </row>
    <row r="338" spans="1:19">
      <c r="A338" s="142"/>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8">
        <f t="shared" si="63"/>
        <v>0</v>
      </c>
    </row>
    <row r="339" spans="1:19">
      <c r="A339" s="142"/>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8">
        <f t="shared" si="63"/>
        <v>0</v>
      </c>
    </row>
    <row r="340" spans="1:19">
      <c r="A340" s="142"/>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8">
        <f t="shared" si="63"/>
        <v>0</v>
      </c>
    </row>
    <row r="341" spans="1:19">
      <c r="A341" s="142"/>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8">
        <f t="shared" si="63"/>
        <v>0</v>
      </c>
    </row>
    <row r="342" spans="1:19">
      <c r="A342" s="142"/>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8">
        <f t="shared" si="63"/>
        <v>0</v>
      </c>
    </row>
    <row r="343" spans="1:19">
      <c r="A343" s="142"/>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8">
        <f t="shared" si="63"/>
        <v>0</v>
      </c>
    </row>
    <row r="344" spans="1:19">
      <c r="A344" s="142"/>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8">
        <f t="shared" si="63"/>
        <v>0</v>
      </c>
    </row>
    <row r="345" spans="1:19">
      <c r="A345" s="142"/>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8">
        <f t="shared" si="63"/>
        <v>0</v>
      </c>
    </row>
    <row r="346" spans="1:19">
      <c r="A346" s="142"/>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8">
        <f t="shared" si="63"/>
        <v>0</v>
      </c>
    </row>
    <row r="348" spans="1:19">
      <c r="A348" s="142"/>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8">
        <f t="shared" si="63"/>
        <v>0</v>
      </c>
    </row>
    <row r="349" spans="1:19">
      <c r="A349" s="142"/>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8">
        <f t="shared" si="63"/>
        <v>0</v>
      </c>
    </row>
    <row r="350" spans="1:19">
      <c r="A350" s="142"/>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8">
        <f t="shared" si="63"/>
        <v>0</v>
      </c>
    </row>
    <row r="351" spans="1:19">
      <c r="A351" s="142"/>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8">
        <f t="shared" si="63"/>
        <v>0</v>
      </c>
    </row>
    <row r="352" spans="1:19">
      <c r="A352" s="142"/>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8">
        <f t="shared" si="63"/>
        <v>0</v>
      </c>
    </row>
    <row r="353" spans="1:19">
      <c r="A353" s="142"/>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8">
        <f t="shared" si="63"/>
        <v>0</v>
      </c>
    </row>
    <row r="354" spans="1:19">
      <c r="A354" s="142"/>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8">
        <f t="shared" si="63"/>
        <v>0</v>
      </c>
    </row>
    <row r="355" spans="1:19">
      <c r="A355" s="142"/>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8">
        <f t="shared" si="63"/>
        <v>0</v>
      </c>
    </row>
    <row r="356" spans="1:19">
      <c r="A356" s="142"/>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8">
        <f t="shared" si="63"/>
        <v>0</v>
      </c>
    </row>
    <row r="357" spans="1:19">
      <c r="A357" s="142"/>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8">
        <f t="shared" si="63"/>
        <v>0</v>
      </c>
    </row>
    <row r="358" spans="1:19">
      <c r="A358" s="142"/>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8">
        <f t="shared" si="63"/>
        <v>0</v>
      </c>
    </row>
    <row r="359" spans="1:19">
      <c r="A359" s="142"/>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8">
        <f t="shared" si="63"/>
        <v>0</v>
      </c>
    </row>
    <row r="360" spans="1:19">
      <c r="A360" s="142"/>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8">
        <f t="shared" si="63"/>
        <v>0</v>
      </c>
    </row>
    <row r="361" spans="1:19">
      <c r="A361" s="142"/>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8">
        <f t="shared" si="63"/>
        <v>0</v>
      </c>
    </row>
    <row r="362" spans="1:19">
      <c r="A362" s="142"/>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8">
        <f t="shared" si="63"/>
        <v>0</v>
      </c>
    </row>
    <row r="363" spans="1:19">
      <c r="A363" s="142"/>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8">
        <f t="shared" si="63"/>
        <v>0</v>
      </c>
    </row>
    <row r="364" spans="1:19">
      <c r="A364" s="142"/>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8">
        <f t="shared" si="63"/>
        <v>0</v>
      </c>
    </row>
    <row r="365" spans="1:19">
      <c r="A365" s="142"/>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8">
        <f t="shared" si="63"/>
        <v>0</v>
      </c>
    </row>
    <row r="366" spans="1:19">
      <c r="A366" s="142"/>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8">
        <f t="shared" si="63"/>
        <v>0</v>
      </c>
    </row>
    <row r="367" spans="1:19">
      <c r="A367" s="142"/>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8">
        <f t="shared" si="63"/>
        <v>0</v>
      </c>
    </row>
    <row r="368" spans="1:19">
      <c r="A368" s="142"/>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8">
        <f t="shared" si="63"/>
        <v>0</v>
      </c>
    </row>
    <row r="369" spans="1:19">
      <c r="A369" s="142"/>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8">
        <f t="shared" si="63"/>
        <v>0</v>
      </c>
    </row>
    <row r="370" spans="1:19">
      <c r="A370" s="142"/>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8">
        <f t="shared" si="63"/>
        <v>0</v>
      </c>
    </row>
    <row r="371" spans="1:19">
      <c r="A371" s="142"/>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8">
        <f t="shared" si="63"/>
        <v>0</v>
      </c>
    </row>
    <row r="372" spans="1:19">
      <c r="A372" s="142"/>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8">
        <f t="shared" si="63"/>
        <v>0</v>
      </c>
    </row>
    <row r="373" spans="1:19">
      <c r="A373" s="142"/>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8">
        <f t="shared" si="63"/>
        <v>0</v>
      </c>
    </row>
    <row r="374" spans="1:19">
      <c r="A374" s="142"/>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8">
        <f t="shared" si="63"/>
        <v>0</v>
      </c>
    </row>
    <row r="375" spans="1:19">
      <c r="A375" s="142"/>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8">
        <f t="shared" si="63"/>
        <v>0</v>
      </c>
    </row>
    <row r="376" spans="1:19">
      <c r="A376" s="142"/>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8">
        <f t="shared" si="63"/>
        <v>0</v>
      </c>
    </row>
    <row r="377" spans="1:19">
      <c r="A377" s="142"/>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8">
        <f t="shared" si="63"/>
        <v>0</v>
      </c>
    </row>
    <row r="378" spans="1:19">
      <c r="A378" s="142"/>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8">
        <f t="shared" si="63"/>
        <v>0</v>
      </c>
    </row>
    <row r="379" spans="1:19">
      <c r="A379" s="142"/>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8">
        <f t="shared" si="63"/>
        <v>0</v>
      </c>
    </row>
    <row r="380" spans="1:19">
      <c r="A380" s="142"/>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8">
        <f t="shared" si="63"/>
        <v>0</v>
      </c>
    </row>
    <row r="381" spans="1:19">
      <c r="A381" s="142"/>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8">
        <f t="shared" si="63"/>
        <v>0</v>
      </c>
    </row>
    <row r="382" spans="1:19">
      <c r="A382" s="142"/>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8">
        <f t="shared" si="63"/>
        <v>0</v>
      </c>
    </row>
    <row r="383" spans="1:19">
      <c r="A383" s="142"/>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8">
        <f t="shared" si="63"/>
        <v>0</v>
      </c>
    </row>
    <row r="384" spans="1:19">
      <c r="A384" s="142"/>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8">
        <f t="shared" si="63"/>
        <v>0</v>
      </c>
    </row>
    <row r="385" spans="1:19">
      <c r="A385" s="142"/>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8">
        <f t="shared" ref="S385:S422" si="73">ROUND(R385*B385/10000,0)</f>
        <v>0</v>
      </c>
    </row>
    <row r="386" spans="1:19">
      <c r="A386" s="142"/>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8">
        <f t="shared" si="73"/>
        <v>0</v>
      </c>
    </row>
    <row r="387" spans="1:19">
      <c r="A387" s="142"/>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8">
        <f t="shared" si="73"/>
        <v>0</v>
      </c>
    </row>
    <row r="388" spans="1:19">
      <c r="A388" s="142"/>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8">
        <f t="shared" si="73"/>
        <v>0</v>
      </c>
    </row>
    <row r="389" spans="1:19">
      <c r="A389" s="142"/>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8">
        <f t="shared" si="73"/>
        <v>0</v>
      </c>
    </row>
    <row r="390" spans="1:19">
      <c r="A390" s="142"/>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8">
        <f t="shared" si="73"/>
        <v>0</v>
      </c>
    </row>
    <row r="391" spans="1:19">
      <c r="A391" s="142"/>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8">
        <f t="shared" si="73"/>
        <v>0</v>
      </c>
    </row>
    <row r="392" spans="1:19">
      <c r="A392" s="142"/>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8">
        <f t="shared" si="73"/>
        <v>0</v>
      </c>
    </row>
    <row r="393" spans="1:19">
      <c r="A393" s="142"/>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8">
        <f t="shared" si="73"/>
        <v>0</v>
      </c>
    </row>
    <row r="394" spans="1:19">
      <c r="A394" s="142"/>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8">
        <f t="shared" si="73"/>
        <v>0</v>
      </c>
    </row>
    <row r="395" spans="1:19">
      <c r="A395" s="142"/>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8">
        <f t="shared" si="73"/>
        <v>0</v>
      </c>
    </row>
    <row r="396" spans="1:19">
      <c r="A396" s="142"/>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8">
        <f t="shared" si="73"/>
        <v>0</v>
      </c>
    </row>
    <row r="397" spans="1:19">
      <c r="A397" s="142"/>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8">
        <f t="shared" si="73"/>
        <v>0</v>
      </c>
    </row>
    <row r="398" spans="1:19">
      <c r="A398" s="142"/>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8">
        <f t="shared" si="73"/>
        <v>0</v>
      </c>
    </row>
    <row r="399" spans="1:19">
      <c r="A399" s="142"/>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8">
        <f t="shared" si="73"/>
        <v>0</v>
      </c>
    </row>
    <row r="400" spans="1:19">
      <c r="A400" s="142"/>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8">
        <f t="shared" si="73"/>
        <v>0</v>
      </c>
    </row>
    <row r="401" spans="1:19">
      <c r="A401" s="142"/>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8">
        <f t="shared" si="73"/>
        <v>0</v>
      </c>
    </row>
    <row r="402" spans="1:19">
      <c r="A402" s="142"/>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8">
        <f t="shared" si="73"/>
        <v>0</v>
      </c>
    </row>
    <row r="403" spans="1:19">
      <c r="A403" s="142"/>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8">
        <f t="shared" si="73"/>
        <v>0</v>
      </c>
    </row>
    <row r="404" spans="1:19">
      <c r="A404" s="142"/>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8">
        <f t="shared" si="73"/>
        <v>0</v>
      </c>
    </row>
    <row r="405" spans="1:19">
      <c r="A405" s="142"/>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8">
        <f t="shared" si="73"/>
        <v>0</v>
      </c>
    </row>
    <row r="406" spans="1:19">
      <c r="A406" s="142"/>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8">
        <f t="shared" si="73"/>
        <v>0</v>
      </c>
    </row>
    <row r="407" spans="1:19">
      <c r="A407" s="142"/>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8">
        <f t="shared" si="73"/>
        <v>0</v>
      </c>
    </row>
    <row r="408" spans="1:19">
      <c r="A408" s="142"/>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8">
        <f t="shared" si="73"/>
        <v>0</v>
      </c>
    </row>
    <row r="409" spans="1:19">
      <c r="A409" s="142"/>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8">
        <f t="shared" si="73"/>
        <v>0</v>
      </c>
    </row>
    <row r="410" spans="1:19">
      <c r="A410" s="142"/>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8">
        <f t="shared" si="73"/>
        <v>0</v>
      </c>
    </row>
    <row r="412" spans="1:19">
      <c r="A412" s="142"/>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8">
        <f t="shared" si="73"/>
        <v>0</v>
      </c>
    </row>
    <row r="413" spans="1:19">
      <c r="A413" s="142"/>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8">
        <f t="shared" si="73"/>
        <v>0</v>
      </c>
    </row>
    <row r="414" spans="1:19">
      <c r="A414" s="142"/>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8">
        <f t="shared" si="73"/>
        <v>0</v>
      </c>
    </row>
    <row r="415" spans="1:19">
      <c r="A415" s="142"/>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8">
        <f t="shared" si="73"/>
        <v>0</v>
      </c>
    </row>
    <row r="416" spans="1:19">
      <c r="A416" s="142"/>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8">
        <f t="shared" si="73"/>
        <v>0</v>
      </c>
    </row>
    <row r="417" spans="1:19">
      <c r="A417" s="142"/>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8">
        <f t="shared" si="73"/>
        <v>0</v>
      </c>
    </row>
    <row r="418" spans="1:19">
      <c r="A418" s="142"/>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8">
        <f t="shared" si="73"/>
        <v>0</v>
      </c>
    </row>
    <row r="419" spans="1:19">
      <c r="A419" s="142"/>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8">
        <f t="shared" si="73"/>
        <v>0</v>
      </c>
    </row>
    <row r="420" spans="1:19">
      <c r="A420" s="142"/>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8">
        <f t="shared" si="73"/>
        <v>0</v>
      </c>
    </row>
    <row r="421" spans="1:19">
      <c r="A421" s="142"/>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8">
        <f t="shared" si="73"/>
        <v>0</v>
      </c>
    </row>
    <row r="422" spans="1:19">
      <c r="A422" s="142"/>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8">
        <f t="shared" si="73"/>
        <v>0</v>
      </c>
    </row>
    <row r="423" spans="1:19">
      <c r="A423" s="142"/>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8">
        <f t="shared" ref="S423:S467" si="83">ROUND(R423*B423/10000,0)</f>
        <v>0</v>
      </c>
    </row>
    <row r="424" spans="1:19">
      <c r="A424" s="142"/>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8">
        <f t="shared" si="83"/>
        <v>0</v>
      </c>
    </row>
    <row r="425" spans="1:19">
      <c r="A425" s="142"/>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8">
        <f t="shared" si="83"/>
        <v>0</v>
      </c>
    </row>
    <row r="426" spans="1:19">
      <c r="A426" s="142"/>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8">
        <f t="shared" si="83"/>
        <v>0</v>
      </c>
    </row>
    <row r="427" spans="1:19">
      <c r="A427" s="142"/>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8">
        <f t="shared" si="83"/>
        <v>0</v>
      </c>
    </row>
    <row r="428" spans="1:19">
      <c r="A428" s="142"/>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8">
        <f t="shared" si="83"/>
        <v>0</v>
      </c>
    </row>
    <row r="429" spans="1:19">
      <c r="A429" s="142"/>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8">
        <f t="shared" si="83"/>
        <v>0</v>
      </c>
    </row>
    <row r="430" spans="1:19">
      <c r="A430" s="142"/>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8">
        <f t="shared" si="83"/>
        <v>0</v>
      </c>
    </row>
    <row r="431" spans="1:19">
      <c r="A431" s="142"/>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8">
        <f t="shared" si="83"/>
        <v>0</v>
      </c>
    </row>
    <row r="432" spans="1:19">
      <c r="A432" s="142"/>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8">
        <f t="shared" si="83"/>
        <v>0</v>
      </c>
    </row>
    <row r="433" spans="1:19">
      <c r="A433" s="142"/>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8">
        <f t="shared" si="83"/>
        <v>0</v>
      </c>
    </row>
    <row r="434" spans="1:19">
      <c r="A434" s="142"/>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8">
        <f t="shared" si="83"/>
        <v>0</v>
      </c>
    </row>
    <row r="435" spans="1:19">
      <c r="A435" s="142"/>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8">
        <f t="shared" si="83"/>
        <v>0</v>
      </c>
    </row>
    <row r="436" spans="1:19">
      <c r="A436" s="142"/>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8">
        <f t="shared" si="83"/>
        <v>0</v>
      </c>
    </row>
    <row r="437" spans="1:19">
      <c r="A437" s="142"/>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8">
        <f t="shared" si="83"/>
        <v>0</v>
      </c>
    </row>
    <row r="438" spans="1:19">
      <c r="A438" s="142"/>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8">
        <f t="shared" si="83"/>
        <v>0</v>
      </c>
    </row>
    <row r="439" spans="1:19">
      <c r="A439" s="142"/>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8">
        <f t="shared" si="83"/>
        <v>0</v>
      </c>
    </row>
    <row r="440" spans="1:19">
      <c r="A440" s="142"/>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8">
        <f t="shared" si="83"/>
        <v>0</v>
      </c>
    </row>
    <row r="441" spans="1:19">
      <c r="A441" s="142"/>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8">
        <f t="shared" si="83"/>
        <v>0</v>
      </c>
    </row>
    <row r="442" spans="1:19">
      <c r="A442" s="142"/>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8">
        <f t="shared" si="83"/>
        <v>0</v>
      </c>
    </row>
    <row r="443" spans="1:19">
      <c r="A443" s="142"/>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8">
        <f t="shared" si="83"/>
        <v>0</v>
      </c>
    </row>
    <row r="444" spans="1:19">
      <c r="A444" s="142"/>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8">
        <f t="shared" si="83"/>
        <v>0</v>
      </c>
    </row>
    <row r="445" spans="1:19">
      <c r="A445" s="142"/>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8">
        <f t="shared" si="83"/>
        <v>0</v>
      </c>
    </row>
    <row r="446" spans="1:19">
      <c r="A446" s="142"/>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8">
        <f t="shared" si="83"/>
        <v>0</v>
      </c>
    </row>
    <row r="447" spans="1:19">
      <c r="A447" s="142"/>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8">
        <f t="shared" si="83"/>
        <v>0</v>
      </c>
    </row>
    <row r="448" spans="1:19">
      <c r="A448" s="142"/>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8">
        <f t="shared" si="83"/>
        <v>0</v>
      </c>
    </row>
    <row r="449" spans="1:19">
      <c r="A449" s="142"/>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8">
        <f t="shared" si="83"/>
        <v>0</v>
      </c>
    </row>
    <row r="450" spans="1:19">
      <c r="A450" s="142"/>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8">
        <f t="shared" si="83"/>
        <v>0</v>
      </c>
    </row>
    <row r="451" spans="1:19">
      <c r="A451" s="142"/>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8">
        <f t="shared" si="83"/>
        <v>0</v>
      </c>
    </row>
    <row r="452" spans="1:19">
      <c r="A452" s="142"/>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8">
        <f t="shared" si="83"/>
        <v>0</v>
      </c>
    </row>
    <row r="453" spans="1:19">
      <c r="A453" s="142"/>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8">
        <f t="shared" si="83"/>
        <v>0</v>
      </c>
    </row>
    <row r="454" spans="1:19">
      <c r="A454" s="142"/>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8">
        <f t="shared" si="83"/>
        <v>0</v>
      </c>
    </row>
    <row r="455" spans="1:19">
      <c r="A455" s="142"/>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8">
        <f t="shared" si="83"/>
        <v>0</v>
      </c>
    </row>
    <row r="456" spans="1:19">
      <c r="A456" s="142"/>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8">
        <f t="shared" si="83"/>
        <v>0</v>
      </c>
    </row>
    <row r="457" spans="1:19">
      <c r="A457" s="142"/>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8">
        <f t="shared" si="83"/>
        <v>0</v>
      </c>
    </row>
    <row r="458" spans="1:19">
      <c r="A458" s="142"/>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8">
        <f t="shared" si="83"/>
        <v>0</v>
      </c>
    </row>
    <row r="459" spans="1:19">
      <c r="A459" s="142"/>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8">
        <f t="shared" si="83"/>
        <v>0</v>
      </c>
    </row>
    <row r="460" spans="1:19">
      <c r="A460" s="142"/>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8">
        <f t="shared" si="83"/>
        <v>0</v>
      </c>
    </row>
    <row r="461" spans="1:19">
      <c r="A461" s="142"/>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8">
        <f t="shared" si="83"/>
        <v>0</v>
      </c>
    </row>
    <row r="462" spans="1:19">
      <c r="A462" s="142"/>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8">
        <f t="shared" si="83"/>
        <v>0</v>
      </c>
    </row>
    <row r="463" spans="1:19">
      <c r="A463" s="142"/>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8">
        <f t="shared" si="83"/>
        <v>0</v>
      </c>
    </row>
    <row r="464" spans="1:19">
      <c r="A464" s="142"/>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8">
        <f t="shared" si="83"/>
        <v>0</v>
      </c>
    </row>
    <row r="465" spans="1:19">
      <c r="A465" s="142"/>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8">
        <f t="shared" si="83"/>
        <v>0</v>
      </c>
    </row>
    <row r="466" spans="1:19">
      <c r="A466" s="142"/>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8">
        <f t="shared" si="83"/>
        <v>0</v>
      </c>
    </row>
    <row r="467" spans="1:19">
      <c r="A467" s="142"/>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8">
        <f t="shared" si="83"/>
        <v>0</v>
      </c>
    </row>
    <row r="468" spans="1:19">
      <c r="A468" s="142"/>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8">
        <f t="shared" ref="S468:S497" si="84">ROUND(R468*B468/10000,0)</f>
        <v>0</v>
      </c>
    </row>
    <row r="469" spans="1:19">
      <c r="A469" s="142"/>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8">
        <f t="shared" si="84"/>
        <v>0</v>
      </c>
    </row>
    <row r="470" spans="1:19">
      <c r="A470" s="142"/>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8">
        <f t="shared" si="84"/>
        <v>0</v>
      </c>
    </row>
    <row r="471" spans="1:19">
      <c r="A471" s="142"/>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8">
        <f t="shared" si="84"/>
        <v>0</v>
      </c>
    </row>
    <row r="472" spans="1:19">
      <c r="A472" s="142"/>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8">
        <f t="shared" si="84"/>
        <v>0</v>
      </c>
    </row>
    <row r="473" spans="1:19">
      <c r="A473" s="142"/>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8">
        <f t="shared" si="84"/>
        <v>0</v>
      </c>
    </row>
    <row r="474" spans="1:19">
      <c r="A474" s="142"/>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8">
        <f t="shared" si="84"/>
        <v>0</v>
      </c>
    </row>
    <row r="476" spans="1:19">
      <c r="A476" s="142"/>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8">
        <f t="shared" si="84"/>
        <v>0</v>
      </c>
    </row>
    <row r="477" spans="1:19">
      <c r="A477" s="142"/>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8">
        <f t="shared" si="84"/>
        <v>0</v>
      </c>
    </row>
    <row r="478" spans="1:19">
      <c r="A478" s="142"/>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8">
        <f t="shared" si="84"/>
        <v>0</v>
      </c>
    </row>
    <row r="479" spans="1:19">
      <c r="A479" s="142"/>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8">
        <f t="shared" si="84"/>
        <v>0</v>
      </c>
    </row>
    <row r="480" spans="1:19">
      <c r="A480" s="142"/>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8">
        <f t="shared" si="84"/>
        <v>0</v>
      </c>
    </row>
    <row r="481" spans="1:19">
      <c r="A481" s="142"/>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8">
        <f t="shared" si="84"/>
        <v>0</v>
      </c>
    </row>
    <row r="482" spans="1:19">
      <c r="A482" s="142"/>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8">
        <f t="shared" si="84"/>
        <v>0</v>
      </c>
    </row>
    <row r="483" spans="1:19">
      <c r="A483" s="142"/>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8">
        <f t="shared" si="84"/>
        <v>0</v>
      </c>
    </row>
    <row r="484" spans="1:19">
      <c r="A484" s="142"/>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8">
        <f t="shared" si="84"/>
        <v>0</v>
      </c>
    </row>
    <row r="485" spans="1:19">
      <c r="A485" s="142"/>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8">
        <f t="shared" si="84"/>
        <v>0</v>
      </c>
    </row>
    <row r="486" spans="1:19">
      <c r="A486" s="142"/>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8">
        <f t="shared" si="84"/>
        <v>0</v>
      </c>
    </row>
    <row r="487" spans="1:19">
      <c r="A487" s="142"/>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8">
        <f t="shared" si="84"/>
        <v>0</v>
      </c>
    </row>
    <row r="488" spans="1:19">
      <c r="A488" s="142"/>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8">
        <f t="shared" si="84"/>
        <v>0</v>
      </c>
    </row>
    <row r="489" spans="1:19">
      <c r="A489" s="142"/>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8">
        <f t="shared" si="84"/>
        <v>0</v>
      </c>
    </row>
    <row r="490" spans="1:19">
      <c r="A490" s="142"/>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8">
        <f t="shared" si="84"/>
        <v>0</v>
      </c>
    </row>
    <row r="491" spans="1:19">
      <c r="A491" s="142"/>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8">
        <f t="shared" si="84"/>
        <v>0</v>
      </c>
    </row>
    <row r="492" spans="1:19">
      <c r="A492" s="142"/>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8">
        <f t="shared" si="84"/>
        <v>0</v>
      </c>
    </row>
    <row r="493" spans="1:19">
      <c r="A493" s="142"/>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8">
        <f t="shared" si="84"/>
        <v>0</v>
      </c>
    </row>
    <row r="494" spans="1:19">
      <c r="A494" s="142"/>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8">
        <f t="shared" si="84"/>
        <v>0</v>
      </c>
    </row>
    <row r="495" spans="1:19">
      <c r="A495" s="142"/>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8">
        <f t="shared" si="84"/>
        <v>0</v>
      </c>
    </row>
    <row r="496" spans="1:19">
      <c r="A496" s="142"/>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8">
        <f t="shared" si="84"/>
        <v>0</v>
      </c>
    </row>
    <row r="497" spans="1:19">
      <c r="A497" s="142"/>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8">
        <f t="shared" si="84"/>
        <v>0</v>
      </c>
    </row>
    <row r="498" spans="1:19">
      <c r="A498" s="142"/>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8">
        <f t="shared" ref="S498:S524" si="94">ROUND(R498*B498/10000,0)</f>
        <v>0</v>
      </c>
    </row>
    <row r="499" spans="1:19">
      <c r="A499" s="142"/>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8">
        <f t="shared" si="94"/>
        <v>0</v>
      </c>
    </row>
    <row r="500" spans="1:19">
      <c r="A500" s="142"/>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8">
        <f t="shared" si="94"/>
        <v>0</v>
      </c>
    </row>
    <row r="501" spans="1:19">
      <c r="A501" s="142"/>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8">
        <f t="shared" si="94"/>
        <v>0</v>
      </c>
    </row>
    <row r="502" spans="1:19">
      <c r="A502" s="142"/>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8">
        <f t="shared" si="94"/>
        <v>0</v>
      </c>
    </row>
    <row r="503" spans="1:19">
      <c r="A503" s="142"/>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8">
        <f t="shared" si="94"/>
        <v>0</v>
      </c>
    </row>
    <row r="504" spans="1:19">
      <c r="A504" s="142"/>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8">
        <f t="shared" si="94"/>
        <v>0</v>
      </c>
    </row>
    <row r="505" spans="1:19">
      <c r="A505" s="142"/>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8">
        <f t="shared" si="94"/>
        <v>0</v>
      </c>
    </row>
    <row r="506" spans="1:19">
      <c r="A506" s="142"/>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8">
        <f t="shared" si="94"/>
        <v>0</v>
      </c>
    </row>
    <row r="507" spans="1:19">
      <c r="A507" s="142"/>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8">
        <f t="shared" si="94"/>
        <v>0</v>
      </c>
    </row>
    <row r="508" spans="1:19">
      <c r="A508" s="142"/>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8">
        <f t="shared" si="94"/>
        <v>0</v>
      </c>
    </row>
    <row r="509" spans="1:19">
      <c r="A509" s="142"/>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8">
        <f t="shared" si="94"/>
        <v>0</v>
      </c>
    </row>
    <row r="510" spans="1:19">
      <c r="A510" s="142"/>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8">
        <f t="shared" si="94"/>
        <v>0</v>
      </c>
    </row>
    <row r="511" spans="1:19">
      <c r="A511" s="142"/>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8">
        <f t="shared" si="94"/>
        <v>0</v>
      </c>
    </row>
    <row r="512" spans="1:19">
      <c r="A512" s="142"/>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8">
        <f t="shared" si="94"/>
        <v>0</v>
      </c>
    </row>
    <row r="513" spans="1:19">
      <c r="A513" s="142"/>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8">
        <f t="shared" si="94"/>
        <v>0</v>
      </c>
    </row>
    <row r="514" spans="1:19">
      <c r="A514" s="142"/>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8">
        <f t="shared" si="94"/>
        <v>0</v>
      </c>
    </row>
    <row r="515" spans="1:19">
      <c r="A515" s="142"/>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8">
        <f t="shared" si="94"/>
        <v>0</v>
      </c>
    </row>
    <row r="516" spans="1:19">
      <c r="A516" s="142"/>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8">
        <f t="shared" si="94"/>
        <v>0</v>
      </c>
    </row>
    <row r="517" spans="1:19">
      <c r="A517" s="142"/>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8">
        <f t="shared" si="94"/>
        <v>0</v>
      </c>
    </row>
    <row r="518" spans="1:19">
      <c r="A518" s="142"/>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8">
        <f t="shared" si="94"/>
        <v>0</v>
      </c>
    </row>
    <row r="519" spans="1:19">
      <c r="A519" s="142"/>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8">
        <f t="shared" si="94"/>
        <v>0</v>
      </c>
    </row>
    <row r="520" spans="1:19">
      <c r="A520" s="142"/>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8">
        <f t="shared" si="94"/>
        <v>0</v>
      </c>
    </row>
    <row r="521" spans="1:19">
      <c r="A521" s="142"/>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8">
        <f t="shared" si="94"/>
        <v>0</v>
      </c>
    </row>
    <row r="522" spans="1:19">
      <c r="A522" s="142"/>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8">
        <f t="shared" si="94"/>
        <v>0</v>
      </c>
    </row>
    <row r="523" spans="1:19">
      <c r="A523" s="142"/>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8">
        <f t="shared" si="94"/>
        <v>0</v>
      </c>
    </row>
    <row r="524" spans="1:19">
      <c r="A524" s="142"/>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3000-000000000000}">
      <formula1>一修多修正项2</formula1>
    </dataValidation>
    <dataValidation type="list" allowBlank="1" showInputMessage="1" showErrorMessage="1" sqref="F24:F524" xr:uid="{00000000-0002-0000-3000-000001000000}">
      <formula1>一修多修正项3</formula1>
    </dataValidation>
    <dataValidation type="list" allowBlank="1" showInputMessage="1" showErrorMessage="1" sqref="H24:H524" xr:uid="{00000000-0002-0000-3000-000002000000}">
      <formula1>一修多修正项4</formula1>
    </dataValidation>
    <dataValidation type="list" allowBlank="1" showInputMessage="1" showErrorMessage="1" sqref="J24:J524" xr:uid="{00000000-0002-0000-3000-000003000000}">
      <formula1>一修多修正项5</formula1>
    </dataValidation>
    <dataValidation type="list" allowBlank="1" showInputMessage="1" showErrorMessage="1" sqref="L24:L524" xr:uid="{00000000-0002-0000-3000-000004000000}">
      <formula1>一修多修正项6</formula1>
    </dataValidation>
    <dataValidation type="list" allowBlank="1" showInputMessage="1" showErrorMessage="1" sqref="N24:N524" xr:uid="{00000000-0002-0000-3000-000005000000}">
      <formula1>一修多修正项7</formula1>
    </dataValidation>
    <dataValidation type="list" allowBlank="1" showInputMessage="1" showErrorMessage="1" sqref="P24:P524" xr:uid="{00000000-0002-0000-3000-000006000000}">
      <formula1>一修多修正项8</formula1>
    </dataValidation>
    <dataValidation type="list" allowBlank="1" showInputMessage="1" showErrorMessage="1" sqref="D20" xr:uid="{00000000-0002-0000-3000-000007000000}">
      <formula1>"需扣减承租人权益,——"</formula1>
    </dataValidation>
    <dataValidation type="list" allowBlank="1" showInputMessage="1" showErrorMessage="1" sqref="H20" xr:uid="{00000000-0002-0000-3000-00000800000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45" t="str">
        <f>IF(项目基本情况!B9="房地产市场价值","估价结果一览表","结果表-2")</f>
        <v>结果表-2</v>
      </c>
      <c r="B1" s="3245"/>
      <c r="C1" s="3245"/>
      <c r="D1" s="3245"/>
      <c r="E1" s="3245"/>
      <c r="F1" s="3245"/>
      <c r="G1" s="3245"/>
      <c r="H1" s="3245"/>
      <c r="I1" s="3245"/>
    </row>
    <row r="2" spans="1:9" ht="30" customHeight="1" thickTop="1">
      <c r="A2" s="3246" t="s">
        <v>928</v>
      </c>
      <c r="B2" s="3246" t="s">
        <v>929</v>
      </c>
      <c r="C2" s="3246" t="s">
        <v>930</v>
      </c>
      <c r="D2" s="3246" t="str">
        <f>结果表!D116</f>
        <v>出让国有建设用地使用权价值</v>
      </c>
      <c r="E2" s="3246"/>
      <c r="F2" s="3246" t="str">
        <f>结果表!F116</f>
        <v>在建建筑物价值</v>
      </c>
      <c r="G2" s="3246"/>
      <c r="H2" s="3246" t="str">
        <f>IF(项目基本情况!B9="房地产市场价值","房地产市场价值","房地产价值")</f>
        <v>房地产价值</v>
      </c>
      <c r="I2" s="3246"/>
    </row>
    <row r="3" spans="1:9" ht="15">
      <c r="A3" s="3247"/>
      <c r="B3" s="3247"/>
      <c r="C3" s="3247"/>
      <c r="D3" s="798" t="s">
        <v>925</v>
      </c>
      <c r="E3" s="798" t="s">
        <v>931</v>
      </c>
      <c r="F3" s="798" t="s">
        <v>925</v>
      </c>
      <c r="G3" s="798" t="s">
        <v>926</v>
      </c>
      <c r="H3" s="798" t="s">
        <v>925</v>
      </c>
      <c r="I3" s="798" t="s">
        <v>926</v>
      </c>
    </row>
    <row r="4" spans="1:9" ht="30">
      <c r="A4" s="1400" t="str">
        <f>项目基本情况!S2</f>
        <v>北京市出让国有建设用地使用权及在建建筑物房地产</v>
      </c>
      <c r="B4" s="798">
        <f>项目基本情况!C17</f>
        <v>67554.06999999992</v>
      </c>
      <c r="C4" s="798">
        <f>项目基本情况!C18</f>
        <v>29999.43</v>
      </c>
      <c r="D4" s="798">
        <f ca="1">结果表!D118</f>
        <v>420435</v>
      </c>
      <c r="E4" s="798">
        <f ca="1">结果表!E118</f>
        <v>62237</v>
      </c>
      <c r="F4" s="798">
        <f ca="1">结果表!F118</f>
        <v>49794</v>
      </c>
      <c r="G4" s="798">
        <f ca="1">结果表!G118</f>
        <v>7371</v>
      </c>
      <c r="H4" s="798">
        <f ca="1">结果表!H118</f>
        <v>470229</v>
      </c>
      <c r="I4" s="798">
        <f ca="1">结果表!I118</f>
        <v>69608</v>
      </c>
    </row>
    <row r="5" spans="1:9" ht="30" customHeight="1">
      <c r="A5" s="3247" t="s">
        <v>927</v>
      </c>
      <c r="B5" s="3247"/>
      <c r="C5" s="3247"/>
      <c r="D5" s="3247" t="str">
        <f ca="1">结果表!D119</f>
        <v>肆拾贰亿零肆佰叁拾伍万元整</v>
      </c>
      <c r="E5" s="3247"/>
      <c r="F5" s="3247" t="str">
        <f ca="1">结果表!F119</f>
        <v>肆亿玖仟柒佰玖拾肆万元整</v>
      </c>
      <c r="G5" s="3247"/>
      <c r="H5" s="3247" t="str">
        <f ca="1">结果表!H119</f>
        <v>肆拾柒亿零贰佰贰拾玖万元整</v>
      </c>
      <c r="I5" s="3247"/>
    </row>
    <row r="6" spans="1:9" ht="15.75">
      <c r="A6" s="3248" t="str">
        <f>结果表!A120</f>
        <v>估价师知悉的法定优先受偿款</v>
      </c>
      <c r="B6" s="3248"/>
      <c r="C6" s="3248"/>
      <c r="D6" s="3248">
        <f>结果表!D120</f>
        <v>0</v>
      </c>
      <c r="E6" s="3248"/>
      <c r="F6" s="3248"/>
      <c r="G6" s="3248"/>
      <c r="H6" s="3248"/>
      <c r="I6" s="3248"/>
    </row>
    <row r="7" spans="1:9" ht="15">
      <c r="A7" s="3247" t="s">
        <v>927</v>
      </c>
      <c r="B7" s="3247"/>
      <c r="C7" s="3247"/>
      <c r="D7" s="3249" t="str">
        <f>结果表!D121</f>
        <v>零元整</v>
      </c>
      <c r="E7" s="3250"/>
      <c r="F7" s="3250"/>
      <c r="G7" s="3250"/>
      <c r="H7" s="3250"/>
      <c r="I7" s="3251"/>
    </row>
    <row r="8" spans="1:9" ht="15.75">
      <c r="A8" s="3248" t="str">
        <f>结果表!A122</f>
        <v>房地产抵押价值</v>
      </c>
      <c r="B8" s="3248"/>
      <c r="C8" s="3248"/>
      <c r="D8" s="3248">
        <f ca="1">结果表!D122</f>
        <v>470229</v>
      </c>
      <c r="E8" s="3248"/>
      <c r="F8" s="3248"/>
      <c r="G8" s="3248"/>
      <c r="H8" s="3248"/>
      <c r="I8" s="3248"/>
    </row>
    <row r="9" spans="1:9" ht="15">
      <c r="A9" s="3247" t="s">
        <v>927</v>
      </c>
      <c r="B9" s="3247"/>
      <c r="C9" s="3247"/>
      <c r="D9" s="3247" t="str">
        <f ca="1">结果表!D123</f>
        <v>肆拾柒亿零贰佰贰拾玖万元整</v>
      </c>
      <c r="E9" s="3247"/>
      <c r="F9" s="3247"/>
      <c r="G9" s="3247"/>
      <c r="H9" s="3247"/>
      <c r="I9" s="3247"/>
    </row>
    <row r="10" spans="1:9" ht="15.75">
      <c r="A10" s="3248" t="str">
        <f>结果表!A124</f>
        <v/>
      </c>
      <c r="B10" s="3248"/>
      <c r="C10" s="3248"/>
      <c r="D10" s="3248" t="str">
        <f>结果表!D124</f>
        <v>——</v>
      </c>
      <c r="E10" s="3248"/>
      <c r="F10" s="3248"/>
      <c r="G10" s="3248"/>
      <c r="H10" s="3248"/>
      <c r="I10" s="3248"/>
    </row>
    <row r="11" spans="1:9" ht="15">
      <c r="A11" s="3247" t="s">
        <v>927</v>
      </c>
      <c r="B11" s="3247"/>
      <c r="C11" s="3247"/>
      <c r="D11" s="3247" t="e">
        <f>结果表!D125</f>
        <v>#VALUE!</v>
      </c>
      <c r="E11" s="3247"/>
      <c r="F11" s="3247"/>
      <c r="G11" s="3247"/>
      <c r="H11" s="3247"/>
      <c r="I11" s="3247"/>
    </row>
    <row r="12" spans="1:9" ht="15.75">
      <c r="A12" s="3248" t="str">
        <f>结果表!A126</f>
        <v/>
      </c>
      <c r="B12" s="3248"/>
      <c r="C12" s="3248"/>
      <c r="D12" s="3248" t="str">
        <f>结果表!D126</f>
        <v>——</v>
      </c>
      <c r="E12" s="3248"/>
      <c r="F12" s="3248"/>
      <c r="G12" s="3248"/>
      <c r="H12" s="3248"/>
      <c r="I12" s="3248"/>
    </row>
    <row r="13" spans="1:9" ht="15.75" thickBot="1">
      <c r="A13" s="3252" t="s">
        <v>927</v>
      </c>
      <c r="B13" s="3252"/>
      <c r="C13" s="3252"/>
      <c r="D13" s="3252" t="e">
        <f>结果表!D127</f>
        <v>#VALUE!</v>
      </c>
      <c r="E13" s="3252"/>
      <c r="F13" s="3252"/>
      <c r="G13" s="3252"/>
      <c r="H13" s="3252"/>
      <c r="I13" s="3252"/>
    </row>
    <row r="14" spans="1:9" ht="15" thickTop="1">
      <c r="A14" s="3253" t="s">
        <v>932</v>
      </c>
      <c r="B14" s="3253"/>
      <c r="C14" s="3253"/>
      <c r="D14" s="3253"/>
      <c r="E14" s="3253"/>
      <c r="F14" s="3253"/>
      <c r="G14" s="3253"/>
      <c r="H14" s="3253"/>
      <c r="I14" s="3253"/>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2080</v>
      </c>
      <c r="B1" s="4"/>
      <c r="C1" s="4"/>
      <c r="D1" s="4"/>
      <c r="E1" s="4"/>
      <c r="F1" s="2540"/>
      <c r="G1" s="2540"/>
      <c r="H1" s="2540"/>
      <c r="I1" s="2540"/>
      <c r="J1" s="2540"/>
      <c r="K1" s="2540"/>
      <c r="L1" s="2540"/>
      <c r="M1" s="2540"/>
      <c r="N1" s="2540"/>
      <c r="O1" s="2540"/>
      <c r="P1" s="2540"/>
    </row>
    <row r="2" spans="1:16" ht="15.75">
      <c r="A2" s="1979" t="s">
        <v>2072</v>
      </c>
      <c r="B2" s="2383">
        <f ca="1">SUMIF(B6:B13,"&lt;&gt;#ref!",B6:B13)</f>
        <v>0</v>
      </c>
      <c r="C2" s="1979" t="s">
        <v>2073</v>
      </c>
      <c r="D2" s="1979" t="s">
        <v>2074</v>
      </c>
      <c r="E2" s="2393">
        <f ca="1">SUMIF(E6:E13,"&lt;&gt;#ref!",E6:E13)</f>
        <v>0</v>
      </c>
      <c r="F2" s="2540"/>
      <c r="G2" s="2540"/>
      <c r="H2" s="2540"/>
      <c r="I2" s="2540"/>
      <c r="J2" s="2540"/>
      <c r="K2" s="2540"/>
      <c r="L2" s="2540"/>
      <c r="M2" s="2540"/>
      <c r="N2" s="2540"/>
      <c r="O2" s="2540"/>
      <c r="P2" s="2540"/>
    </row>
    <row r="3" spans="1:16" ht="15.75">
      <c r="A3" s="1979" t="s">
        <v>2075</v>
      </c>
      <c r="B3" s="2383" t="e">
        <f ca="1">ROUND(B2*10000/E2,0)</f>
        <v>#DIV/0!</v>
      </c>
      <c r="C3" s="1979" t="s">
        <v>2081</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2076</v>
      </c>
      <c r="B5" s="2391" t="s">
        <v>2077</v>
      </c>
      <c r="C5" s="1980"/>
      <c r="D5" s="2540"/>
      <c r="E5" s="2392" t="s">
        <v>2078</v>
      </c>
      <c r="F5" s="2540"/>
      <c r="G5" s="2540"/>
      <c r="H5" s="2540"/>
      <c r="I5" s="2540"/>
      <c r="J5" s="2540"/>
      <c r="K5" s="2540"/>
      <c r="L5" s="2540"/>
      <c r="M5" s="2540"/>
      <c r="N5" s="2540"/>
      <c r="O5" s="2540"/>
      <c r="P5" s="2540"/>
    </row>
    <row r="6" spans="1:16" ht="15.75">
      <c r="A6" s="2390" t="s">
        <v>2079</v>
      </c>
      <c r="B6" s="2383">
        <f ca="1">SUMIF(INDIRECT("'"&amp;A6&amp;"'"&amp;"!A:A"),"总价",INDIRECT("'"&amp;A6&amp;"'"&amp;"!B:B"))</f>
        <v>0</v>
      </c>
      <c r="C6" s="1979" t="s">
        <v>2073</v>
      </c>
      <c r="D6" s="2540"/>
      <c r="E6" s="2393">
        <f ca="1">SUMIF(INDIRECT("'"&amp;A6&amp;"'"&amp;"!C:C"),"建筑面积",INDIRECT("'"&amp;A6&amp;"'"&amp;"!D:D"))</f>
        <v>0</v>
      </c>
      <c r="F6" s="2540"/>
      <c r="G6" s="2540"/>
      <c r="H6" s="2540"/>
      <c r="I6" s="2540"/>
      <c r="J6" s="2540"/>
      <c r="K6" s="2540"/>
      <c r="L6" s="2540"/>
      <c r="M6" s="2540"/>
      <c r="N6" s="2540"/>
      <c r="O6" s="2540"/>
      <c r="P6" s="2540"/>
    </row>
    <row r="7" spans="1:16" ht="15.75">
      <c r="A7" s="2390"/>
      <c r="B7" s="2383" t="e">
        <f ca="1">SUMIF(INDIRECT("'"&amp;A7&amp;"'"&amp;"!A:A"),"总价",INDIRECT("'"&amp;A7&amp;"'"&amp;"!B:B"))</f>
        <v>#REF!</v>
      </c>
      <c r="C7" s="1979" t="s">
        <v>2073</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79" t="s">
        <v>2073</v>
      </c>
      <c r="D8" s="2540"/>
      <c r="E8" s="2393" t="e">
        <f t="shared" ca="1" si="0"/>
        <v>#REF!</v>
      </c>
      <c r="F8" s="2540"/>
      <c r="G8" s="2540"/>
      <c r="H8" s="2540"/>
      <c r="I8" s="2540"/>
      <c r="J8" s="2540"/>
      <c r="K8" s="2540"/>
      <c r="L8" s="2540"/>
      <c r="M8" s="2540"/>
      <c r="N8" s="2540"/>
      <c r="O8" s="2540"/>
      <c r="P8" s="2540"/>
    </row>
    <row r="9" spans="1:16" ht="15.75">
      <c r="A9" s="2390"/>
      <c r="B9" s="2383" t="e">
        <f t="shared" ca="1" si="1"/>
        <v>#REF!</v>
      </c>
      <c r="C9" s="1979" t="s">
        <v>2073</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79" t="s">
        <v>2073</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79" t="s">
        <v>2073</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79" t="s">
        <v>2073</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79" t="s">
        <v>2073</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3100-000000000000}">
      <formula1>估价方法</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AK122"/>
  <sheetViews>
    <sheetView view="pageBreakPreview" zoomScaleNormal="80" zoomScaleSheetLayoutView="100" workbookViewId="0">
      <selection activeCell="C22" sqref="C22"/>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5" customWidth="1"/>
    <col min="33" max="36" width="9.375" style="1890" customWidth="1"/>
    <col min="37" max="38" width="9.375" style="1840" customWidth="1"/>
    <col min="39" max="16384" width="12" style="1840"/>
  </cols>
  <sheetData>
    <row r="1" spans="1:36" ht="28.5">
      <c r="A1" s="188" t="s">
        <v>1925</v>
      </c>
      <c r="B1" s="189"/>
      <c r="C1" s="193" t="s">
        <v>1926</v>
      </c>
      <c r="D1" s="333">
        <f>SUM(D33:D34,D37:D42)</f>
        <v>0</v>
      </c>
      <c r="E1" s="1837"/>
      <c r="F1" s="1837"/>
      <c r="G1" s="1837"/>
      <c r="H1" s="1837"/>
      <c r="I1" s="1837"/>
      <c r="J1" s="1837"/>
      <c r="K1" s="1053"/>
      <c r="L1" s="1838" t="s">
        <v>1927</v>
      </c>
      <c r="M1" s="807">
        <f>SUMPRODUCT((区片价!B5:B9=I2)*(区片价!C3:G3=E2)*(区片价!C5:G9))</f>
        <v>0</v>
      </c>
      <c r="N1" s="810">
        <f>SUMPRODUCT((因素修正幅度!B5:B9=I2)*(因素修正幅度!C3:G3=E2)*(因素修正幅度!C5:G9))</f>
        <v>0</v>
      </c>
      <c r="O1" s="1839"/>
      <c r="P1" s="1839"/>
      <c r="Q1" s="1053"/>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3" t="s">
        <v>1933</v>
      </c>
      <c r="B2" s="196">
        <f>C30</f>
        <v>0</v>
      </c>
      <c r="C2" s="1841" t="s">
        <v>1934</v>
      </c>
      <c r="D2" s="162" t="s">
        <v>1935</v>
      </c>
      <c r="E2" s="3116" t="s">
        <v>3395</v>
      </c>
      <c r="F2" s="162" t="s">
        <v>1936</v>
      </c>
      <c r="G2" s="163" t="str">
        <f>IF(E2="商业",项目基本情况!B37,IF(E2="办公",项目基本情况!C37,IF(E2="住宅",项目基本情况!D37,IF(E2="工业",项目基本情况!E37,项目基本情况!F37))))</f>
        <v>六级</v>
      </c>
      <c r="H2" s="162" t="s">
        <v>1937</v>
      </c>
      <c r="I2" s="163" t="str">
        <f>IF(E2="商业",项目基本情况!B38,IF(E2="办公",项目基本情况!C38,IF(E2="住宅",项目基本情况!D38,IF(E2="工业",项目基本情况!E38,项目基本情况!F38))))</f>
        <v>Ⅵ-06</v>
      </c>
      <c r="J2" s="1837"/>
      <c r="K2" s="1053"/>
      <c r="L2" s="1842" t="s">
        <v>1938</v>
      </c>
      <c r="M2" s="808">
        <f>SUMPRODUCT((区片价!B10:B29=I2)*(区片价!C3:G3=E2)*(区片价!C10:G29))</f>
        <v>0</v>
      </c>
      <c r="N2" s="810">
        <f>SUMPRODUCT((因素修正幅度!B10:B29=I2)*(因素修正幅度!C3:G3=E2)*(因素修正幅度!C10:G29))</f>
        <v>0</v>
      </c>
      <c r="O2" s="1053"/>
      <c r="P2" s="1053"/>
      <c r="Q2" s="1053"/>
      <c r="R2" s="1126">
        <v>1</v>
      </c>
      <c r="S2" s="3059">
        <f>ROUND(SUMPRODUCT((B106:B110=R2)*(C105:N105=G2)*(C106:N110)),4)</f>
        <v>1.5019</v>
      </c>
      <c r="T2" s="3059">
        <f t="shared" ref="T2:T16" si="0">ROUND($C$5*$C$22*$C$23*$C$24*S2*$C$28,0)</f>
        <v>-201</v>
      </c>
      <c r="U2" s="1127"/>
      <c r="V2" s="3059">
        <f>ROUND(T2*U2/10000,0)</f>
        <v>0</v>
      </c>
      <c r="W2" s="1130"/>
      <c r="X2" s="1130"/>
      <c r="Y2" s="1130"/>
      <c r="Z2" s="1130"/>
      <c r="AA2" s="1130"/>
      <c r="AB2" s="1130"/>
      <c r="AC2" s="1131"/>
      <c r="AD2" s="1132"/>
      <c r="AE2" s="1132"/>
      <c r="AF2" s="1132"/>
      <c r="AG2" s="1132"/>
      <c r="AH2" s="1132"/>
      <c r="AI2" s="1132"/>
      <c r="AJ2" s="1133"/>
    </row>
    <row r="3" spans="1:36" ht="15.75">
      <c r="A3" s="195" t="s">
        <v>1939</v>
      </c>
      <c r="B3" s="196" t="e">
        <f>ROUND(B2*10000/D1,0)</f>
        <v>#DIV/0!</v>
      </c>
      <c r="C3" s="1841" t="s">
        <v>1940</v>
      </c>
      <c r="D3" s="162" t="s">
        <v>1941</v>
      </c>
      <c r="E3" s="3114" t="s">
        <v>5926</v>
      </c>
      <c r="F3" s="1843"/>
      <c r="G3" s="705">
        <f>IF(F3="宗地容积率",'数据-汇总表'!I4,IF(F3="估价对象容积率",'数据-汇总表'!I6,'数据-汇总表'!I7))</f>
        <v>1.05</v>
      </c>
      <c r="H3" s="162" t="s">
        <v>1942</v>
      </c>
      <c r="I3" s="726"/>
      <c r="J3" s="1837" t="s">
        <v>1943</v>
      </c>
      <c r="K3" s="1053"/>
      <c r="L3" s="1842" t="s">
        <v>1944</v>
      </c>
      <c r="M3" s="808">
        <f>SUMPRODUCT((区片价!B30:B54=I2)*(区片价!C3:G3=E2)*(区片价!C30:G54))</f>
        <v>0</v>
      </c>
      <c r="N3" s="810">
        <f>SUMPRODUCT((因素修正幅度!B30:B54=I2)*(因素修正幅度!C3:G3=E2)*(因素修正幅度!C30:G54))</f>
        <v>0</v>
      </c>
      <c r="O3" s="1053"/>
      <c r="P3" s="1053"/>
      <c r="Q3" s="1053"/>
      <c r="R3" s="1126">
        <v>2</v>
      </c>
      <c r="S3" s="3059">
        <f>ROUND(SUMPRODUCT((B106:B110=R3)*(C105:N105=G2)*(C106:N110)),4)</f>
        <v>1.1838</v>
      </c>
      <c r="T3" s="3059">
        <f t="shared" si="0"/>
        <v>-159</v>
      </c>
      <c r="U3" s="1127"/>
      <c r="V3" s="3059">
        <f t="shared" ref="V3:V16" si="1">ROUND(T3*U3/10000,0)</f>
        <v>0</v>
      </c>
      <c r="W3" s="1130"/>
      <c r="X3" s="1130"/>
      <c r="Y3" s="1130"/>
      <c r="Z3" s="1130"/>
      <c r="AA3" s="1130"/>
      <c r="AB3" s="1130"/>
      <c r="AC3" s="1131"/>
      <c r="AD3" s="1132"/>
      <c r="AE3" s="1132"/>
      <c r="AF3" s="1132"/>
      <c r="AG3" s="1132"/>
      <c r="AH3" s="1132"/>
      <c r="AI3" s="1132"/>
      <c r="AJ3" s="1133"/>
    </row>
    <row r="4" spans="1:36" ht="15.75">
      <c r="A4" s="3559"/>
      <c r="B4" s="3560"/>
      <c r="C4" s="3560"/>
      <c r="D4" s="3561"/>
      <c r="E4" s="3561"/>
      <c r="F4" s="3561"/>
      <c r="G4" s="3561"/>
      <c r="H4" s="3561"/>
      <c r="I4" s="3561"/>
      <c r="J4" s="3562"/>
      <c r="K4" s="1053"/>
      <c r="L4" s="1842" t="s">
        <v>1945</v>
      </c>
      <c r="M4" s="808">
        <f>SUMPRODUCT((区片价!B55:B86=I2)*(区片价!C3:G3=E2)*(区片价!C55:G86))</f>
        <v>0</v>
      </c>
      <c r="N4" s="810">
        <f>SUMPRODUCT((因素修正幅度!B55:B86=I2)*(因素修正幅度!C3:G3=E2)*(因素修正幅度!C55:G86))</f>
        <v>0</v>
      </c>
      <c r="O4" s="1053"/>
      <c r="P4" s="1053"/>
      <c r="Q4" s="1053"/>
      <c r="R4" s="1126">
        <v>3</v>
      </c>
      <c r="S4" s="3059">
        <f>ROUND(SUMPRODUCT((B106:B110=R4)*(C105:N105=G2)*(C106:N110)),4)</f>
        <v>1.0004999999999999</v>
      </c>
      <c r="T4" s="3059">
        <f t="shared" si="0"/>
        <v>-134</v>
      </c>
      <c r="U4" s="1127"/>
      <c r="V4" s="3059">
        <f t="shared" si="1"/>
        <v>0</v>
      </c>
      <c r="W4" s="1130"/>
      <c r="X4" s="1130"/>
      <c r="Y4" s="1130"/>
      <c r="Z4" s="1130"/>
      <c r="AA4" s="1130"/>
      <c r="AB4" s="1130"/>
      <c r="AC4" s="1131"/>
      <c r="AD4" s="1132"/>
      <c r="AE4" s="1132"/>
      <c r="AF4" s="1132"/>
      <c r="AG4" s="1132"/>
      <c r="AH4" s="1132"/>
      <c r="AI4" s="1132"/>
      <c r="AJ4" s="1133"/>
    </row>
    <row r="5" spans="1:36" s="1853" customFormat="1" ht="15.75" thickBot="1">
      <c r="A5" s="1844" t="s">
        <v>362</v>
      </c>
      <c r="B5" s="1845" t="s">
        <v>1946</v>
      </c>
      <c r="C5" s="706">
        <f>ROUND(IF(E2="商业",C6*C7*C17+C20,(IF(E2="住宅",C6*C13*C17+C20,IF(E2="办公",C6*C12*C17+C20,C6+C20)))),0)</f>
        <v>-126</v>
      </c>
      <c r="D5" s="1249">
        <f>ROUND(C6*C17+C20,0)</f>
        <v>14604</v>
      </c>
      <c r="E5" s="1249"/>
      <c r="F5" s="1846"/>
      <c r="G5" s="1847"/>
      <c r="H5" s="1847"/>
      <c r="I5" s="1847"/>
      <c r="J5" s="1848"/>
      <c r="K5" s="1849"/>
      <c r="L5" s="1842" t="s">
        <v>1947</v>
      </c>
      <c r="M5" s="808">
        <f>SUMPRODUCT((区片价!B87:B126=I2)*(区片价!C3:G3=E2)*(区片价!C87:G126))</f>
        <v>0</v>
      </c>
      <c r="N5" s="810">
        <f>SUMPRODUCT((因素修正幅度!B87:B126=I2)*(因素修正幅度!C3:G3=E2)*(因素修正幅度!C87:G126))</f>
        <v>0</v>
      </c>
      <c r="O5" s="1053"/>
      <c r="P5" s="1053"/>
      <c r="Q5" s="1053"/>
      <c r="R5" s="1126">
        <v>4</v>
      </c>
      <c r="S5" s="3059">
        <f>ROUND(SUMPRODUCT((B106:B110=R5)*(C105:N105=G2)*(C106:N110)),4)</f>
        <v>0.88239999999999996</v>
      </c>
      <c r="T5" s="3059">
        <f t="shared" si="0"/>
        <v>-118</v>
      </c>
      <c r="U5" s="1127"/>
      <c r="V5" s="3059">
        <f t="shared" si="1"/>
        <v>0</v>
      </c>
      <c r="W5" s="1130"/>
      <c r="X5" s="1130"/>
      <c r="Y5" s="1130"/>
      <c r="Z5" s="1130"/>
      <c r="AA5" s="1130"/>
      <c r="AB5" s="1130"/>
      <c r="AC5" s="1850"/>
      <c r="AD5" s="1851"/>
      <c r="AE5" s="1851"/>
      <c r="AF5" s="1851"/>
      <c r="AG5" s="1851"/>
      <c r="AH5" s="1851"/>
      <c r="AI5" s="1851"/>
      <c r="AJ5" s="1852"/>
    </row>
    <row r="6" spans="1:36" ht="15.75" thickBot="1">
      <c r="A6" s="1854" t="s">
        <v>1948</v>
      </c>
      <c r="B6" s="1855" t="s">
        <v>1949</v>
      </c>
      <c r="C6" s="707">
        <f>SUMIF(L1:L12,G2,M1:M12)</f>
        <v>14730</v>
      </c>
      <c r="D6" s="1856"/>
      <c r="E6" s="1857"/>
      <c r="F6" s="1857"/>
      <c r="G6" s="1858"/>
      <c r="H6" s="1858"/>
      <c r="I6" s="1858"/>
      <c r="J6" s="1859"/>
      <c r="K6" s="1289"/>
      <c r="L6" s="1842" t="s">
        <v>1950</v>
      </c>
      <c r="M6" s="808">
        <f>SUMPRODUCT((区片价!B127:B189=I2)*(区片价!C3:G3=E2)*(区片价!C127:G189))</f>
        <v>14730</v>
      </c>
      <c r="N6" s="810">
        <f>SUMPRODUCT((因素修正幅度!B127:B189=I2)*(因素修正幅度!C3:G3=E2)*(因素修正幅度!C127:G189))</f>
        <v>0.126</v>
      </c>
      <c r="O6" s="1053"/>
      <c r="P6" s="1053"/>
      <c r="Q6" s="1053"/>
      <c r="R6" s="1126">
        <v>5</v>
      </c>
      <c r="S6" s="3059">
        <f>ROUND(SUMPRODUCT((B106:B110=R6)*(C105:N105=G2)*(C106:N110)),4)</f>
        <v>0.84799999999999998</v>
      </c>
      <c r="T6" s="3059">
        <f t="shared" si="0"/>
        <v>-114</v>
      </c>
      <c r="U6" s="1127"/>
      <c r="V6" s="3059">
        <f t="shared" si="1"/>
        <v>0</v>
      </c>
      <c r="W6" s="1130"/>
      <c r="X6" s="1130"/>
      <c r="Y6" s="1130"/>
      <c r="Z6" s="1130"/>
      <c r="AA6" s="1130"/>
      <c r="AB6" s="1130"/>
      <c r="AC6" s="1850"/>
      <c r="AD6" s="1851"/>
      <c r="AE6" s="1851"/>
      <c r="AF6" s="1851"/>
      <c r="AG6" s="1851"/>
      <c r="AH6" s="1851"/>
      <c r="AI6" s="1851"/>
      <c r="AJ6" s="1852"/>
    </row>
    <row r="7" spans="1:36" ht="24.75" thickBot="1">
      <c r="A7" s="3008" t="s">
        <v>3227</v>
      </c>
      <c r="B7" s="1860" t="s">
        <v>1951</v>
      </c>
      <c r="C7" s="708" t="e">
        <f>IF(C8="不临65条商业街",1,ROUND(1+(1.6*E8+1.2*E9+0.8*E10+0.4*E11)*C9,4))</f>
        <v>#DIV/0!</v>
      </c>
      <c r="D7" s="1861" t="s">
        <v>1952</v>
      </c>
      <c r="E7" s="727"/>
      <c r="F7" s="1862"/>
      <c r="G7" s="1863"/>
      <c r="H7" s="1863"/>
      <c r="I7" s="1863"/>
      <c r="J7" s="1864"/>
      <c r="K7" s="1289"/>
      <c r="L7" s="1842" t="s">
        <v>1953</v>
      </c>
      <c r="M7" s="808">
        <f>SUMPRODUCT((区片价!B190:B233=I2)*(区片价!C3:G3=E2)*(区片价!C190:G233))</f>
        <v>0</v>
      </c>
      <c r="N7" s="810">
        <f>SUMPRODUCT((因素修正幅度!B190:B233=I2)*(因素修正幅度!C3:G3=E2)*(因素修正幅度!C190:G233))</f>
        <v>0</v>
      </c>
      <c r="O7" s="1053"/>
      <c r="P7" s="1053"/>
      <c r="Q7" s="1053"/>
      <c r="R7" s="1126">
        <v>6</v>
      </c>
      <c r="S7" s="3113"/>
      <c r="T7" s="3059">
        <f t="shared" si="0"/>
        <v>0</v>
      </c>
      <c r="U7" s="1127"/>
      <c r="V7" s="3059">
        <f t="shared" si="1"/>
        <v>0</v>
      </c>
      <c r="W7" s="1264" t="s">
        <v>1954</v>
      </c>
      <c r="X7" s="1128" t="str">
        <f>G2</f>
        <v>六级</v>
      </c>
      <c r="Y7" s="1128" t="s">
        <v>1955</v>
      </c>
      <c r="Z7" s="1129">
        <f>G3</f>
        <v>1.05</v>
      </c>
      <c r="AA7" s="1130"/>
      <c r="AB7" s="1130"/>
      <c r="AC7" s="1131"/>
      <c r="AD7" s="1132"/>
      <c r="AE7" s="1132"/>
      <c r="AF7" s="1132"/>
      <c r="AG7" s="1132"/>
      <c r="AH7" s="1132"/>
      <c r="AI7" s="1132"/>
      <c r="AJ7" s="1133"/>
    </row>
    <row r="8" spans="1:36" ht="15">
      <c r="A8" s="3005"/>
      <c r="B8" s="162" t="s">
        <v>1956</v>
      </c>
      <c r="C8" s="1865"/>
      <c r="D8" s="709" t="s">
        <v>112</v>
      </c>
      <c r="E8" s="710" t="e">
        <f>ROUND(C11/E7,4)</f>
        <v>#DIV/0!</v>
      </c>
      <c r="F8" s="1866" t="s">
        <v>1957</v>
      </c>
      <c r="G8" s="1867"/>
      <c r="H8" s="1867"/>
      <c r="I8" s="1867"/>
      <c r="J8" s="1868"/>
      <c r="K8" s="1053"/>
      <c r="L8" s="1842" t="s">
        <v>1958</v>
      </c>
      <c r="M8" s="808">
        <f>SUMPRODUCT((区片价!B234:B276=I2)*(区片价!C3:G3=E2)*(区片价!C234:G276))</f>
        <v>0</v>
      </c>
      <c r="N8" s="810">
        <f>SUMPRODUCT((因素修正幅度!B234:B276=I2)*(因素修正幅度!C3:G3=E2)*(因素修正幅度!C234:G276))</f>
        <v>0</v>
      </c>
      <c r="O8" s="1053"/>
      <c r="P8" s="1053"/>
      <c r="Q8" s="1053"/>
      <c r="R8" s="1126">
        <v>7</v>
      </c>
      <c r="S8" s="1127"/>
      <c r="T8" s="3059">
        <f t="shared" si="0"/>
        <v>0</v>
      </c>
      <c r="U8" s="1127"/>
      <c r="V8" s="3059">
        <f t="shared" si="1"/>
        <v>0</v>
      </c>
      <c r="W8" s="3556" t="s">
        <v>1959</v>
      </c>
      <c r="X8" s="3557"/>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3005"/>
      <c r="B9" s="162" t="s">
        <v>1972</v>
      </c>
      <c r="C9" s="711">
        <f>SUMIF(修正!C71:C138,C8,修正!E71:E138)</f>
        <v>0</v>
      </c>
      <c r="D9" s="163" t="s">
        <v>113</v>
      </c>
      <c r="E9" s="163" t="e">
        <f>ROUND(C11/E7,4)</f>
        <v>#DIV/0!</v>
      </c>
      <c r="F9" s="1866" t="s">
        <v>1973</v>
      </c>
      <c r="G9" s="1867"/>
      <c r="H9" s="1867"/>
      <c r="I9" s="1867"/>
      <c r="J9" s="1868"/>
      <c r="K9" s="1053"/>
      <c r="L9" s="1842" t="s">
        <v>1974</v>
      </c>
      <c r="M9" s="808">
        <f>SUMPRODUCT((区片价!B277:B326=I2)*(区片价!C3:G3=E2)*(区片价!C277:G326))</f>
        <v>0</v>
      </c>
      <c r="N9" s="810">
        <f>SUMPRODUCT((因素修正幅度!B277:B326=I2)*(因素修正幅度!C3:G3=E2)*(因素修正幅度!C277:G326))</f>
        <v>0</v>
      </c>
      <c r="O9" s="1053"/>
      <c r="P9" s="1053"/>
      <c r="Q9" s="1053"/>
      <c r="R9" s="1126">
        <v>8</v>
      </c>
      <c r="S9" s="1127"/>
      <c r="T9" s="3059">
        <f t="shared" si="0"/>
        <v>0</v>
      </c>
      <c r="U9" s="1127"/>
      <c r="V9" s="3059">
        <f t="shared" si="1"/>
        <v>0</v>
      </c>
      <c r="W9" s="3558"/>
      <c r="X9" s="3060" t="s">
        <v>3258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1975</v>
      </c>
      <c r="C10" s="163">
        <f>SUMIF(修正!C71:C138,C8,修正!F71:F138)</f>
        <v>0</v>
      </c>
      <c r="D10" s="163" t="s">
        <v>114</v>
      </c>
      <c r="E10" s="163" t="e">
        <f>ROUND(C11/E7,4)</f>
        <v>#DIV/0!</v>
      </c>
      <c r="F10" s="1866" t="s">
        <v>1976</v>
      </c>
      <c r="G10" s="1867"/>
      <c r="H10" s="1867"/>
      <c r="I10" s="1867"/>
      <c r="J10" s="1868"/>
      <c r="K10" s="1053"/>
      <c r="L10" s="1842" t="s">
        <v>1977</v>
      </c>
      <c r="M10" s="808">
        <f>SUMPRODUCT((区片价!B327:B357=I2)*(区片价!C3:G3=E2)*(区片价!C327:G357))</f>
        <v>0</v>
      </c>
      <c r="N10" s="810">
        <f>SUMPRODUCT((因素修正幅度!B327:B357=I2)*(因素修正幅度!C3:G3=E2)*(因素修正幅度!C327:G357))</f>
        <v>0</v>
      </c>
      <c r="O10" s="1053"/>
      <c r="P10" s="1053"/>
      <c r="Q10" s="1053"/>
      <c r="R10" s="1126">
        <v>9</v>
      </c>
      <c r="S10" s="1127"/>
      <c r="T10" s="3059">
        <f t="shared" si="0"/>
        <v>0</v>
      </c>
      <c r="U10" s="1127"/>
      <c r="V10" s="3059">
        <f t="shared" si="1"/>
        <v>0</v>
      </c>
      <c r="W10" s="3558"/>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69" t="s">
        <v>1978</v>
      </c>
      <c r="C11" s="712">
        <f>C10/4</f>
        <v>0</v>
      </c>
      <c r="D11" s="712" t="s">
        <v>115</v>
      </c>
      <c r="E11" s="712" t="e">
        <f>ROUND(C11/E7,4)</f>
        <v>#DIV/0!</v>
      </c>
      <c r="F11" s="1870" t="s">
        <v>1979</v>
      </c>
      <c r="G11" s="1871"/>
      <c r="H11" s="1871"/>
      <c r="I11" s="1871"/>
      <c r="J11" s="1872"/>
      <c r="K11" s="1053"/>
      <c r="L11" s="1842" t="s">
        <v>1980</v>
      </c>
      <c r="M11" s="808">
        <f>SUMPRODUCT((区片价!B358:B377=I2)*(区片价!C3:G3=E2)*(区片价!C358:G377))</f>
        <v>0</v>
      </c>
      <c r="N11" s="810">
        <f>SUMPRODUCT((因素修正幅度!B358:B377=I2)*(因素修正幅度!C3:G3=E2)*(因素修正幅度!C358:G377))</f>
        <v>0</v>
      </c>
      <c r="O11" s="1053"/>
      <c r="P11" s="1053"/>
      <c r="Q11" s="1053"/>
      <c r="R11" s="1126">
        <v>10</v>
      </c>
      <c r="S11" s="1127"/>
      <c r="T11" s="3059">
        <f t="shared" si="0"/>
        <v>0</v>
      </c>
      <c r="U11" s="1127"/>
      <c r="V11" s="3059">
        <f t="shared" si="1"/>
        <v>0</v>
      </c>
      <c r="W11" s="1130"/>
      <c r="X11" s="1130"/>
      <c r="Y11" s="1130"/>
      <c r="Z11" s="1130"/>
      <c r="AA11" s="1130"/>
      <c r="AB11" s="1130"/>
      <c r="AC11" s="1131"/>
      <c r="AD11" s="2549"/>
      <c r="AE11" s="2549"/>
      <c r="AF11" s="2549"/>
      <c r="AG11" s="2549"/>
      <c r="AH11" s="2549"/>
      <c r="AI11" s="2549"/>
      <c r="AJ11" s="2550"/>
    </row>
    <row r="12" spans="1:36" ht="25.5" thickBot="1">
      <c r="A12" s="3008" t="s">
        <v>3228</v>
      </c>
      <c r="B12" s="3009" t="s">
        <v>3229</v>
      </c>
      <c r="C12" s="3010"/>
      <c r="D12" s="3011" t="s">
        <v>3230</v>
      </c>
      <c r="E12" s="3012" t="s">
        <v>3231</v>
      </c>
      <c r="F12" s="3013"/>
      <c r="G12" s="3014"/>
      <c r="H12" s="3014"/>
      <c r="I12" s="3014"/>
      <c r="J12" s="3015"/>
      <c r="K12" s="1053"/>
      <c r="L12" s="1791" t="s">
        <v>1983</v>
      </c>
      <c r="M12" s="809">
        <f>SUMPRODUCT((区片价!B378:B384=I2)*(区片价!C3:G3=E2)*(区片价!C378:G384))</f>
        <v>0</v>
      </c>
      <c r="N12" s="810">
        <f>SUMPRODUCT((因素修正幅度!B378:B384=I2)*(因素修正幅度!C3:G3=E2)*(因素修正幅度!C378:G384))</f>
        <v>0</v>
      </c>
      <c r="O12" s="1053"/>
      <c r="P12" s="1053"/>
      <c r="Q12" s="1053"/>
      <c r="R12" s="1126">
        <v>11</v>
      </c>
      <c r="S12" s="1127"/>
      <c r="T12" s="3059">
        <f t="shared" si="0"/>
        <v>0</v>
      </c>
      <c r="U12" s="1127"/>
      <c r="V12" s="3059">
        <f t="shared" si="1"/>
        <v>0</v>
      </c>
      <c r="W12" s="1130"/>
      <c r="X12" s="1130"/>
      <c r="Y12" s="1130"/>
      <c r="Z12" s="1130"/>
      <c r="AA12" s="1130"/>
      <c r="AB12" s="1130"/>
      <c r="AC12" s="1131"/>
      <c r="AD12" s="2549"/>
      <c r="AE12" s="2549"/>
      <c r="AF12" s="2549"/>
      <c r="AG12" s="2549"/>
      <c r="AH12" s="2549"/>
      <c r="AI12" s="2549"/>
      <c r="AJ12" s="2550"/>
    </row>
    <row r="13" spans="1:36" ht="15.75" thickBot="1">
      <c r="A13" s="3008" t="s">
        <v>3232</v>
      </c>
      <c r="B13" s="1873" t="s">
        <v>1981</v>
      </c>
      <c r="C13" s="708">
        <f>ROUND(C16*D16*E16*F16*G16*H16*I16*J16,4)</f>
        <v>0</v>
      </c>
      <c r="D13" s="1874" t="s">
        <v>1982</v>
      </c>
      <c r="E13" s="1875"/>
      <c r="F13" s="1875"/>
      <c r="G13" s="1876"/>
      <c r="H13" s="1876"/>
      <c r="I13" s="1876"/>
      <c r="J13" s="1877"/>
      <c r="K13" s="1053"/>
      <c r="L13" s="3"/>
      <c r="M13" s="4"/>
      <c r="N13" s="3006"/>
      <c r="O13" s="1053"/>
      <c r="P13" s="1053"/>
      <c r="Q13" s="1053"/>
      <c r="R13" s="1126">
        <v>12</v>
      </c>
      <c r="S13" s="1127"/>
      <c r="T13" s="3059">
        <f t="shared" si="0"/>
        <v>0</v>
      </c>
      <c r="U13" s="1127"/>
      <c r="V13" s="3059">
        <f t="shared" si="1"/>
        <v>0</v>
      </c>
      <c r="W13" s="1130"/>
      <c r="X13" s="1130"/>
      <c r="Y13" s="1130"/>
      <c r="Z13" s="1130"/>
      <c r="AA13" s="1130"/>
      <c r="AB13" s="1130"/>
      <c r="AC13" s="1131"/>
      <c r="AD13" s="2549"/>
      <c r="AE13" s="2549"/>
      <c r="AF13" s="2549"/>
      <c r="AG13" s="2549"/>
      <c r="AH13" s="2549"/>
      <c r="AI13" s="2549"/>
      <c r="AJ13" s="2550"/>
    </row>
    <row r="14" spans="1:36" ht="15">
      <c r="A14" s="3004"/>
      <c r="B14" s="1878" t="s">
        <v>1984</v>
      </c>
      <c r="C14" s="1879" t="s">
        <v>1985</v>
      </c>
      <c r="D14" s="1258" t="s">
        <v>1986</v>
      </c>
      <c r="E14" s="27" t="s">
        <v>1987</v>
      </c>
      <c r="F14" s="3016" t="s">
        <v>3233</v>
      </c>
      <c r="G14" s="3016" t="s">
        <v>3233</v>
      </c>
      <c r="H14" s="3016" t="s">
        <v>3233</v>
      </c>
      <c r="I14" s="3016" t="s">
        <v>3233</v>
      </c>
      <c r="J14" s="3016" t="s">
        <v>3233</v>
      </c>
      <c r="K14" s="1053"/>
      <c r="L14" s="1053"/>
      <c r="M14" s="1053"/>
      <c r="N14" s="1053"/>
      <c r="O14" s="1053"/>
      <c r="P14" s="1053"/>
      <c r="Q14" s="1053"/>
      <c r="R14" s="1126">
        <v>13</v>
      </c>
      <c r="S14" s="1127"/>
      <c r="T14" s="3059">
        <f t="shared" si="0"/>
        <v>0</v>
      </c>
      <c r="U14" s="1127"/>
      <c r="V14" s="3059">
        <f t="shared" si="1"/>
        <v>0</v>
      </c>
      <c r="W14" s="1130"/>
      <c r="X14" s="1130"/>
      <c r="Y14" s="1130"/>
      <c r="Z14" s="1130"/>
      <c r="AA14" s="1130"/>
      <c r="AB14" s="1130"/>
      <c r="AC14" s="1131"/>
      <c r="AD14" s="2549"/>
      <c r="AE14" s="2549"/>
      <c r="AF14" s="2549"/>
      <c r="AG14" s="2549"/>
      <c r="AH14" s="2549"/>
      <c r="AI14" s="2549"/>
      <c r="AJ14" s="2550"/>
    </row>
    <row r="15" spans="1:36" ht="15">
      <c r="A15" s="3004"/>
      <c r="B15" s="1880"/>
      <c r="C15" s="1881"/>
      <c r="D15" s="1882"/>
      <c r="E15" s="1883"/>
      <c r="F15" s="1467" t="s">
        <v>3234</v>
      </c>
      <c r="G15" s="1923"/>
      <c r="H15" s="3017"/>
      <c r="I15" s="3018"/>
      <c r="J15" s="3019"/>
      <c r="K15" s="1053"/>
      <c r="L15" s="1053"/>
      <c r="M15" s="1053"/>
      <c r="N15" s="1053"/>
      <c r="O15" s="1053"/>
      <c r="P15" s="1053"/>
      <c r="Q15" s="1053"/>
      <c r="R15" s="1126">
        <v>14</v>
      </c>
      <c r="S15" s="1127"/>
      <c r="T15" s="3059">
        <f t="shared" si="0"/>
        <v>0</v>
      </c>
      <c r="U15" s="1127"/>
      <c r="V15" s="3059">
        <f t="shared" si="1"/>
        <v>0</v>
      </c>
      <c r="W15" s="1130"/>
      <c r="X15" s="1130"/>
      <c r="Y15" s="1130"/>
      <c r="Z15" s="1130"/>
      <c r="AA15" s="1130"/>
      <c r="AB15" s="1130"/>
      <c r="AC15" s="1131"/>
      <c r="AD15" s="2549"/>
      <c r="AE15" s="2549"/>
      <c r="AF15" s="2549"/>
      <c r="AG15" s="2549"/>
      <c r="AH15" s="2549"/>
      <c r="AI15" s="2549"/>
      <c r="AJ15" s="2550"/>
    </row>
    <row r="16" spans="1:36" ht="15.75" thickBot="1">
      <c r="A16" s="3004"/>
      <c r="B16" s="3022" t="s">
        <v>1988</v>
      </c>
      <c r="C16" s="3020"/>
      <c r="D16" s="3020"/>
      <c r="E16" s="3020"/>
      <c r="F16" s="3020">
        <v>1</v>
      </c>
      <c r="G16" s="3020">
        <v>1</v>
      </c>
      <c r="H16" s="3020">
        <v>1</v>
      </c>
      <c r="I16" s="3020">
        <v>1</v>
      </c>
      <c r="J16" s="3021">
        <v>1</v>
      </c>
      <c r="K16" s="1053"/>
      <c r="L16" s="1839"/>
      <c r="M16" s="1839"/>
      <c r="N16" s="1839"/>
      <c r="O16" s="1839"/>
      <c r="P16" s="1839"/>
      <c r="Q16" s="1053"/>
      <c r="R16" s="1126">
        <v>15</v>
      </c>
      <c r="S16" s="1127"/>
      <c r="T16" s="3059">
        <f t="shared" si="0"/>
        <v>0</v>
      </c>
      <c r="U16" s="1127"/>
      <c r="V16" s="3059">
        <f t="shared" si="1"/>
        <v>0</v>
      </c>
      <c r="W16" s="1130"/>
      <c r="X16" s="1130"/>
      <c r="Y16" s="1130"/>
      <c r="Z16" s="1130"/>
      <c r="AA16" s="1130"/>
      <c r="AB16" s="1130"/>
      <c r="AC16" s="1131"/>
      <c r="AD16" s="2549"/>
      <c r="AE16" s="2549"/>
      <c r="AF16" s="2549"/>
      <c r="AG16" s="2549"/>
      <c r="AH16" s="2549"/>
      <c r="AI16" s="2549"/>
      <c r="AJ16" s="2550"/>
    </row>
    <row r="17" spans="1:37">
      <c r="A17" s="3031" t="s">
        <v>3235</v>
      </c>
      <c r="B17" s="3023" t="s">
        <v>3236</v>
      </c>
      <c r="C17" s="3032">
        <f>ROUND(IF(OR(E2="工业",E2="公共服务"),1,IF(AND(E18=0,E19=0),1,IF(AND(E18=J24,E19=G19),0.8,IF(E19=0,1+E17*(-0.2),1+E17*G17*(-0.2))))),4)</f>
        <v>1</v>
      </c>
      <c r="D17" s="3024" t="s">
        <v>3237</v>
      </c>
      <c r="E17" s="3032">
        <f>ROUND(G18/I18,2)</f>
        <v>0</v>
      </c>
      <c r="F17" s="3024" t="s">
        <v>3240</v>
      </c>
      <c r="G17" s="3032" t="e">
        <f>ROUND(E19/G19,2)</f>
        <v>#DIV/0!</v>
      </c>
      <c r="H17" s="3032"/>
      <c r="I17" s="3032"/>
      <c r="J17" s="3033"/>
      <c r="K17" s="1053"/>
      <c r="L17" s="1839"/>
      <c r="M17" s="1839"/>
      <c r="N17" s="1839"/>
      <c r="O17" s="1839"/>
      <c r="P17" s="1839"/>
      <c r="Q17" s="1053"/>
      <c r="R17" s="1053"/>
      <c r="S17" s="1053"/>
      <c r="T17" s="1053"/>
      <c r="U17" s="1053"/>
      <c r="V17" s="1053"/>
      <c r="W17" s="1053"/>
      <c r="X17" s="1053"/>
      <c r="Y17" s="1053"/>
      <c r="Z17" s="1054"/>
      <c r="AA17" s="1054"/>
      <c r="AB17" s="1054"/>
      <c r="AC17" s="1054"/>
      <c r="AD17" s="1054"/>
      <c r="AE17" s="1053"/>
      <c r="AF17" s="1053"/>
      <c r="AG17" s="1839"/>
      <c r="AH17" s="1839"/>
      <c r="AI17" s="1839"/>
      <c r="AJ17" s="1839"/>
    </row>
    <row r="18" spans="1:37" s="1853" customFormat="1" ht="14.25">
      <c r="A18" s="3034"/>
      <c r="B18" s="2305"/>
      <c r="C18" s="3030"/>
      <c r="D18" s="3025" t="s">
        <v>3238</v>
      </c>
      <c r="E18" s="2352"/>
      <c r="F18" s="3026" t="s">
        <v>3241</v>
      </c>
      <c r="G18" s="3030">
        <f>ROUND(1-(1/(POWER(1+G24,E18))),4)</f>
        <v>0</v>
      </c>
      <c r="H18" s="3026" t="s">
        <v>3243</v>
      </c>
      <c r="I18" s="3030">
        <f>ROUND(1-(1/(POWER(1+G24,J24))),4)</f>
        <v>0.96709999999999996</v>
      </c>
      <c r="J18" s="3035"/>
      <c r="K18" s="1053"/>
      <c r="L18" s="1839"/>
      <c r="M18" s="1839"/>
      <c r="N18" s="1839"/>
      <c r="O18" s="1839"/>
      <c r="P18" s="1839"/>
      <c r="Q18" s="1053"/>
      <c r="R18" s="1057"/>
      <c r="S18" s="1057"/>
      <c r="T18" s="1054"/>
      <c r="U18" s="1054"/>
      <c r="V18" s="1054"/>
      <c r="W18" s="1053"/>
      <c r="X18" s="1053"/>
      <c r="Y18" s="1053"/>
      <c r="Z18" s="1058"/>
      <c r="AA18" s="1058"/>
      <c r="AB18" s="1058"/>
      <c r="AC18" s="1058"/>
      <c r="AD18" s="1058"/>
      <c r="AE18" s="1054"/>
      <c r="AF18" s="1054"/>
      <c r="AG18" s="1975"/>
      <c r="AH18" s="1975"/>
      <c r="AI18" s="1975"/>
      <c r="AJ18" s="2548"/>
    </row>
    <row r="19" spans="1:37" s="1853" customFormat="1" ht="15" thickBot="1">
      <c r="A19" s="3036"/>
      <c r="B19" s="3037"/>
      <c r="C19" s="3038"/>
      <c r="D19" s="3038" t="s">
        <v>3239</v>
      </c>
      <c r="E19" s="3039"/>
      <c r="F19" s="3040" t="s">
        <v>3242</v>
      </c>
      <c r="G19" s="3039"/>
      <c r="H19" s="3038"/>
      <c r="I19" s="3038"/>
      <c r="J19" s="3041"/>
      <c r="K19" s="1053"/>
      <c r="L19" s="1839"/>
      <c r="M19" s="1839"/>
      <c r="N19" s="1839"/>
      <c r="O19" s="1839"/>
      <c r="P19" s="1839"/>
      <c r="Q19" s="1057"/>
      <c r="R19" s="1057"/>
      <c r="S19" s="1057"/>
      <c r="T19" s="1054"/>
      <c r="U19" s="1054"/>
      <c r="V19" s="1054"/>
      <c r="W19" s="1053"/>
      <c r="X19" s="1053"/>
      <c r="Y19" s="1053"/>
      <c r="Z19" s="1058"/>
      <c r="AA19" s="1058"/>
      <c r="AB19" s="1058"/>
      <c r="AC19" s="1058"/>
      <c r="AD19" s="1058"/>
      <c r="AE19" s="1058"/>
      <c r="AF19" s="1057"/>
      <c r="AG19" s="2551"/>
      <c r="AH19" s="1975"/>
      <c r="AI19" s="559"/>
      <c r="AJ19" s="559"/>
      <c r="AK19" s="1894"/>
    </row>
    <row r="20" spans="1:37" s="1853" customFormat="1" ht="14.25">
      <c r="A20" s="3563" t="s">
        <v>3244</v>
      </c>
      <c r="B20" s="159" t="s">
        <v>1993</v>
      </c>
      <c r="C20" s="3027">
        <f>ROUND(IF(F21="与级别开发程度一致",0,(G21-E21)/C21),0)</f>
        <v>-126</v>
      </c>
      <c r="D20" s="3042" t="s">
        <v>1997</v>
      </c>
      <c r="E20" s="3043"/>
      <c r="F20" s="3569" t="s">
        <v>1994</v>
      </c>
      <c r="G20" s="3570"/>
      <c r="H20" s="3028"/>
      <c r="I20" s="3028"/>
      <c r="J20" s="3029"/>
      <c r="K20" s="1884"/>
      <c r="L20" s="1884"/>
      <c r="M20" s="1884"/>
      <c r="N20" s="1884"/>
      <c r="O20" s="1885"/>
      <c r="P20" s="1839"/>
      <c r="Q20" s="1057"/>
      <c r="R20" s="1057"/>
      <c r="S20" s="1057"/>
      <c r="T20" s="1054"/>
      <c r="U20" s="1054"/>
      <c r="V20" s="1054"/>
      <c r="W20" s="1053"/>
      <c r="X20" s="1053"/>
      <c r="Y20" s="1053"/>
      <c r="Z20" s="1058"/>
      <c r="AA20" s="1058"/>
      <c r="AB20" s="1058"/>
      <c r="AC20" s="1058"/>
      <c r="AD20" s="1058"/>
      <c r="AE20" s="1058"/>
      <c r="AF20" s="1058"/>
      <c r="AG20" s="2548"/>
      <c r="AH20" s="2548"/>
      <c r="AI20" s="2548"/>
      <c r="AJ20" s="2548"/>
    </row>
    <row r="21" spans="1:37" s="1853" customFormat="1" ht="15" thickBot="1">
      <c r="A21" s="3564"/>
      <c r="B21" s="1997" t="s">
        <v>1996</v>
      </c>
      <c r="C21" s="1998">
        <f>IF(E3="M4科研用地",SUMPRODUCT((修正!A2:A7=E3)*(修正!B1:M1=G2)*(修正!B2:M7)),SUMPRODUCT((修正!A2:A7=E2)*(修正!B1:M1=G2)*(修正!B2:M7)))</f>
        <v>2.5</v>
      </c>
      <c r="D21" s="179" t="str">
        <f>IF(OR(G2="八级",G2="九级",G2="十级",G2="十一级",G2="十二级"),"五通一平","七通一平")</f>
        <v>七通一平</v>
      </c>
      <c r="E21" s="1988">
        <f>SUMPRODUCT((修正!B1:M1=G2)*(修正!B17:M17))</f>
        <v>315</v>
      </c>
      <c r="F21" s="1989"/>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8"/>
      <c r="R21" s="1057"/>
      <c r="S21" s="1057"/>
      <c r="T21" s="1054"/>
      <c r="U21" s="1054"/>
      <c r="V21" s="1054"/>
      <c r="W21" s="1053"/>
      <c r="X21" s="1053"/>
      <c r="Y21" s="1053"/>
      <c r="Z21" s="1058"/>
      <c r="AA21" s="1058"/>
      <c r="AB21" s="1058"/>
      <c r="AC21" s="1058"/>
      <c r="AD21" s="1058"/>
      <c r="AE21" s="1058"/>
      <c r="AF21" s="1058"/>
      <c r="AG21" s="2548"/>
      <c r="AH21" s="2548"/>
      <c r="AI21" s="2548"/>
      <c r="AJ21" s="2548"/>
    </row>
    <row r="22" spans="1:37" s="1853" customFormat="1" ht="15.75" thickBot="1">
      <c r="A22" s="1991" t="s">
        <v>363</v>
      </c>
      <c r="B22" s="1992" t="s">
        <v>1999</v>
      </c>
      <c r="C22" s="1993">
        <f>SUMIF(修正!C20:C51,E3,修正!E20:E51)</f>
        <v>1</v>
      </c>
      <c r="D22" s="1994"/>
      <c r="E22" s="1995"/>
      <c r="F22" s="1995"/>
      <c r="G22" s="1995"/>
      <c r="H22" s="1995"/>
      <c r="I22" s="1995"/>
      <c r="J22" s="1996"/>
      <c r="K22" s="1058"/>
      <c r="L22" s="2548"/>
      <c r="M22" s="2548"/>
      <c r="N22" s="2548"/>
      <c r="O22" s="1056"/>
      <c r="P22" s="1056"/>
      <c r="Q22" s="2548"/>
      <c r="R22" s="1057"/>
      <c r="S22" s="1057"/>
      <c r="T22" s="1054"/>
      <c r="U22" s="1054"/>
      <c r="V22" s="1054"/>
      <c r="W22" s="1053"/>
      <c r="X22" s="1053"/>
      <c r="Y22" s="1053"/>
      <c r="Z22" s="1058"/>
      <c r="AA22" s="1058"/>
      <c r="AB22" s="1058"/>
      <c r="AC22" s="1058"/>
      <c r="AD22" s="1058"/>
      <c r="AE22" s="1058"/>
      <c r="AF22" s="1058"/>
      <c r="AG22" s="2548"/>
      <c r="AH22" s="2548"/>
      <c r="AI22" s="2548"/>
      <c r="AJ22" s="2548"/>
    </row>
    <row r="23" spans="1:37" ht="26.25" thickBot="1">
      <c r="A23" s="1887" t="s">
        <v>364</v>
      </c>
      <c r="B23" s="1888" t="s">
        <v>2000</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1" t="s">
        <v>2001</v>
      </c>
      <c r="E23" s="714">
        <v>44197</v>
      </c>
      <c r="F23" s="1891" t="s">
        <v>2002</v>
      </c>
      <c r="G23" s="715">
        <f>'数据-取费表'!B2</f>
        <v>45803</v>
      </c>
      <c r="H23" s="3044" t="s">
        <v>3246</v>
      </c>
      <c r="I23" s="3045" t="str">
        <f>IF(H23="季度增幅（自定义）",SUMIF(N25:N28,E2,O25:O28),"")</f>
        <v/>
      </c>
      <c r="J23" s="3136" t="s">
        <v>3245</v>
      </c>
      <c r="K23" s="1058"/>
      <c r="L23" s="1892" t="s">
        <v>2003</v>
      </c>
      <c r="M23" s="1238">
        <f>ROUND(SUMIF(地价!B2:G2,E2,地价!B16:G16),0)</f>
        <v>687</v>
      </c>
      <c r="N23" s="1893" t="s">
        <v>2004</v>
      </c>
      <c r="O23" s="716">
        <f>ROUNDDOWN(DATEDIF(E23,G23,"M")/3,0)</f>
        <v>17</v>
      </c>
      <c r="P23" s="1054"/>
      <c r="Q23" s="2548"/>
      <c r="R23" s="1057"/>
      <c r="S23" s="1057"/>
      <c r="T23" s="1054"/>
      <c r="U23" s="1054"/>
      <c r="V23" s="1054"/>
      <c r="W23" s="1053"/>
      <c r="X23" s="1053"/>
      <c r="Y23" s="1053"/>
      <c r="Z23" s="1058"/>
      <c r="AA23" s="1058"/>
      <c r="AB23" s="1058"/>
      <c r="AC23" s="1058"/>
      <c r="AD23" s="1058"/>
      <c r="AE23" s="1054"/>
      <c r="AF23" s="1054"/>
      <c r="AG23" s="1975"/>
      <c r="AH23" s="1975"/>
      <c r="AI23" s="1975"/>
      <c r="AJ23" s="1975"/>
      <c r="AK23" s="1890"/>
    </row>
    <row r="24" spans="1:37" s="1853" customFormat="1" ht="24.75" thickBot="1">
      <c r="A24" s="1895" t="s">
        <v>365</v>
      </c>
      <c r="B24" s="1896" t="s">
        <v>2005</v>
      </c>
      <c r="C24" s="717">
        <f>ROUND(POWER(1+G24,J24-I24)*(POWER(1+G24,I24)-1)/(POWER(1+G24,J24)-1),4)</f>
        <v>0.99670000000000003</v>
      </c>
      <c r="D24" s="1897" t="s">
        <v>2006</v>
      </c>
      <c r="E24" s="1245">
        <f>存贷款利率!E28/100</f>
        <v>4.3499999999999997E-2</v>
      </c>
      <c r="F24" s="1897" t="s">
        <v>1998</v>
      </c>
      <c r="G24" s="721">
        <f>SUMIF(M30:Q30,E2,M33:Q33)</f>
        <v>0.05</v>
      </c>
      <c r="H24" s="1897" t="s">
        <v>2007</v>
      </c>
      <c r="I24" s="722">
        <f>SUMIF('数据-取费表'!C6:C15,E2,'数据-取费表'!F6:F15)/COUNTIF('数据-取费表'!C6:C15,E2)</f>
        <v>68.09</v>
      </c>
      <c r="J24" s="723">
        <f>IF(E2="住宅",70,IF(E2="商业",40,50))</f>
        <v>70</v>
      </c>
      <c r="K24" s="1058"/>
      <c r="L24" s="1898" t="s">
        <v>2008</v>
      </c>
      <c r="M24" s="1239">
        <f>ROUND(SUMPRODUCT((地价!A4:A16=YEAR(G23)&amp;"-"&amp;ROUNDUP(MONTH(G23)/3,0))*(地价!B2:G2=E2)*(地价!B4:G16)),0)</f>
        <v>0</v>
      </c>
      <c r="N24" s="1899" t="s">
        <v>2009</v>
      </c>
      <c r="O24" s="1900" t="s">
        <v>2010</v>
      </c>
      <c r="P24" s="1901" t="s">
        <v>2011</v>
      </c>
      <c r="Q24" s="1839"/>
      <c r="R24" s="1057"/>
      <c r="S24" s="1057"/>
      <c r="T24" s="1054"/>
      <c r="U24" s="1054"/>
      <c r="V24" s="1054"/>
      <c r="W24" s="1053"/>
      <c r="X24" s="1053"/>
      <c r="Y24" s="1053"/>
      <c r="Z24" s="1058"/>
      <c r="AA24" s="1058"/>
      <c r="AB24" s="1058"/>
      <c r="AC24" s="1058"/>
      <c r="AD24" s="1058"/>
      <c r="AE24" s="1058"/>
      <c r="AF24" s="1058"/>
      <c r="AG24" s="2548"/>
      <c r="AH24" s="2548"/>
      <c r="AI24" s="2548"/>
      <c r="AJ24" s="2548"/>
    </row>
    <row r="25" spans="1:37" ht="15">
      <c r="A25" s="1902" t="s">
        <v>366</v>
      </c>
      <c r="B25" s="1903" t="s">
        <v>3325</v>
      </c>
      <c r="C25" s="459">
        <f>IF(B25="容积率修正",IF(G3&lt;10,D26,J26),C27)</f>
        <v>1.2112000000000001</v>
      </c>
      <c r="D25" s="1904"/>
      <c r="E25" s="1904"/>
      <c r="F25" s="1904"/>
      <c r="G25" s="1904"/>
      <c r="H25" s="1904"/>
      <c r="I25" s="1904"/>
      <c r="J25" s="1905"/>
      <c r="K25" s="1058"/>
      <c r="L25" s="2548"/>
      <c r="M25" s="2548"/>
      <c r="N25" s="1906" t="s">
        <v>2012</v>
      </c>
      <c r="O25" s="1090"/>
      <c r="P25" s="1091">
        <f>SUMPRODUCT((地价!A3:A40=YEAR(G23)&amp;"-"&amp;ROUNDUP(MONTH(G23)/3,0))*(地价!AD2:AH2=N25)*(地价!AD3:AH40))</f>
        <v>0</v>
      </c>
      <c r="Q25" s="2548"/>
      <c r="R25" s="1057"/>
      <c r="S25" s="1057"/>
      <c r="T25" s="1054"/>
      <c r="U25" s="1054"/>
      <c r="V25" s="1054"/>
      <c r="W25" s="1053"/>
      <c r="X25" s="1053"/>
      <c r="Y25" s="1053"/>
      <c r="Z25" s="1058"/>
      <c r="AA25" s="1058"/>
      <c r="AB25" s="1058"/>
      <c r="AC25" s="1058"/>
      <c r="AD25" s="1058"/>
      <c r="AE25" s="1054"/>
      <c r="AF25" s="1054"/>
      <c r="AG25" s="1975"/>
      <c r="AH25" s="1975"/>
      <c r="AI25" s="1975"/>
      <c r="AJ25" s="1975"/>
    </row>
    <row r="26" spans="1:37" ht="14.25">
      <c r="A26" s="1801" t="s">
        <v>2013</v>
      </c>
      <c r="B26" s="1907" t="s">
        <v>2014</v>
      </c>
      <c r="C26" s="1907" t="s">
        <v>3247</v>
      </c>
      <c r="D26" s="1260">
        <f>IF(E26=G26,F26,IF(G3&lt;10,ROUND(F26+(H26-F26)*(G3-E26)/(G26-E26),4),"——"))</f>
        <v>1.2112000000000001</v>
      </c>
      <c r="E26" s="705">
        <f>ROUNDDOWN(G3,1)</f>
        <v>1</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05">
        <f>ROUNDUP(G3,1)</f>
        <v>1.1000000000000001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1.2002999999999999</v>
      </c>
      <c r="I26" s="1907" t="s">
        <v>3248</v>
      </c>
      <c r="J26" s="374" t="str">
        <f>IF(G3&gt;=10,D115,"——")</f>
        <v>——</v>
      </c>
      <c r="K26" s="1058"/>
      <c r="L26" s="2548"/>
      <c r="M26" s="2548"/>
      <c r="N26" s="1906" t="s">
        <v>2015</v>
      </c>
      <c r="O26" s="1090"/>
      <c r="P26" s="1091">
        <f>SUMPRODUCT((地价!A3:A40=YEAR(G23)&amp;"-"&amp;ROUNDUP(MONTH(G23)/3,0))*(地价!AD2:AH2=N26)*(地价!AD3:AH40))</f>
        <v>0</v>
      </c>
      <c r="Q26" s="1839"/>
      <c r="R26" s="1057"/>
      <c r="S26" s="1057"/>
      <c r="T26" s="1054"/>
      <c r="U26" s="1054"/>
      <c r="V26" s="1054"/>
      <c r="W26" s="1053"/>
      <c r="X26" s="1053"/>
      <c r="Y26" s="1053"/>
      <c r="Z26" s="1058"/>
      <c r="AA26" s="1058"/>
      <c r="AB26" s="1058"/>
      <c r="AC26" s="1058"/>
      <c r="AD26" s="1058"/>
      <c r="AE26" s="1054"/>
      <c r="AF26" s="1054"/>
      <c r="AG26" s="1975"/>
      <c r="AH26" s="1975"/>
      <c r="AI26" s="1975"/>
      <c r="AJ26" s="1975"/>
    </row>
    <row r="27" spans="1:37" ht="15.75" thickBot="1">
      <c r="A27" s="1801" t="s">
        <v>2016</v>
      </c>
      <c r="B27" s="1908" t="s">
        <v>2017</v>
      </c>
      <c r="C27" s="788">
        <f>ROUND(IF(I3&lt;6,SUMPRODUCT((B106:B110=I3)*(C105:N105=G2)*(C106:N110)),SUMIF(C105:N105,G2,C112:N112)),4)</f>
        <v>0</v>
      </c>
      <c r="D27" s="1837"/>
      <c r="E27" s="1837"/>
      <c r="F27" s="1909"/>
      <c r="G27" s="1910"/>
      <c r="H27" s="1911"/>
      <c r="I27" s="1912"/>
      <c r="J27" s="1913"/>
      <c r="K27" s="1053"/>
      <c r="L27" s="1839"/>
      <c r="M27" s="1839"/>
      <c r="N27" s="1906" t="s">
        <v>2018</v>
      </c>
      <c r="O27" s="1090"/>
      <c r="P27" s="1091">
        <f>SUMPRODUCT((地价!A3:A40=YEAR(G23)&amp;"-"&amp;ROUNDUP(MONTH(G23)/3,0))*(地价!AD2:AH2=N27)*(地价!AD3:AH40))</f>
        <v>0</v>
      </c>
      <c r="Q27" s="1839"/>
      <c r="R27" s="1057"/>
      <c r="S27" s="1057"/>
      <c r="T27" s="1054"/>
      <c r="U27" s="1054"/>
      <c r="V27" s="1054"/>
      <c r="W27" s="1053"/>
      <c r="X27" s="1053"/>
      <c r="Y27" s="1053"/>
      <c r="Z27" s="1058"/>
      <c r="AA27" s="1058"/>
      <c r="AB27" s="1058"/>
      <c r="AC27" s="1058"/>
      <c r="AD27" s="1058"/>
      <c r="AE27" s="1054"/>
      <c r="AF27" s="1054"/>
      <c r="AG27" s="1975"/>
      <c r="AH27" s="1975"/>
      <c r="AI27" s="1975"/>
      <c r="AJ27" s="1975"/>
    </row>
    <row r="28" spans="1:37" ht="15.75" thickBot="1">
      <c r="A28" s="1895" t="s">
        <v>367</v>
      </c>
      <c r="B28" s="1888" t="s">
        <v>2019</v>
      </c>
      <c r="C28" s="713">
        <f>SUMIF(A47:A101,E2,B47:B101)</f>
        <v>1</v>
      </c>
      <c r="D28" s="1889"/>
      <c r="E28" s="1914"/>
      <c r="F28" s="1914"/>
      <c r="G28" s="1914"/>
      <c r="H28" s="1914"/>
      <c r="I28" s="1914"/>
      <c r="J28" s="1915"/>
      <c r="K28" s="1058"/>
      <c r="L28" s="2548"/>
      <c r="M28" s="2548"/>
      <c r="N28" s="1916" t="s">
        <v>2020</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5"/>
      <c r="AH28" s="1975"/>
      <c r="AI28" s="1975"/>
      <c r="AJ28" s="1975"/>
    </row>
    <row r="29" spans="1:37" ht="15.75" thickBot="1">
      <c r="A29" s="1895" t="s">
        <v>368</v>
      </c>
      <c r="B29" s="1917" t="s">
        <v>2021</v>
      </c>
      <c r="C29" s="718"/>
      <c r="D29" s="1863"/>
      <c r="E29" s="1863"/>
      <c r="F29" s="1918"/>
      <c r="G29" s="1863"/>
      <c r="H29" s="1863"/>
      <c r="I29" s="1863"/>
      <c r="J29" s="1864"/>
      <c r="K29" s="1053"/>
      <c r="L29" s="1839"/>
      <c r="M29" s="1839"/>
      <c r="N29" s="2545" t="s">
        <v>2022</v>
      </c>
      <c r="O29" s="2546"/>
      <c r="P29" s="2547">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9"/>
      <c r="AH29" s="1839"/>
      <c r="AI29" s="1839"/>
      <c r="AJ29" s="1839"/>
    </row>
    <row r="30" spans="1:37" ht="15">
      <c r="A30" s="1919"/>
      <c r="B30" s="1907" t="s">
        <v>2023</v>
      </c>
      <c r="C30" s="2140">
        <f>IF(B25="容积率修正",E33+SUM(E37:E42),SUM(V2:V16)+SUM(E37:E42))</f>
        <v>0</v>
      </c>
      <c r="D30" s="1920"/>
      <c r="E30" s="1837"/>
      <c r="F30" s="1921"/>
      <c r="G30" s="1837"/>
      <c r="H30" s="1837"/>
      <c r="I30" s="1837"/>
      <c r="J30" s="1922"/>
      <c r="K30" s="1053"/>
      <c r="L30" s="3051" t="s">
        <v>1935</v>
      </c>
      <c r="M30" s="3052" t="s">
        <v>1989</v>
      </c>
      <c r="N30" s="3052" t="s">
        <v>1990</v>
      </c>
      <c r="O30" s="3052" t="s">
        <v>1991</v>
      </c>
      <c r="P30" s="3052" t="s">
        <v>1992</v>
      </c>
      <c r="Q30" s="3055" t="s">
        <v>3252</v>
      </c>
      <c r="R30" s="1057"/>
      <c r="S30" s="1057"/>
      <c r="T30" s="1054"/>
      <c r="U30" s="1054"/>
      <c r="V30" s="1054"/>
      <c r="W30" s="1053"/>
      <c r="X30" s="1053"/>
      <c r="Y30" s="1053"/>
      <c r="Z30" s="1058"/>
      <c r="AA30" s="1058"/>
      <c r="AB30" s="1058"/>
      <c r="AC30" s="1058"/>
      <c r="AD30" s="1058"/>
      <c r="AE30" s="1053"/>
      <c r="AF30" s="1053"/>
      <c r="AG30" s="1839"/>
      <c r="AH30" s="1839"/>
      <c r="AI30" s="1839"/>
      <c r="AJ30" s="1839"/>
    </row>
    <row r="31" spans="1:37" ht="15.75" thickBot="1">
      <c r="A31" s="1919"/>
      <c r="B31" s="1923" t="s">
        <v>2024</v>
      </c>
      <c r="C31" s="719">
        <f>E34+SUM(I37:I42)</f>
        <v>0</v>
      </c>
      <c r="D31" s="1924"/>
      <c r="E31" s="1925"/>
      <c r="F31" s="1926"/>
      <c r="G31" s="1925"/>
      <c r="H31" s="1925"/>
      <c r="I31" s="1925"/>
      <c r="J31" s="1927"/>
      <c r="K31" s="1053"/>
      <c r="L31" s="3053" t="s">
        <v>1995</v>
      </c>
      <c r="M31" s="162">
        <v>0.25</v>
      </c>
      <c r="N31" s="162">
        <v>0.2</v>
      </c>
      <c r="O31" s="162">
        <v>0.15</v>
      </c>
      <c r="P31" s="162">
        <v>0.1</v>
      </c>
      <c r="Q31" s="3048">
        <v>0.15</v>
      </c>
      <c r="R31" s="1057"/>
      <c r="S31" s="1057"/>
      <c r="T31" s="1054"/>
      <c r="U31" s="1054"/>
      <c r="V31" s="1054"/>
      <c r="W31" s="1053"/>
      <c r="X31" s="1053"/>
      <c r="Y31" s="1053"/>
      <c r="Z31" s="1058"/>
      <c r="AA31" s="1058"/>
      <c r="AB31" s="1058"/>
      <c r="AC31" s="1058"/>
      <c r="AD31" s="1058"/>
      <c r="AE31" s="1053"/>
      <c r="AF31" s="1053"/>
      <c r="AG31" s="1839"/>
      <c r="AH31" s="1839"/>
      <c r="AI31" s="1839"/>
      <c r="AJ31" s="1839"/>
    </row>
    <row r="32" spans="1:37" ht="15.75" thickBot="1">
      <c r="A32" s="1928"/>
      <c r="B32" s="1929" t="s">
        <v>2025</v>
      </c>
      <c r="C32" s="1930" t="s">
        <v>2026</v>
      </c>
      <c r="D32" s="1930" t="s">
        <v>2027</v>
      </c>
      <c r="E32" s="1931" t="s">
        <v>2028</v>
      </c>
      <c r="F32" s="1932"/>
      <c r="G32" s="1876"/>
      <c r="H32" s="1876"/>
      <c r="I32" s="1876"/>
      <c r="J32" s="1877"/>
      <c r="K32" s="1053"/>
      <c r="L32" s="3054" t="s">
        <v>1998</v>
      </c>
      <c r="M32" s="2351">
        <f>ROUND($E$24*(1+M31),3)</f>
        <v>5.3999999999999999E-2</v>
      </c>
      <c r="N32" s="2351">
        <f>ROUND($E$24*(1+N31),3)</f>
        <v>5.1999999999999998E-2</v>
      </c>
      <c r="O32" s="2351">
        <f>ROUND($E$24*(1+O31),3)</f>
        <v>0.05</v>
      </c>
      <c r="P32" s="2351">
        <f>ROUND($E$24*(1+P31),3)</f>
        <v>4.8000000000000001E-2</v>
      </c>
      <c r="Q32" s="3056">
        <f>ROUND($E$24*(1+Q31),3)</f>
        <v>0.05</v>
      </c>
      <c r="R32" s="1057"/>
      <c r="S32" s="1057"/>
      <c r="T32" s="1054"/>
      <c r="U32" s="1054"/>
      <c r="V32" s="1054"/>
      <c r="W32" s="1053"/>
      <c r="X32" s="1053"/>
      <c r="Y32" s="1053"/>
      <c r="Z32" s="1058"/>
      <c r="AA32" s="1058"/>
      <c r="AB32" s="1058"/>
      <c r="AC32" s="1058"/>
      <c r="AD32" s="1058"/>
      <c r="AE32" s="1053"/>
      <c r="AF32" s="1053"/>
      <c r="AG32" s="1839"/>
      <c r="AH32" s="1839"/>
      <c r="AI32" s="1839"/>
      <c r="AJ32" s="1839"/>
    </row>
    <row r="33" spans="1:37" ht="14.25">
      <c r="A33" s="1933"/>
      <c r="B33" s="1934" t="s">
        <v>2029</v>
      </c>
      <c r="C33" s="167">
        <f>ROUND(C5*C22*C23*C24*C25*C28,0)</f>
        <v>-162</v>
      </c>
      <c r="D33" s="1935"/>
      <c r="E33" s="724">
        <f>ROUND(C33*D33/10000,0)</f>
        <v>0</v>
      </c>
      <c r="F33" s="3046" t="s">
        <v>3250</v>
      </c>
      <c r="G33" s="1936"/>
      <c r="H33" s="1936"/>
      <c r="I33" s="1936"/>
      <c r="J33" s="1937"/>
      <c r="K33" s="1053"/>
      <c r="L33" s="3049" t="s">
        <v>3253</v>
      </c>
      <c r="M33" s="3050">
        <v>5.5E-2</v>
      </c>
      <c r="N33" s="3050">
        <v>5.5E-2</v>
      </c>
      <c r="O33" s="3050">
        <v>0.05</v>
      </c>
      <c r="P33" s="3050">
        <v>0.05</v>
      </c>
      <c r="Q33" s="3050">
        <v>0.05</v>
      </c>
      <c r="R33" s="1057"/>
      <c r="S33" s="1057"/>
      <c r="T33" s="1054"/>
      <c r="U33" s="1054"/>
      <c r="V33" s="1054"/>
      <c r="W33" s="1053"/>
      <c r="X33" s="1053"/>
      <c r="Y33" s="1053"/>
      <c r="Z33" s="1058"/>
      <c r="AA33" s="1058"/>
      <c r="AB33" s="1058"/>
      <c r="AC33" s="1058"/>
      <c r="AD33" s="1058"/>
      <c r="AE33" s="1054"/>
      <c r="AF33" s="1054"/>
      <c r="AG33" s="1975"/>
      <c r="AH33" s="1975"/>
      <c r="AI33" s="1975"/>
      <c r="AJ33" s="1975"/>
    </row>
    <row r="34" spans="1:37" ht="25.5" thickBot="1">
      <c r="A34" s="1938"/>
      <c r="B34" s="1939" t="s">
        <v>2030</v>
      </c>
      <c r="C34" s="179">
        <f>ROUND(IF(E2="工业",C33*M42,IF(B25="楼层修正",SUM(V2:V16)*M41*10000/D34,C33*M41)),0)</f>
        <v>-41</v>
      </c>
      <c r="D34" s="1940"/>
      <c r="E34" s="724">
        <f>ROUND(IF(B25="楼层修正",SUM(V2:V16)*M40,C34*D34/10000),0)</f>
        <v>0</v>
      </c>
      <c r="F34" s="1941" t="s">
        <v>2031</v>
      </c>
      <c r="G34" s="1942"/>
      <c r="H34" s="1942"/>
      <c r="I34" s="1942"/>
      <c r="J34" s="1943"/>
      <c r="K34" s="1053"/>
      <c r="L34" s="3049" t="s">
        <v>3254</v>
      </c>
      <c r="M34" s="3050">
        <v>6.5000000000000002E-2</v>
      </c>
      <c r="N34" s="3050">
        <v>6.5000000000000002E-2</v>
      </c>
      <c r="O34" s="3050">
        <v>0.06</v>
      </c>
      <c r="P34" s="3050">
        <v>0.06</v>
      </c>
      <c r="Q34" s="3050">
        <v>0.06</v>
      </c>
      <c r="R34" s="1057"/>
      <c r="S34" s="1057"/>
      <c r="T34" s="1054"/>
      <c r="U34" s="1054"/>
      <c r="V34" s="1054"/>
      <c r="W34" s="1053"/>
      <c r="X34" s="1053"/>
      <c r="Y34" s="1053"/>
      <c r="Z34" s="1058"/>
      <c r="AA34" s="1058"/>
      <c r="AB34" s="1058"/>
      <c r="AC34" s="1058"/>
      <c r="AD34" s="1058"/>
      <c r="AE34" s="1054"/>
      <c r="AF34" s="1054"/>
      <c r="AG34" s="1975"/>
      <c r="AH34" s="1975"/>
      <c r="AI34" s="1975"/>
      <c r="AJ34" s="1975"/>
    </row>
    <row r="35" spans="1:37">
      <c r="A35" s="1944"/>
      <c r="B35" s="1945" t="s">
        <v>2032</v>
      </c>
      <c r="C35" s="3047" t="s">
        <v>3251</v>
      </c>
      <c r="D35" s="1876"/>
      <c r="E35" s="1946"/>
      <c r="F35" s="1946"/>
      <c r="G35" s="1874" t="s">
        <v>2033</v>
      </c>
      <c r="H35" s="1876"/>
      <c r="I35" s="1947"/>
      <c r="J35" s="1877"/>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5"/>
      <c r="AH35" s="1975"/>
      <c r="AI35" s="1975"/>
      <c r="AJ35" s="1975"/>
    </row>
    <row r="36" spans="1:37" ht="24.75" thickBot="1">
      <c r="A36" s="1933"/>
      <c r="B36" s="1948"/>
      <c r="C36" s="434" t="s">
        <v>2026</v>
      </c>
      <c r="D36" s="431" t="s">
        <v>2027</v>
      </c>
      <c r="E36" s="431" t="s">
        <v>2028</v>
      </c>
      <c r="F36" s="333" t="s">
        <v>2034</v>
      </c>
      <c r="G36" s="1949" t="s">
        <v>2026</v>
      </c>
      <c r="H36" s="1949" t="s">
        <v>2027</v>
      </c>
      <c r="I36" s="1949" t="s">
        <v>2028</v>
      </c>
      <c r="J36" s="235"/>
      <c r="K36" s="1959" t="s">
        <v>3255</v>
      </c>
      <c r="L36" s="3137">
        <f ca="1">'数据-取费表'!B40</f>
        <v>0.03</v>
      </c>
      <c r="M36" s="2361">
        <f ca="1">ROUND($L$36*(1+M31),3)</f>
        <v>3.7999999999999999E-2</v>
      </c>
      <c r="N36" s="2361">
        <f ca="1">ROUND($L$36*(1+N31),3)</f>
        <v>3.5999999999999997E-2</v>
      </c>
      <c r="O36" s="2361">
        <f ca="1">ROUND($L$36*(1+O31),3)</f>
        <v>3.5000000000000003E-2</v>
      </c>
      <c r="P36" s="2361">
        <f ca="1">ROUND($L$36*(1+P31),3)</f>
        <v>3.3000000000000002E-2</v>
      </c>
      <c r="Q36" s="2361">
        <f ca="1">ROUND($L$36*(1+Q31),3)</f>
        <v>3.5000000000000003E-2</v>
      </c>
      <c r="R36" s="1053"/>
      <c r="S36" s="1053"/>
      <c r="T36" s="1053"/>
      <c r="U36" s="1053"/>
      <c r="V36" s="1053"/>
      <c r="W36" s="1053"/>
      <c r="X36" s="1053"/>
      <c r="Y36" s="1053"/>
      <c r="Z36" s="1054"/>
      <c r="AA36" s="1054"/>
      <c r="AB36" s="1054"/>
      <c r="AC36" s="1054"/>
      <c r="AD36" s="1054"/>
      <c r="AE36" s="1054"/>
      <c r="AF36" s="1054"/>
      <c r="AG36" s="1975"/>
      <c r="AH36" s="1975"/>
      <c r="AI36" s="1975"/>
      <c r="AJ36" s="1975"/>
    </row>
    <row r="37" spans="1:37" ht="24.75" thickBot="1">
      <c r="A37" s="3567"/>
      <c r="B37" s="1950" t="s">
        <v>2035</v>
      </c>
      <c r="C37" s="167">
        <f>ROUND(D5*C22*C23*C24*C28*F37,0)</f>
        <v>9326</v>
      </c>
      <c r="D37" s="1935"/>
      <c r="E37" s="163">
        <f>ROUND(C37*D37/10000,0)</f>
        <v>0</v>
      </c>
      <c r="F37" s="163">
        <f>SUMIF(修正!A57:A68,G2,修正!B57:B68)</f>
        <v>0.6</v>
      </c>
      <c r="G37" s="163">
        <f>ROUND(IF(E2="工业",C37*$M$42,C37*$M$41),0)</f>
        <v>2332</v>
      </c>
      <c r="H37" s="163">
        <f>D37</f>
        <v>0</v>
      </c>
      <c r="I37" s="163">
        <f>ROUND(G37*H37/10000,0)</f>
        <v>0</v>
      </c>
      <c r="J37" s="2750"/>
      <c r="K37" s="3057" t="s">
        <v>3256</v>
      </c>
      <c r="L37" s="1959">
        <f ca="1">L36+K38</f>
        <v>3.4999999999999996E-2</v>
      </c>
      <c r="M37" s="2361">
        <f ca="1">ROUND($L$37*(1+M31),3)</f>
        <v>4.3999999999999997E-2</v>
      </c>
      <c r="N37" s="2361">
        <f t="shared" ref="N37:Q37" ca="1" si="3">ROUND($L$37*(1+N31),3)</f>
        <v>4.2000000000000003E-2</v>
      </c>
      <c r="O37" s="2361">
        <f t="shared" ca="1" si="3"/>
        <v>0.04</v>
      </c>
      <c r="P37" s="2361">
        <f t="shared" ca="1" si="3"/>
        <v>3.9E-2</v>
      </c>
      <c r="Q37" s="2361">
        <f t="shared" ca="1" si="3"/>
        <v>0.04</v>
      </c>
      <c r="R37" s="1053"/>
      <c r="S37" s="1053"/>
      <c r="T37" s="1053"/>
      <c r="U37" s="1053"/>
      <c r="V37" s="1053"/>
      <c r="W37" s="1053"/>
      <c r="X37" s="1053"/>
      <c r="Y37" s="1053"/>
      <c r="Z37" s="1054"/>
      <c r="AA37" s="1054"/>
      <c r="AB37" s="1054"/>
      <c r="AC37" s="1054"/>
      <c r="AD37" s="1054"/>
      <c r="AE37" s="1054"/>
      <c r="AF37" s="1054"/>
      <c r="AG37" s="1975"/>
      <c r="AH37" s="1975"/>
      <c r="AI37" s="1975"/>
      <c r="AJ37" s="1975"/>
    </row>
    <row r="38" spans="1:37">
      <c r="A38" s="3568"/>
      <c r="B38" s="1879" t="s">
        <v>2036</v>
      </c>
      <c r="C38" s="167">
        <f>ROUND(D5*C22*C23*C24*C28*F38,0)</f>
        <v>4663</v>
      </c>
      <c r="D38" s="1935"/>
      <c r="E38" s="163">
        <f t="shared" ref="E38:E42" si="4">ROUND(C38*D38/10000,0)</f>
        <v>0</v>
      </c>
      <c r="F38" s="163">
        <f>SUMIF(修正!A57:A68,G2,修正!C57:C68)</f>
        <v>0.3</v>
      </c>
      <c r="G38" s="163">
        <f>ROUND(IF(E2="工业",C38*$M$42,C38*$M$41),0)</f>
        <v>1166</v>
      </c>
      <c r="H38" s="163">
        <f t="shared" ref="H38:H42" si="5">D38</f>
        <v>0</v>
      </c>
      <c r="I38" s="163">
        <f t="shared" ref="I38:I42" si="6">ROUND(G38*H38/10000,0)</f>
        <v>0</v>
      </c>
      <c r="J38" s="2749"/>
      <c r="K38" s="1959">
        <v>5.0000000000000001E-3</v>
      </c>
      <c r="L38" s="1959"/>
      <c r="M38" s="1959"/>
      <c r="N38" s="1959"/>
      <c r="O38" s="1959"/>
      <c r="P38" s="1959"/>
      <c r="Q38" s="1959"/>
      <c r="R38" s="1053"/>
      <c r="S38" s="1053"/>
      <c r="T38" s="1053"/>
      <c r="U38" s="1053"/>
      <c r="V38" s="1053"/>
      <c r="W38" s="1053"/>
      <c r="X38" s="1053"/>
      <c r="Y38" s="1053"/>
      <c r="Z38" s="1054"/>
      <c r="AA38" s="1054"/>
      <c r="AB38" s="1054"/>
      <c r="AC38" s="1054"/>
      <c r="AD38" s="1054"/>
    </row>
    <row r="39" spans="1:37" ht="13.5" thickBot="1">
      <c r="A39" s="3568"/>
      <c r="B39" s="1879" t="s">
        <v>3249</v>
      </c>
      <c r="C39" s="167">
        <f>ROUND(D5*C22*C23*C24*C28*F39,0)</f>
        <v>3886</v>
      </c>
      <c r="D39" s="1935"/>
      <c r="E39" s="163">
        <f t="shared" si="4"/>
        <v>0</v>
      </c>
      <c r="F39" s="163">
        <f>SUMIF(修正!A57:A68,G2,修正!D57:D68)</f>
        <v>0.25</v>
      </c>
      <c r="G39" s="163">
        <f>ROUND(IF(E2="工业",C39*$M$42,C39*$M$41),0)</f>
        <v>972</v>
      </c>
      <c r="H39" s="163">
        <f t="shared" si="5"/>
        <v>0</v>
      </c>
      <c r="I39" s="163">
        <f t="shared" si="6"/>
        <v>0</v>
      </c>
      <c r="J39" s="2749"/>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1"/>
      <c r="B40" s="1879" t="s">
        <v>2037</v>
      </c>
      <c r="C40" s="163">
        <f>ROUND(D5*C22*C23*C24*C28*F40,0)</f>
        <v>3886</v>
      </c>
      <c r="D40" s="1935"/>
      <c r="E40" s="163">
        <f t="shared" si="4"/>
        <v>0</v>
      </c>
      <c r="F40" s="167">
        <f>SUMIF(修正!A57:A68,G2,修正!E57:E68)</f>
        <v>0.25</v>
      </c>
      <c r="G40" s="163">
        <f>ROUND(IF(E2="工业",C40*$M$42,C40*$M$41),0)</f>
        <v>972</v>
      </c>
      <c r="H40" s="163">
        <f t="shared" si="5"/>
        <v>0</v>
      </c>
      <c r="I40" s="163">
        <f t="shared" si="6"/>
        <v>0</v>
      </c>
      <c r="J40" s="936"/>
      <c r="L40" s="1952" t="s">
        <v>2038</v>
      </c>
      <c r="M40" s="1953"/>
      <c r="Z40" s="1054"/>
      <c r="AA40" s="1054"/>
      <c r="AB40" s="1054"/>
      <c r="AC40" s="1054"/>
      <c r="AD40" s="1054"/>
      <c r="AE40" s="1054"/>
      <c r="AF40" s="1054"/>
      <c r="AG40" s="1054"/>
      <c r="AH40" s="1054"/>
      <c r="AI40" s="1054"/>
      <c r="AJ40" s="1054"/>
    </row>
    <row r="41" spans="1:37" s="1053" customFormat="1">
      <c r="A41" s="1951"/>
      <c r="B41" s="1879" t="s">
        <v>2039</v>
      </c>
      <c r="C41" s="163">
        <f>ROUND(D5*C22*C23*C44*C28*F41,0)</f>
        <v>0</v>
      </c>
      <c r="D41" s="1935"/>
      <c r="E41" s="163">
        <f t="shared" si="4"/>
        <v>0</v>
      </c>
      <c r="F41" s="167">
        <f>SUMIF(修正!A57:A68,G2,修正!F57:F68)</f>
        <v>0.25</v>
      </c>
      <c r="G41" s="163">
        <f>ROUND(IF(E2="工业",C41*$M$42,C41*$M$41),0)</f>
        <v>0</v>
      </c>
      <c r="H41" s="163">
        <f t="shared" si="5"/>
        <v>0</v>
      </c>
      <c r="I41" s="163">
        <f t="shared" si="6"/>
        <v>0</v>
      </c>
      <c r="J41" s="936"/>
      <c r="L41" s="3058" t="s">
        <v>3257</v>
      </c>
      <c r="M41" s="1954">
        <v>0.25</v>
      </c>
      <c r="Z41" s="1054"/>
      <c r="AA41" s="1054"/>
      <c r="AB41" s="1054"/>
      <c r="AC41" s="1054"/>
      <c r="AD41" s="1054"/>
      <c r="AE41" s="1054"/>
      <c r="AF41" s="1054"/>
      <c r="AG41" s="1054"/>
      <c r="AH41" s="1054"/>
      <c r="AI41" s="1054"/>
      <c r="AJ41" s="1054"/>
    </row>
    <row r="42" spans="1:37" s="1053" customFormat="1" ht="13.5" thickBot="1">
      <c r="A42" s="1938"/>
      <c r="B42" s="1955" t="s">
        <v>2040</v>
      </c>
      <c r="C42" s="179">
        <f>ROUND(D5*C22*C23*C44*C28*F42,0)</f>
        <v>0</v>
      </c>
      <c r="D42" s="1940"/>
      <c r="E42" s="179">
        <f t="shared" si="4"/>
        <v>0</v>
      </c>
      <c r="F42" s="720">
        <f>SUMIF(修正!A57:A68,G2,修正!G57:G68)</f>
        <v>0.15</v>
      </c>
      <c r="G42" s="179">
        <f>ROUND(IF(E2="工业",C42*$M$42,C42*$M$41),0)</f>
        <v>0</v>
      </c>
      <c r="H42" s="179">
        <f t="shared" si="5"/>
        <v>0</v>
      </c>
      <c r="I42" s="179">
        <f t="shared" si="6"/>
        <v>0</v>
      </c>
      <c r="J42" s="1956"/>
      <c r="L42" s="1957" t="s">
        <v>1992</v>
      </c>
      <c r="M42" s="1958">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7" t="s">
        <v>2121</v>
      </c>
      <c r="C44" s="333">
        <f>ROUND(POWER(1+E44,H44-G44)*(POWER(1+E44,G44)-1)/(POWER(1+E44,H44)-1),4)</f>
        <v>0</v>
      </c>
      <c r="D44" s="163" t="s">
        <v>1998</v>
      </c>
      <c r="E44" s="1986">
        <f>G24</f>
        <v>0.05</v>
      </c>
      <c r="F44" s="163" t="s">
        <v>2007</v>
      </c>
      <c r="G44" s="175"/>
      <c r="H44" s="163">
        <v>50</v>
      </c>
      <c r="Z44" s="1054"/>
      <c r="AA44" s="1054"/>
      <c r="AB44" s="1054"/>
      <c r="AC44" s="1054"/>
      <c r="AD44" s="1054"/>
      <c r="AE44" s="1054"/>
      <c r="AF44" s="1054"/>
      <c r="AG44" s="1054"/>
      <c r="AH44" s="1054"/>
      <c r="AI44" s="1054"/>
      <c r="AJ44" s="1054"/>
    </row>
    <row r="45" spans="1:37" s="1053" customFormat="1">
      <c r="A45" s="1054"/>
      <c r="B45" s="1959"/>
      <c r="Z45" s="1054"/>
      <c r="AA45" s="1054"/>
      <c r="AB45" s="1054"/>
      <c r="AC45" s="1054"/>
      <c r="AD45" s="1054"/>
      <c r="AE45" s="1054"/>
      <c r="AF45" s="1054"/>
      <c r="AG45" s="1054"/>
      <c r="AH45" s="1054"/>
      <c r="AI45" s="1054"/>
      <c r="AJ45" s="1054"/>
    </row>
    <row r="46" spans="1:37" s="1053" customFormat="1">
      <c r="A46" s="1054"/>
      <c r="B46" s="1959"/>
      <c r="AA46" s="1054"/>
      <c r="AB46" s="1054"/>
      <c r="AC46" s="1054"/>
      <c r="AD46" s="1054"/>
      <c r="AE46" s="1054"/>
      <c r="AF46" s="1054"/>
      <c r="AG46" s="1054"/>
      <c r="AH46" s="1054"/>
      <c r="AI46" s="1054"/>
      <c r="AJ46" s="1054"/>
      <c r="AK46" s="1054"/>
    </row>
    <row r="47" spans="1:37" s="1053" customFormat="1" ht="15.75" thickBot="1">
      <c r="A47" s="1960" t="s">
        <v>2041</v>
      </c>
      <c r="B47" s="1961"/>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2" t="s">
        <v>2042</v>
      </c>
      <c r="B48" s="1963">
        <f>1+E50</f>
        <v>1</v>
      </c>
      <c r="C48" s="1723"/>
      <c r="D48" s="696"/>
      <c r="E48" s="697"/>
      <c r="F48" s="1964"/>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5" t="s">
        <v>2043</v>
      </c>
      <c r="B49" s="1259" t="s">
        <v>2044</v>
      </c>
      <c r="C49" s="1259" t="s">
        <v>2045</v>
      </c>
      <c r="D49" s="1259" t="s">
        <v>2046</v>
      </c>
      <c r="E49" s="698" t="s">
        <v>2047</v>
      </c>
      <c r="F49" s="1966" t="s">
        <v>2048</v>
      </c>
      <c r="G49" s="1259" t="s">
        <v>310</v>
      </c>
      <c r="H49" s="1967" t="s">
        <v>2049</v>
      </c>
      <c r="I49" s="1259" t="s">
        <v>2050</v>
      </c>
      <c r="J49" s="528" t="s">
        <v>1721</v>
      </c>
      <c r="K49" s="528" t="s">
        <v>1722</v>
      </c>
      <c r="L49" s="528" t="s">
        <v>1723</v>
      </c>
      <c r="M49" s="528" t="s">
        <v>1724</v>
      </c>
      <c r="N49" s="528" t="s">
        <v>1725</v>
      </c>
      <c r="AA49" s="1054"/>
      <c r="AB49" s="1054"/>
      <c r="AC49" s="1054"/>
      <c r="AD49" s="1054"/>
      <c r="AE49" s="1054"/>
      <c r="AF49" s="1054"/>
      <c r="AG49" s="1054"/>
      <c r="AH49" s="1054"/>
      <c r="AI49" s="1054"/>
      <c r="AJ49" s="1054"/>
      <c r="AK49" s="1054"/>
    </row>
    <row r="50" spans="1:37" s="1053" customFormat="1" ht="24.75">
      <c r="A50" s="1965" t="s">
        <v>2051</v>
      </c>
      <c r="B50" s="1968">
        <f>估价对象房地状况!C4</f>
        <v>0</v>
      </c>
      <c r="C50" s="1882"/>
      <c r="D50" s="999">
        <f t="shared" ref="D50:D58" si="7">SUMIF($J$49:$N$49,C50,J50:N50)</f>
        <v>0</v>
      </c>
      <c r="E50" s="699">
        <f>ROUND(SUM(D50:D58),4)</f>
        <v>0</v>
      </c>
      <c r="F50" s="1672" t="str">
        <f>IF(E2="商业",SUMIF(L1:L12,G2,N1:N12),"——")</f>
        <v>——</v>
      </c>
      <c r="G50" s="997"/>
      <c r="H50" s="1000" t="str">
        <f t="shared" ref="H50:H58" si="8">IFERROR(ROUNDDOWN($F$50*I50/2,4),"——")</f>
        <v>——</v>
      </c>
      <c r="I50" s="3064">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c r="A51" s="1965" t="s">
        <v>2052</v>
      </c>
      <c r="B51" s="1259">
        <f>估价对象房地状况!C18</f>
        <v>0</v>
      </c>
      <c r="C51" s="1882"/>
      <c r="D51" s="999">
        <f t="shared" si="7"/>
        <v>0</v>
      </c>
      <c r="E51" s="700"/>
      <c r="F51" s="1672"/>
      <c r="G51" s="997"/>
      <c r="H51" s="1000" t="str">
        <f t="shared" si="8"/>
        <v>——</v>
      </c>
      <c r="I51" s="3064">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6" t="s">
        <v>3259</v>
      </c>
      <c r="B52" s="1259">
        <f>估价对象房地状况!C19</f>
        <v>0</v>
      </c>
      <c r="C52" s="1882"/>
      <c r="D52" s="999">
        <f t="shared" si="7"/>
        <v>0</v>
      </c>
      <c r="E52" s="700"/>
      <c r="F52" s="1672"/>
      <c r="G52" s="997"/>
      <c r="H52" s="1000" t="str">
        <f t="shared" si="8"/>
        <v>——</v>
      </c>
      <c r="I52" s="3064">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5" t="s">
        <v>2053</v>
      </c>
      <c r="B53" s="1969" t="s">
        <v>2054</v>
      </c>
      <c r="C53" s="1882"/>
      <c r="D53" s="999">
        <f t="shared" si="7"/>
        <v>0</v>
      </c>
      <c r="E53" s="700"/>
      <c r="F53" s="1672"/>
      <c r="G53" s="997"/>
      <c r="H53" s="1000" t="str">
        <f t="shared" si="8"/>
        <v>——</v>
      </c>
      <c r="I53" s="3064">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5" t="s">
        <v>2055</v>
      </c>
      <c r="B54" s="1259">
        <f>估价对象房地状况!C24</f>
        <v>0</v>
      </c>
      <c r="C54" s="1882"/>
      <c r="D54" s="999">
        <f t="shared" si="7"/>
        <v>0</v>
      </c>
      <c r="E54" s="700"/>
      <c r="F54" s="1672"/>
      <c r="G54" s="997"/>
      <c r="H54" s="1000" t="str">
        <f t="shared" si="8"/>
        <v>——</v>
      </c>
      <c r="I54" s="3064">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5" t="s">
        <v>2056</v>
      </c>
      <c r="B55" s="1970" t="s">
        <v>2057</v>
      </c>
      <c r="C55" s="1882"/>
      <c r="D55" s="999">
        <f t="shared" si="7"/>
        <v>0</v>
      </c>
      <c r="E55" s="700"/>
      <c r="F55" s="1672"/>
      <c r="G55" s="997"/>
      <c r="H55" s="1000" t="str">
        <f t="shared" si="8"/>
        <v>——</v>
      </c>
      <c r="I55" s="3064">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1" t="s">
        <v>2058</v>
      </c>
      <c r="B56" s="1237">
        <f>估价对象房地状况!C21</f>
        <v>0</v>
      </c>
      <c r="C56" s="1882"/>
      <c r="D56" s="999">
        <f t="shared" si="7"/>
        <v>0</v>
      </c>
      <c r="E56" s="700"/>
      <c r="F56" s="1672"/>
      <c r="G56" s="997"/>
      <c r="H56" s="1000" t="str">
        <f t="shared" si="8"/>
        <v>——</v>
      </c>
      <c r="I56" s="3064">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1" t="s">
        <v>2059</v>
      </c>
      <c r="B57" s="1259">
        <f>估价对象房地状况!C22</f>
        <v>0</v>
      </c>
      <c r="C57" s="1882"/>
      <c r="D57" s="999">
        <f t="shared" si="7"/>
        <v>0</v>
      </c>
      <c r="E57" s="700"/>
      <c r="F57" s="1672"/>
      <c r="G57" s="997"/>
      <c r="H57" s="1000" t="str">
        <f t="shared" si="8"/>
        <v>——</v>
      </c>
      <c r="I57" s="3064">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thickBot="1">
      <c r="A58" s="1972" t="s">
        <v>2060</v>
      </c>
      <c r="B58" s="1973">
        <f>估价对象房地状况!C20</f>
        <v>0</v>
      </c>
      <c r="C58" s="1882"/>
      <c r="D58" s="999">
        <f t="shared" si="7"/>
        <v>0</v>
      </c>
      <c r="E58" s="701"/>
      <c r="F58" s="1672"/>
      <c r="G58" s="997"/>
      <c r="H58" s="1000" t="str">
        <f t="shared" si="8"/>
        <v>——</v>
      </c>
      <c r="I58" s="3065">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2" t="s">
        <v>2061</v>
      </c>
      <c r="B59" s="1963">
        <f>1+E61</f>
        <v>1</v>
      </c>
      <c r="C59" s="696"/>
      <c r="D59" s="696"/>
      <c r="E59" s="697"/>
      <c r="F59" s="1964"/>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5" t="s">
        <v>2043</v>
      </c>
      <c r="B60" s="1259"/>
      <c r="C60" s="1259" t="s">
        <v>2045</v>
      </c>
      <c r="D60" s="1259" t="s">
        <v>2046</v>
      </c>
      <c r="E60" s="698" t="s">
        <v>2047</v>
      </c>
      <c r="F60" s="1966" t="s">
        <v>2062</v>
      </c>
      <c r="G60" s="1259" t="s">
        <v>310</v>
      </c>
      <c r="H60" s="1967" t="s">
        <v>2049</v>
      </c>
      <c r="I60" s="1259" t="s">
        <v>2050</v>
      </c>
      <c r="J60" s="528" t="s">
        <v>1721</v>
      </c>
      <c r="K60" s="528" t="s">
        <v>1722</v>
      </c>
      <c r="L60" s="528" t="s">
        <v>1723</v>
      </c>
      <c r="M60" s="528" t="s">
        <v>1724</v>
      </c>
      <c r="N60" s="528" t="s">
        <v>1725</v>
      </c>
      <c r="AA60" s="1054"/>
      <c r="AB60" s="1054"/>
      <c r="AC60" s="1054"/>
      <c r="AD60" s="1054"/>
      <c r="AE60" s="1054"/>
      <c r="AF60" s="1054"/>
      <c r="AG60" s="1054"/>
      <c r="AH60" s="1054"/>
      <c r="AI60" s="1054"/>
      <c r="AJ60" s="1054"/>
      <c r="AK60" s="1054"/>
    </row>
    <row r="61" spans="1:37" s="1053" customFormat="1" ht="24">
      <c r="A61" s="1965" t="s">
        <v>2063</v>
      </c>
      <c r="B61" s="1968">
        <f>估价对象房地状况!C17</f>
        <v>0</v>
      </c>
      <c r="C61" s="1882"/>
      <c r="D61" s="999">
        <f t="shared" ref="D61:D69" si="12">SUMIF($J$60:$N$60,C61,J61:N61)</f>
        <v>0</v>
      </c>
      <c r="E61" s="699">
        <f>ROUND(SUM(D61:D69),4)</f>
        <v>0</v>
      </c>
      <c r="F61" s="1672" t="str">
        <f>IF(E2="办公",SUMIF(L1:L12,G2,N1:N12),"——")</f>
        <v>——</v>
      </c>
      <c r="G61" s="997"/>
      <c r="H61" s="1000" t="str">
        <f t="shared" ref="H61:H69" si="13">IFERROR(ROUNDDOWN($F$61*I61/2,4),"——")</f>
        <v>——</v>
      </c>
      <c r="I61" s="3064">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14.25">
      <c r="A62" s="1965" t="s">
        <v>2052</v>
      </c>
      <c r="B62" s="1259">
        <f>估价对象房地状况!C18</f>
        <v>0</v>
      </c>
      <c r="C62" s="1882"/>
      <c r="D62" s="999">
        <f t="shared" si="12"/>
        <v>0</v>
      </c>
      <c r="E62" s="700"/>
      <c r="F62" s="1672"/>
      <c r="G62" s="997"/>
      <c r="H62" s="1000" t="str">
        <f t="shared" si="13"/>
        <v>——</v>
      </c>
      <c r="I62" s="3064">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6" t="s">
        <v>3259</v>
      </c>
      <c r="B63" s="1259">
        <f>估价对象房地状况!C19</f>
        <v>0</v>
      </c>
      <c r="C63" s="1882"/>
      <c r="D63" s="999">
        <f t="shared" si="12"/>
        <v>0</v>
      </c>
      <c r="E63" s="700"/>
      <c r="F63" s="1672"/>
      <c r="G63" s="997"/>
      <c r="H63" s="1000" t="str">
        <f t="shared" si="13"/>
        <v>——</v>
      </c>
      <c r="I63" s="3064">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5" t="s">
        <v>2053</v>
      </c>
      <c r="B64" s="1969" t="s">
        <v>2054</v>
      </c>
      <c r="C64" s="1882"/>
      <c r="D64" s="999">
        <f t="shared" si="12"/>
        <v>0</v>
      </c>
      <c r="E64" s="700"/>
      <c r="F64" s="1672"/>
      <c r="G64" s="997"/>
      <c r="H64" s="1000" t="str">
        <f t="shared" si="13"/>
        <v>——</v>
      </c>
      <c r="I64" s="3064">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5" t="s">
        <v>2055</v>
      </c>
      <c r="B65" s="1259">
        <f>估价对象房地状况!C24</f>
        <v>0</v>
      </c>
      <c r="C65" s="1882"/>
      <c r="D65" s="999">
        <f t="shared" si="12"/>
        <v>0</v>
      </c>
      <c r="E65" s="700"/>
      <c r="F65" s="1672"/>
      <c r="G65" s="997"/>
      <c r="H65" s="1000" t="str">
        <f t="shared" si="13"/>
        <v>——</v>
      </c>
      <c r="I65" s="3064">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5" t="s">
        <v>2056</v>
      </c>
      <c r="B66" s="1970" t="s">
        <v>2057</v>
      </c>
      <c r="C66" s="1882"/>
      <c r="D66" s="999">
        <f t="shared" si="12"/>
        <v>0</v>
      </c>
      <c r="E66" s="700"/>
      <c r="F66" s="1672"/>
      <c r="G66" s="997"/>
      <c r="H66" s="1000" t="str">
        <f t="shared" si="13"/>
        <v>——</v>
      </c>
      <c r="I66" s="3064">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4">
      <c r="A67" s="1965" t="s">
        <v>2058</v>
      </c>
      <c r="B67" s="1237">
        <f>估价对象房地状况!C21</f>
        <v>0</v>
      </c>
      <c r="C67" s="1882"/>
      <c r="D67" s="999">
        <f t="shared" si="12"/>
        <v>0</v>
      </c>
      <c r="E67" s="700"/>
      <c r="F67" s="1672"/>
      <c r="G67" s="997"/>
      <c r="H67" s="1000" t="str">
        <f t="shared" si="13"/>
        <v>——</v>
      </c>
      <c r="I67" s="3064">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4">
      <c r="A68" s="1965" t="s">
        <v>2059</v>
      </c>
      <c r="B68" s="1237">
        <f>估价对象房地状况!C22</f>
        <v>0</v>
      </c>
      <c r="C68" s="1882"/>
      <c r="D68" s="999">
        <f t="shared" si="12"/>
        <v>0</v>
      </c>
      <c r="E68" s="700"/>
      <c r="F68" s="1672"/>
      <c r="G68" s="997"/>
      <c r="H68" s="1000" t="str">
        <f t="shared" si="13"/>
        <v>——</v>
      </c>
      <c r="I68" s="3064">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4.75" thickBot="1">
      <c r="A69" s="1972" t="s">
        <v>2060</v>
      </c>
      <c r="B69" s="1974">
        <f>估价对象房地状况!C20</f>
        <v>0</v>
      </c>
      <c r="C69" s="1882"/>
      <c r="D69" s="999">
        <f t="shared" si="12"/>
        <v>0</v>
      </c>
      <c r="E69" s="701"/>
      <c r="F69" s="1672"/>
      <c r="G69" s="997"/>
      <c r="H69" s="1000" t="str">
        <f t="shared" si="13"/>
        <v>——</v>
      </c>
      <c r="I69" s="3065">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2" t="s">
        <v>2064</v>
      </c>
      <c r="B70" s="1963">
        <f>1+E72</f>
        <v>1</v>
      </c>
      <c r="C70" s="696"/>
      <c r="D70" s="696"/>
      <c r="E70" s="697"/>
      <c r="F70" s="1964"/>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5" t="s">
        <v>2043</v>
      </c>
      <c r="B71" s="1259"/>
      <c r="C71" s="1259" t="s">
        <v>2045</v>
      </c>
      <c r="D71" s="1259" t="s">
        <v>2046</v>
      </c>
      <c r="E71" s="698" t="s">
        <v>2047</v>
      </c>
      <c r="F71" s="1966" t="s">
        <v>2062</v>
      </c>
      <c r="G71" s="1259" t="s">
        <v>310</v>
      </c>
      <c r="H71" s="1967" t="s">
        <v>2049</v>
      </c>
      <c r="I71" s="1259" t="s">
        <v>2050</v>
      </c>
      <c r="J71" s="528" t="s">
        <v>1721</v>
      </c>
      <c r="K71" s="528" t="s">
        <v>1722</v>
      </c>
      <c r="L71" s="528" t="s">
        <v>1723</v>
      </c>
      <c r="M71" s="528" t="s">
        <v>1724</v>
      </c>
      <c r="N71" s="528" t="s">
        <v>1725</v>
      </c>
      <c r="AA71" s="1054"/>
      <c r="AB71" s="1054"/>
      <c r="AC71" s="1054"/>
      <c r="AD71" s="1054"/>
      <c r="AE71" s="1054"/>
      <c r="AF71" s="1054"/>
      <c r="AG71" s="1054"/>
      <c r="AH71" s="1054"/>
      <c r="AI71" s="1054"/>
      <c r="AJ71" s="1054"/>
      <c r="AK71" s="1054"/>
    </row>
    <row r="72" spans="1:37" s="1053" customFormat="1" ht="24">
      <c r="A72" s="1965" t="s">
        <v>2065</v>
      </c>
      <c r="B72" s="1968">
        <f>估价对象房地状况!C15</f>
        <v>0</v>
      </c>
      <c r="C72" s="1882"/>
      <c r="D72" s="999">
        <f t="shared" ref="D72:D80" si="17">SUMIF($J$71:$N$71,C72,J72:N72)</f>
        <v>0</v>
      </c>
      <c r="E72" s="699">
        <f>ROUND(SUM(D72:D80),4)</f>
        <v>0</v>
      </c>
      <c r="F72" s="1672">
        <f>IF(E2="住宅",SUMIF(L1:L12,G2,N1:N12),"——")</f>
        <v>0.126</v>
      </c>
      <c r="G72" s="997"/>
      <c r="H72" s="1000">
        <f t="shared" ref="H72:H80" si="18">IFERROR(ROUNDDOWN($F$72*I72/2,4),"——")</f>
        <v>1.26E-2</v>
      </c>
      <c r="I72" s="3064">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5" t="s">
        <v>2052</v>
      </c>
      <c r="B73" s="1259">
        <f>估价对象房地状况!C18</f>
        <v>0</v>
      </c>
      <c r="C73" s="1882"/>
      <c r="D73" s="999">
        <f t="shared" si="17"/>
        <v>0</v>
      </c>
      <c r="E73" s="702"/>
      <c r="F73" s="1672"/>
      <c r="G73" s="997"/>
      <c r="H73" s="1000">
        <f t="shared" si="18"/>
        <v>1.6299999999999999E-2</v>
      </c>
      <c r="I73" s="3064">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39" customFormat="1" ht="36">
      <c r="A74" s="3066" t="s">
        <v>3259</v>
      </c>
      <c r="B74" s="1259">
        <f>估价对象房地状况!C19</f>
        <v>0</v>
      </c>
      <c r="C74" s="1882"/>
      <c r="D74" s="999">
        <f t="shared" si="17"/>
        <v>0</v>
      </c>
      <c r="E74" s="702"/>
      <c r="F74" s="1672"/>
      <c r="G74" s="997"/>
      <c r="H74" s="1000">
        <f t="shared" si="18"/>
        <v>6.3E-3</v>
      </c>
      <c r="I74" s="3064">
        <v>0.1</v>
      </c>
      <c r="J74" s="998">
        <f t="shared" si="19"/>
        <v>0</v>
      </c>
      <c r="K74" s="998">
        <f t="shared" si="20"/>
        <v>0</v>
      </c>
      <c r="L74" s="998">
        <v>0</v>
      </c>
      <c r="M74" s="998">
        <f t="shared" si="21"/>
        <v>0</v>
      </c>
      <c r="N74" s="998">
        <f t="shared" si="21"/>
        <v>0</v>
      </c>
      <c r="O74" s="1053"/>
      <c r="P74" s="1053"/>
      <c r="Q74" s="1053"/>
      <c r="AA74" s="1975"/>
      <c r="AB74" s="1054"/>
      <c r="AC74" s="1054"/>
      <c r="AD74" s="1054"/>
      <c r="AE74" s="1054"/>
      <c r="AF74" s="1054"/>
      <c r="AG74" s="1054"/>
      <c r="AH74" s="1975"/>
      <c r="AI74" s="1975"/>
      <c r="AJ74" s="1975"/>
      <c r="AK74" s="1975"/>
    </row>
    <row r="75" spans="1:37" ht="14.25">
      <c r="A75" s="1965" t="s">
        <v>2066</v>
      </c>
      <c r="B75" s="1259">
        <f>估价对象房地状况!C24</f>
        <v>0</v>
      </c>
      <c r="C75" s="1882"/>
      <c r="D75" s="999">
        <f t="shared" si="17"/>
        <v>0</v>
      </c>
      <c r="E75" s="702"/>
      <c r="F75" s="1672"/>
      <c r="G75" s="997"/>
      <c r="H75" s="1000">
        <f t="shared" si="18"/>
        <v>3.0999999999999999E-3</v>
      </c>
      <c r="I75" s="3064">
        <v>0.05</v>
      </c>
      <c r="J75" s="998">
        <f t="shared" si="19"/>
        <v>0</v>
      </c>
      <c r="K75" s="998">
        <f t="shared" si="20"/>
        <v>0</v>
      </c>
      <c r="L75" s="998">
        <v>0</v>
      </c>
      <c r="M75" s="998">
        <f t="shared" si="21"/>
        <v>0</v>
      </c>
      <c r="N75" s="998">
        <f t="shared" si="21"/>
        <v>0</v>
      </c>
      <c r="O75" s="1053"/>
      <c r="P75" s="1053"/>
      <c r="Q75" s="1839"/>
      <c r="Z75" s="1840"/>
      <c r="AA75" s="1890"/>
      <c r="AG75" s="1055"/>
      <c r="AK75" s="1890"/>
    </row>
    <row r="76" spans="1:37" ht="24">
      <c r="A76" s="1965" t="s">
        <v>2058</v>
      </c>
      <c r="B76" s="1237">
        <f>估价对象房地状况!C21</f>
        <v>0</v>
      </c>
      <c r="C76" s="1882"/>
      <c r="D76" s="999">
        <f t="shared" si="17"/>
        <v>0</v>
      </c>
      <c r="E76" s="702"/>
      <c r="F76" s="1672"/>
      <c r="G76" s="997"/>
      <c r="H76" s="1000">
        <f t="shared" si="18"/>
        <v>5.0000000000000001E-3</v>
      </c>
      <c r="I76" s="3064">
        <v>0.08</v>
      </c>
      <c r="J76" s="998">
        <f t="shared" si="19"/>
        <v>0</v>
      </c>
      <c r="K76" s="998">
        <f t="shared" si="20"/>
        <v>0</v>
      </c>
      <c r="L76" s="998">
        <v>0</v>
      </c>
      <c r="M76" s="998">
        <f t="shared" si="21"/>
        <v>0</v>
      </c>
      <c r="N76" s="998">
        <f t="shared" si="21"/>
        <v>0</v>
      </c>
      <c r="O76" s="1053"/>
      <c r="P76" s="1053"/>
      <c r="Z76" s="1840"/>
      <c r="AA76" s="1890"/>
      <c r="AG76" s="1055"/>
      <c r="AK76" s="1890"/>
    </row>
    <row r="77" spans="1:37" ht="24">
      <c r="A77" s="1965" t="s">
        <v>2059</v>
      </c>
      <c r="B77" s="1237">
        <f>估价对象房地状况!C22</f>
        <v>0</v>
      </c>
      <c r="C77" s="1882"/>
      <c r="D77" s="999">
        <f t="shared" si="17"/>
        <v>0</v>
      </c>
      <c r="E77" s="702"/>
      <c r="F77" s="1672"/>
      <c r="G77" s="997"/>
      <c r="H77" s="1000">
        <f t="shared" si="18"/>
        <v>5.5999999999999999E-3</v>
      </c>
      <c r="I77" s="3064">
        <v>0.09</v>
      </c>
      <c r="J77" s="998">
        <f t="shared" si="19"/>
        <v>0</v>
      </c>
      <c r="K77" s="998">
        <f t="shared" si="20"/>
        <v>0</v>
      </c>
      <c r="L77" s="998">
        <v>0</v>
      </c>
      <c r="M77" s="998">
        <f t="shared" si="21"/>
        <v>0</v>
      </c>
      <c r="N77" s="998">
        <f t="shared" si="21"/>
        <v>0</v>
      </c>
      <c r="O77" s="1053"/>
      <c r="P77" s="1053"/>
      <c r="Z77" s="1840"/>
      <c r="AA77" s="1890"/>
      <c r="AG77" s="1055"/>
      <c r="AK77" s="1890"/>
    </row>
    <row r="78" spans="1:37" ht="24">
      <c r="A78" s="1965" t="s">
        <v>2056</v>
      </c>
      <c r="B78" s="1970" t="s">
        <v>2057</v>
      </c>
      <c r="C78" s="1882"/>
      <c r="D78" s="999">
        <f t="shared" si="17"/>
        <v>0</v>
      </c>
      <c r="E78" s="702"/>
      <c r="F78" s="1672"/>
      <c r="G78" s="997"/>
      <c r="H78" s="1000">
        <f t="shared" si="18"/>
        <v>3.0999999999999999E-3</v>
      </c>
      <c r="I78" s="3064">
        <v>0.05</v>
      </c>
      <c r="J78" s="998">
        <f t="shared" si="19"/>
        <v>0</v>
      </c>
      <c r="K78" s="998">
        <f t="shared" si="20"/>
        <v>0</v>
      </c>
      <c r="L78" s="998">
        <v>0</v>
      </c>
      <c r="M78" s="998">
        <f t="shared" si="21"/>
        <v>0</v>
      </c>
      <c r="N78" s="998">
        <f t="shared" si="21"/>
        <v>0</v>
      </c>
      <c r="O78" s="1839"/>
      <c r="P78" s="1839"/>
      <c r="Z78" s="1840"/>
      <c r="AA78" s="1890"/>
      <c r="AG78" s="1055"/>
      <c r="AK78" s="1890"/>
    </row>
    <row r="79" spans="1:37" ht="24">
      <c r="A79" s="1965" t="s">
        <v>2060</v>
      </c>
      <c r="B79" s="1968">
        <f>估价对象房地状况!C20</f>
        <v>0</v>
      </c>
      <c r="C79" s="1882"/>
      <c r="D79" s="999">
        <f t="shared" si="17"/>
        <v>0</v>
      </c>
      <c r="E79" s="702"/>
      <c r="F79" s="1672"/>
      <c r="G79" s="997"/>
      <c r="H79" s="1000">
        <f t="shared" si="18"/>
        <v>7.4999999999999997E-3</v>
      </c>
      <c r="I79" s="3064">
        <v>0.12</v>
      </c>
      <c r="J79" s="998">
        <f t="shared" si="19"/>
        <v>0</v>
      </c>
      <c r="K79" s="998">
        <f t="shared" si="20"/>
        <v>0</v>
      </c>
      <c r="L79" s="998">
        <v>0</v>
      </c>
      <c r="M79" s="998">
        <f t="shared" si="21"/>
        <v>0</v>
      </c>
      <c r="N79" s="998">
        <f t="shared" si="21"/>
        <v>0</v>
      </c>
      <c r="Z79" s="1840"/>
      <c r="AA79" s="1890"/>
      <c r="AG79" s="1055"/>
      <c r="AK79" s="1890"/>
    </row>
    <row r="80" spans="1:37" ht="24.75" thickBot="1">
      <c r="A80" s="1972" t="s">
        <v>2067</v>
      </c>
      <c r="B80" s="1976"/>
      <c r="C80" s="1882"/>
      <c r="D80" s="999">
        <f t="shared" si="17"/>
        <v>0</v>
      </c>
      <c r="E80" s="703"/>
      <c r="F80" s="1672"/>
      <c r="G80" s="997"/>
      <c r="H80" s="1000">
        <f t="shared" si="18"/>
        <v>3.0999999999999999E-3</v>
      </c>
      <c r="I80" s="3065">
        <v>0.05</v>
      </c>
      <c r="J80" s="998">
        <f t="shared" si="19"/>
        <v>0</v>
      </c>
      <c r="K80" s="998">
        <f t="shared" si="20"/>
        <v>0</v>
      </c>
      <c r="L80" s="998">
        <v>0</v>
      </c>
      <c r="M80" s="998">
        <f t="shared" si="21"/>
        <v>0</v>
      </c>
      <c r="N80" s="998">
        <f t="shared" si="21"/>
        <v>0</v>
      </c>
      <c r="Z80" s="1840"/>
      <c r="AA80" s="1890"/>
      <c r="AG80" s="1055"/>
      <c r="AK80" s="1890"/>
    </row>
    <row r="81" spans="1:37" ht="15">
      <c r="A81" s="1962" t="s">
        <v>2068</v>
      </c>
      <c r="B81" s="1963">
        <f>1+E83</f>
        <v>1</v>
      </c>
      <c r="C81" s="696"/>
      <c r="D81" s="696"/>
      <c r="E81" s="697"/>
      <c r="F81" s="1964"/>
      <c r="G81" s="3"/>
      <c r="H81" s="3"/>
      <c r="I81" s="3"/>
      <c r="J81" s="4"/>
      <c r="K81" s="4"/>
      <c r="L81" s="4"/>
      <c r="M81" s="4"/>
      <c r="N81" s="4"/>
      <c r="Z81" s="1840"/>
      <c r="AA81" s="1890"/>
      <c r="AG81" s="1055"/>
      <c r="AK81" s="1890"/>
    </row>
    <row r="82" spans="1:37" ht="24.75">
      <c r="A82" s="1965" t="s">
        <v>2043</v>
      </c>
      <c r="B82" s="1259"/>
      <c r="C82" s="1259" t="s">
        <v>2045</v>
      </c>
      <c r="D82" s="1259" t="s">
        <v>2046</v>
      </c>
      <c r="E82" s="698" t="s">
        <v>2047</v>
      </c>
      <c r="F82" s="1966" t="s">
        <v>2062</v>
      </c>
      <c r="G82" s="1259" t="s">
        <v>310</v>
      </c>
      <c r="H82" s="1967" t="s">
        <v>2049</v>
      </c>
      <c r="I82" s="1259" t="s">
        <v>2050</v>
      </c>
      <c r="J82" s="528" t="s">
        <v>1721</v>
      </c>
      <c r="K82" s="528" t="s">
        <v>1722</v>
      </c>
      <c r="L82" s="528" t="s">
        <v>1723</v>
      </c>
      <c r="M82" s="528" t="s">
        <v>1724</v>
      </c>
      <c r="N82" s="528" t="s">
        <v>1725</v>
      </c>
      <c r="Z82" s="1840"/>
      <c r="AA82" s="1890"/>
      <c r="AG82" s="1055"/>
      <c r="AK82" s="1890"/>
    </row>
    <row r="83" spans="1:37" ht="24">
      <c r="A83" s="1965" t="s">
        <v>2069</v>
      </c>
      <c r="B83" s="1259">
        <f>估价对象房地状况!G15</f>
        <v>0</v>
      </c>
      <c r="C83" s="1882"/>
      <c r="D83" s="999">
        <f t="shared" ref="D83:D90" si="22">SUMIF($J$82:$N$82,C83,J83:N83)</f>
        <v>0</v>
      </c>
      <c r="E83" s="699">
        <f>ROUND(SUM(D83:D90),4)</f>
        <v>0</v>
      </c>
      <c r="F83" s="1672" t="str">
        <f>IF(E2="工业",SUMIF(L1:L12,G2,N1:N12),"——")</f>
        <v>——</v>
      </c>
      <c r="G83" s="997"/>
      <c r="H83" s="1000" t="str">
        <f t="shared" ref="H83:H90" si="23">IFERROR(ROUNDDOWN($F$83*I83/2,4),"——")</f>
        <v>——</v>
      </c>
      <c r="I83" s="3064">
        <v>0.26</v>
      </c>
      <c r="J83" s="998">
        <f t="shared" ref="J83:J90" si="24">K83+$G83</f>
        <v>0</v>
      </c>
      <c r="K83" s="998">
        <f t="shared" ref="K83:K90" si="25">$L83+$G83</f>
        <v>0</v>
      </c>
      <c r="L83" s="998">
        <v>0</v>
      </c>
      <c r="M83" s="998">
        <f t="shared" ref="M83:N90" si="26">L83-$G83</f>
        <v>0</v>
      </c>
      <c r="N83" s="998">
        <f t="shared" si="26"/>
        <v>0</v>
      </c>
      <c r="Z83" s="1840"/>
      <c r="AA83" s="1890"/>
      <c r="AG83" s="1055"/>
      <c r="AK83" s="1890"/>
    </row>
    <row r="84" spans="1:37" ht="14.25">
      <c r="A84" s="1965" t="s">
        <v>2052</v>
      </c>
      <c r="B84" s="1259">
        <f>估价对象房地状况!G16</f>
        <v>0</v>
      </c>
      <c r="C84" s="1882"/>
      <c r="D84" s="999">
        <f t="shared" si="22"/>
        <v>0</v>
      </c>
      <c r="E84" s="702"/>
      <c r="F84" s="1672"/>
      <c r="G84" s="997"/>
      <c r="H84" s="1000" t="str">
        <f t="shared" si="23"/>
        <v>——</v>
      </c>
      <c r="I84" s="3064">
        <v>0.3</v>
      </c>
      <c r="J84" s="998">
        <f t="shared" si="24"/>
        <v>0</v>
      </c>
      <c r="K84" s="998">
        <f t="shared" si="25"/>
        <v>0</v>
      </c>
      <c r="L84" s="998">
        <v>0</v>
      </c>
      <c r="M84" s="998">
        <f t="shared" si="26"/>
        <v>0</v>
      </c>
      <c r="N84" s="998">
        <f t="shared" si="26"/>
        <v>0</v>
      </c>
      <c r="Z84" s="1840"/>
      <c r="AA84" s="1890"/>
      <c r="AG84" s="1055"/>
      <c r="AK84" s="1890"/>
    </row>
    <row r="85" spans="1:37" ht="36">
      <c r="A85" s="3066" t="s">
        <v>3260</v>
      </c>
      <c r="B85" s="1259">
        <f>估价对象房地状况!G17</f>
        <v>0</v>
      </c>
      <c r="C85" s="1882"/>
      <c r="D85" s="999">
        <f t="shared" si="22"/>
        <v>0</v>
      </c>
      <c r="E85" s="702"/>
      <c r="F85" s="1672"/>
      <c r="G85" s="997"/>
      <c r="H85" s="1000" t="str">
        <f t="shared" si="23"/>
        <v>——</v>
      </c>
      <c r="I85" s="3064">
        <v>0.1</v>
      </c>
      <c r="J85" s="998">
        <f t="shared" si="24"/>
        <v>0</v>
      </c>
      <c r="K85" s="998">
        <f t="shared" si="25"/>
        <v>0</v>
      </c>
      <c r="L85" s="998">
        <v>0</v>
      </c>
      <c r="M85" s="998">
        <f t="shared" si="26"/>
        <v>0</v>
      </c>
      <c r="N85" s="998">
        <f t="shared" si="26"/>
        <v>0</v>
      </c>
      <c r="Z85" s="1840"/>
      <c r="AA85" s="1890"/>
      <c r="AG85" s="1055"/>
      <c r="AK85" s="1890"/>
    </row>
    <row r="86" spans="1:37" ht="14.25">
      <c r="A86" s="1965" t="s">
        <v>2066</v>
      </c>
      <c r="B86" s="1259">
        <f>估价对象房地状况!G22</f>
        <v>0</v>
      </c>
      <c r="C86" s="1882"/>
      <c r="D86" s="999">
        <f t="shared" si="22"/>
        <v>0</v>
      </c>
      <c r="E86" s="702"/>
      <c r="F86" s="1672"/>
      <c r="G86" s="997"/>
      <c r="H86" s="1000" t="str">
        <f t="shared" si="23"/>
        <v>——</v>
      </c>
      <c r="I86" s="3064">
        <v>0.05</v>
      </c>
      <c r="J86" s="998">
        <f t="shared" si="24"/>
        <v>0</v>
      </c>
      <c r="K86" s="998">
        <f t="shared" si="25"/>
        <v>0</v>
      </c>
      <c r="L86" s="998">
        <v>0</v>
      </c>
      <c r="M86" s="998">
        <f t="shared" si="26"/>
        <v>0</v>
      </c>
      <c r="N86" s="998">
        <f t="shared" si="26"/>
        <v>0</v>
      </c>
      <c r="Z86" s="1840"/>
      <c r="AA86" s="1890"/>
      <c r="AG86" s="1055"/>
      <c r="AK86" s="1890"/>
    </row>
    <row r="87" spans="1:37" ht="24">
      <c r="A87" s="1965" t="s">
        <v>2058</v>
      </c>
      <c r="B87" s="1237">
        <f>估价对象房地状况!G19</f>
        <v>0</v>
      </c>
      <c r="C87" s="1882"/>
      <c r="D87" s="999">
        <f t="shared" si="22"/>
        <v>0</v>
      </c>
      <c r="E87" s="702"/>
      <c r="F87" s="1672"/>
      <c r="G87" s="997"/>
      <c r="H87" s="1000" t="str">
        <f t="shared" si="23"/>
        <v>——</v>
      </c>
      <c r="I87" s="3064">
        <v>0.06</v>
      </c>
      <c r="J87" s="998">
        <f t="shared" si="24"/>
        <v>0</v>
      </c>
      <c r="K87" s="998">
        <f t="shared" si="25"/>
        <v>0</v>
      </c>
      <c r="L87" s="998">
        <v>0</v>
      </c>
      <c r="M87" s="998">
        <f t="shared" si="26"/>
        <v>0</v>
      </c>
      <c r="N87" s="998">
        <f t="shared" si="26"/>
        <v>0</v>
      </c>
    </row>
    <row r="88" spans="1:37" ht="24">
      <c r="A88" s="1965" t="s">
        <v>2059</v>
      </c>
      <c r="B88" s="1237">
        <f>估价对象房地状况!G20</f>
        <v>0</v>
      </c>
      <c r="C88" s="1882"/>
      <c r="D88" s="999">
        <f t="shared" si="22"/>
        <v>0</v>
      </c>
      <c r="E88" s="702"/>
      <c r="F88" s="1672"/>
      <c r="G88" s="997"/>
      <c r="H88" s="1000" t="str">
        <f t="shared" si="23"/>
        <v>——</v>
      </c>
      <c r="I88" s="3064">
        <v>0.12</v>
      </c>
      <c r="J88" s="998">
        <f t="shared" si="24"/>
        <v>0</v>
      </c>
      <c r="K88" s="998">
        <f t="shared" si="25"/>
        <v>0</v>
      </c>
      <c r="L88" s="998">
        <v>0</v>
      </c>
      <c r="M88" s="998">
        <f t="shared" si="26"/>
        <v>0</v>
      </c>
      <c r="N88" s="998">
        <f t="shared" si="26"/>
        <v>0</v>
      </c>
    </row>
    <row r="89" spans="1:37" ht="24">
      <c r="A89" s="1965" t="s">
        <v>2056</v>
      </c>
      <c r="B89" s="1970" t="s">
        <v>2070</v>
      </c>
      <c r="C89" s="1882"/>
      <c r="D89" s="999">
        <f t="shared" si="22"/>
        <v>0</v>
      </c>
      <c r="E89" s="702"/>
      <c r="F89" s="1672"/>
      <c r="G89" s="997"/>
      <c r="H89" s="1000" t="str">
        <f t="shared" si="23"/>
        <v>——</v>
      </c>
      <c r="I89" s="3064">
        <v>0.06</v>
      </c>
      <c r="J89" s="998">
        <f t="shared" si="24"/>
        <v>0</v>
      </c>
      <c r="K89" s="998">
        <f t="shared" si="25"/>
        <v>0</v>
      </c>
      <c r="L89" s="998">
        <v>0</v>
      </c>
      <c r="M89" s="998">
        <f t="shared" si="26"/>
        <v>0</v>
      </c>
      <c r="N89" s="998">
        <f t="shared" si="26"/>
        <v>0</v>
      </c>
    </row>
    <row r="90" spans="1:37" ht="15" thickBot="1">
      <c r="A90" s="1972" t="s">
        <v>2071</v>
      </c>
      <c r="B90" s="1977">
        <f>估价对象房地状况!G18</f>
        <v>0</v>
      </c>
      <c r="C90" s="1882"/>
      <c r="D90" s="999">
        <f t="shared" si="22"/>
        <v>0</v>
      </c>
      <c r="E90" s="703"/>
      <c r="F90" s="1672"/>
      <c r="G90" s="997"/>
      <c r="H90" s="1000" t="str">
        <f t="shared" si="23"/>
        <v>——</v>
      </c>
      <c r="I90" s="3065">
        <v>0.05</v>
      </c>
      <c r="J90" s="998">
        <f t="shared" si="24"/>
        <v>0</v>
      </c>
      <c r="K90" s="998">
        <f t="shared" si="25"/>
        <v>0</v>
      </c>
      <c r="L90" s="998">
        <v>0</v>
      </c>
      <c r="M90" s="998">
        <f t="shared" si="26"/>
        <v>0</v>
      </c>
      <c r="N90" s="998">
        <f t="shared" si="26"/>
        <v>0</v>
      </c>
    </row>
    <row r="91" spans="1:37" ht="15">
      <c r="A91" s="3074" t="s">
        <v>2602</v>
      </c>
      <c r="B91" s="3075">
        <f>1+E93</f>
        <v>1</v>
      </c>
      <c r="C91" s="3068"/>
      <c r="D91" s="3069"/>
      <c r="E91" s="1672"/>
      <c r="F91" s="1672"/>
      <c r="G91" s="3070"/>
      <c r="H91" s="3071"/>
      <c r="I91" s="3072"/>
      <c r="J91" s="3073"/>
      <c r="K91" s="3073"/>
      <c r="L91" s="3073"/>
      <c r="M91" s="3073"/>
      <c r="N91" s="3073"/>
    </row>
    <row r="92" spans="1:37" ht="24.75">
      <c r="A92" s="3076" t="s">
        <v>3261</v>
      </c>
      <c r="B92" s="2305"/>
      <c r="C92" s="2305" t="s">
        <v>3270</v>
      </c>
      <c r="D92" s="2305" t="s">
        <v>3271</v>
      </c>
      <c r="E92" s="3048" t="s">
        <v>3272</v>
      </c>
      <c r="F92" s="3078" t="s">
        <v>3273</v>
      </c>
      <c r="G92" s="2305" t="s">
        <v>3274</v>
      </c>
      <c r="H92" s="3085" t="s">
        <v>3277</v>
      </c>
      <c r="I92" s="2305" t="s">
        <v>3278</v>
      </c>
      <c r="J92" s="2145" t="s">
        <v>3279</v>
      </c>
      <c r="K92" s="2145" t="s">
        <v>3280</v>
      </c>
      <c r="L92" s="2145" t="s">
        <v>3281</v>
      </c>
      <c r="M92" s="2145" t="s">
        <v>3282</v>
      </c>
      <c r="N92" s="2145" t="s">
        <v>3283</v>
      </c>
    </row>
    <row r="93" spans="1:37" ht="24">
      <c r="A93" s="3066" t="s">
        <v>3262</v>
      </c>
      <c r="B93" s="1218"/>
      <c r="C93" s="1882"/>
      <c r="D93" s="2305">
        <f>SUMIF($J$92:$N$92,C93,J93:N93)</f>
        <v>0</v>
      </c>
      <c r="E93" s="3079">
        <f>ROUND(SUM(D93:D101),4)</f>
        <v>0</v>
      </c>
      <c r="F93" s="1672" t="str">
        <f>IF(E2="公共服务",SUMIF(L1:L12,G2,N1:N12),"——")</f>
        <v>——</v>
      </c>
      <c r="G93" s="3070"/>
      <c r="H93" s="3115" t="str">
        <f>IFERROR(ROUNDDOWN($F$93*I93/2,4),"——")</f>
        <v>——</v>
      </c>
      <c r="I93" s="3064">
        <v>0.25</v>
      </c>
      <c r="J93" s="1907">
        <f t="shared" ref="J93:J101" si="27">K93+$G93</f>
        <v>0</v>
      </c>
      <c r="K93" s="1907">
        <f t="shared" ref="K93:K101" si="28">$L93+$G93</f>
        <v>0</v>
      </c>
      <c r="L93" s="1907">
        <v>0</v>
      </c>
      <c r="M93" s="1907">
        <f t="shared" ref="M93:N101" si="29">L93-$G93</f>
        <v>0</v>
      </c>
      <c r="N93" s="1907">
        <f t="shared" si="29"/>
        <v>0</v>
      </c>
    </row>
    <row r="94" spans="1:37" ht="14.25">
      <c r="A94" s="3076" t="s">
        <v>3263</v>
      </c>
      <c r="B94" s="3067">
        <f>估价对象房地状况!C18</f>
        <v>0</v>
      </c>
      <c r="C94" s="1882"/>
      <c r="D94" s="2305">
        <f t="shared" ref="D94:D101" si="30">SUMIF($J$60:$N$60,C94,J94:N94)</f>
        <v>0</v>
      </c>
      <c r="E94" s="3080"/>
      <c r="F94" s="1672"/>
      <c r="G94" s="3070"/>
      <c r="H94" s="3115" t="str">
        <f>IFERROR(ROUNDDOWN($F$93*I94/2,4),"——")</f>
        <v>——</v>
      </c>
      <c r="I94" s="3064">
        <v>0.26</v>
      </c>
      <c r="J94" s="1907">
        <f t="shared" si="27"/>
        <v>0</v>
      </c>
      <c r="K94" s="1907">
        <f t="shared" si="28"/>
        <v>0</v>
      </c>
      <c r="L94" s="1907">
        <v>0</v>
      </c>
      <c r="M94" s="1907">
        <f t="shared" si="29"/>
        <v>0</v>
      </c>
      <c r="N94" s="1907">
        <f t="shared" si="29"/>
        <v>0</v>
      </c>
    </row>
    <row r="95" spans="1:37" ht="36">
      <c r="A95" s="3066" t="s">
        <v>3259</v>
      </c>
      <c r="B95" s="3067">
        <f>估价对象房地状况!C19</f>
        <v>0</v>
      </c>
      <c r="C95" s="1882"/>
      <c r="D95" s="2305">
        <f t="shared" si="30"/>
        <v>0</v>
      </c>
      <c r="E95" s="3080"/>
      <c r="F95" s="1672"/>
      <c r="G95" s="3070"/>
      <c r="H95" s="3115" t="str">
        <f t="shared" ref="H95:H101" si="31">IFERROR(ROUNDDOWN($F$93*I95/2,4),"——")</f>
        <v>——</v>
      </c>
      <c r="I95" s="3064">
        <v>0.11</v>
      </c>
      <c r="J95" s="1907">
        <f t="shared" si="27"/>
        <v>0</v>
      </c>
      <c r="K95" s="1907">
        <f t="shared" si="28"/>
        <v>0</v>
      </c>
      <c r="L95" s="1907">
        <v>0</v>
      </c>
      <c r="M95" s="1907">
        <f t="shared" si="29"/>
        <v>0</v>
      </c>
      <c r="N95" s="1907">
        <f t="shared" si="29"/>
        <v>0</v>
      </c>
    </row>
    <row r="96" spans="1:37" ht="36.75">
      <c r="A96" s="3076" t="s">
        <v>3264</v>
      </c>
      <c r="B96" s="3082" t="s">
        <v>3275</v>
      </c>
      <c r="C96" s="1882"/>
      <c r="D96" s="2305">
        <f t="shared" si="30"/>
        <v>0</v>
      </c>
      <c r="E96" s="3080"/>
      <c r="F96" s="1672"/>
      <c r="G96" s="3070"/>
      <c r="H96" s="3115" t="str">
        <f t="shared" si="31"/>
        <v>——</v>
      </c>
      <c r="I96" s="3064">
        <v>0.05</v>
      </c>
      <c r="J96" s="1907">
        <f t="shared" si="27"/>
        <v>0</v>
      </c>
      <c r="K96" s="1907">
        <f t="shared" si="28"/>
        <v>0</v>
      </c>
      <c r="L96" s="1907">
        <v>0</v>
      </c>
      <c r="M96" s="1907">
        <f t="shared" si="29"/>
        <v>0</v>
      </c>
      <c r="N96" s="1907">
        <f t="shared" si="29"/>
        <v>0</v>
      </c>
    </row>
    <row r="97" spans="1:14" ht="24">
      <c r="A97" s="3076" t="s">
        <v>3265</v>
      </c>
      <c r="B97" s="3067">
        <f>估价对象房地状况!C24</f>
        <v>0</v>
      </c>
      <c r="C97" s="1882"/>
      <c r="D97" s="2305">
        <f t="shared" si="30"/>
        <v>0</v>
      </c>
      <c r="E97" s="3080"/>
      <c r="F97" s="1672"/>
      <c r="G97" s="3070"/>
      <c r="H97" s="3115" t="str">
        <f t="shared" si="31"/>
        <v>——</v>
      </c>
      <c r="I97" s="3064">
        <v>0.05</v>
      </c>
      <c r="J97" s="1907">
        <f t="shared" si="27"/>
        <v>0</v>
      </c>
      <c r="K97" s="1907">
        <f t="shared" si="28"/>
        <v>0</v>
      </c>
      <c r="L97" s="1907">
        <v>0</v>
      </c>
      <c r="M97" s="1907">
        <f t="shared" si="29"/>
        <v>0</v>
      </c>
      <c r="N97" s="1907">
        <f t="shared" si="29"/>
        <v>0</v>
      </c>
    </row>
    <row r="98" spans="1:14" ht="24">
      <c r="A98" s="3076" t="s">
        <v>3266</v>
      </c>
      <c r="B98" s="3083" t="s">
        <v>3276</v>
      </c>
      <c r="C98" s="1882"/>
      <c r="D98" s="2305">
        <f t="shared" si="30"/>
        <v>0</v>
      </c>
      <c r="E98" s="3080"/>
      <c r="F98" s="1672"/>
      <c r="G98" s="3070"/>
      <c r="H98" s="3115" t="str">
        <f t="shared" si="31"/>
        <v>——</v>
      </c>
      <c r="I98" s="3064">
        <v>0.06</v>
      </c>
      <c r="J98" s="1907">
        <f t="shared" si="27"/>
        <v>0</v>
      </c>
      <c r="K98" s="1907">
        <f t="shared" si="28"/>
        <v>0</v>
      </c>
      <c r="L98" s="1907">
        <v>0</v>
      </c>
      <c r="M98" s="1907">
        <f t="shared" si="29"/>
        <v>0</v>
      </c>
      <c r="N98" s="1907">
        <f t="shared" si="29"/>
        <v>0</v>
      </c>
    </row>
    <row r="99" spans="1:14" ht="24">
      <c r="A99" s="3076" t="s">
        <v>3267</v>
      </c>
      <c r="B99" s="3067">
        <f>估价对象房地状况!C21</f>
        <v>0</v>
      </c>
      <c r="C99" s="1882"/>
      <c r="D99" s="2305">
        <f t="shared" si="30"/>
        <v>0</v>
      </c>
      <c r="E99" s="3080"/>
      <c r="F99" s="1672"/>
      <c r="G99" s="3070"/>
      <c r="H99" s="3115" t="str">
        <f t="shared" si="31"/>
        <v>——</v>
      </c>
      <c r="I99" s="3064">
        <v>0.06</v>
      </c>
      <c r="J99" s="1907">
        <f t="shared" si="27"/>
        <v>0</v>
      </c>
      <c r="K99" s="1907">
        <f t="shared" si="28"/>
        <v>0</v>
      </c>
      <c r="L99" s="1907">
        <v>0</v>
      </c>
      <c r="M99" s="1907">
        <f t="shared" si="29"/>
        <v>0</v>
      </c>
      <c r="N99" s="1907">
        <f t="shared" si="29"/>
        <v>0</v>
      </c>
    </row>
    <row r="100" spans="1:14" ht="24">
      <c r="A100" s="3076" t="s">
        <v>3268</v>
      </c>
      <c r="B100" s="3067">
        <f>估价对象房地状况!C22</f>
        <v>0</v>
      </c>
      <c r="C100" s="1882"/>
      <c r="D100" s="2305">
        <f t="shared" si="30"/>
        <v>0</v>
      </c>
      <c r="E100" s="3080"/>
      <c r="F100" s="1672"/>
      <c r="G100" s="3070"/>
      <c r="H100" s="3115" t="str">
        <f t="shared" si="31"/>
        <v>——</v>
      </c>
      <c r="I100" s="3064">
        <v>0.09</v>
      </c>
      <c r="J100" s="1907">
        <f t="shared" si="27"/>
        <v>0</v>
      </c>
      <c r="K100" s="1907">
        <f t="shared" si="28"/>
        <v>0</v>
      </c>
      <c r="L100" s="1907">
        <v>0</v>
      </c>
      <c r="M100" s="1907">
        <f t="shared" si="29"/>
        <v>0</v>
      </c>
      <c r="N100" s="1907">
        <f t="shared" si="29"/>
        <v>0</v>
      </c>
    </row>
    <row r="101" spans="1:14" ht="24.75" thickBot="1">
      <c r="A101" s="3077" t="s">
        <v>3269</v>
      </c>
      <c r="B101" s="3084">
        <f>估价对象房地状况!C20</f>
        <v>0</v>
      </c>
      <c r="C101" s="1882"/>
      <c r="D101" s="2305">
        <f t="shared" si="30"/>
        <v>0</v>
      </c>
      <c r="E101" s="3081"/>
      <c r="F101" s="1672"/>
      <c r="G101" s="3070"/>
      <c r="H101" s="3115" t="str">
        <f t="shared" si="31"/>
        <v>——</v>
      </c>
      <c r="I101" s="3065">
        <v>7.0000000000000007E-2</v>
      </c>
      <c r="J101" s="1907">
        <f t="shared" si="27"/>
        <v>0</v>
      </c>
      <c r="K101" s="1907">
        <f t="shared" si="28"/>
        <v>0</v>
      </c>
      <c r="L101" s="1907">
        <v>0</v>
      </c>
      <c r="M101" s="1907">
        <f t="shared" si="29"/>
        <v>0</v>
      </c>
      <c r="N101" s="1907">
        <f t="shared" si="29"/>
        <v>0</v>
      </c>
    </row>
    <row r="103" spans="1:14">
      <c r="A103" s="3565" t="s">
        <v>3284</v>
      </c>
      <c r="B103" s="3565"/>
      <c r="C103" s="3565"/>
      <c r="D103" s="3565"/>
      <c r="E103" s="3565"/>
      <c r="F103" s="3565"/>
      <c r="G103" s="3565"/>
      <c r="H103" s="3565"/>
      <c r="I103" s="3565"/>
      <c r="J103" s="3565"/>
      <c r="K103" s="1664"/>
      <c r="L103" s="1664"/>
      <c r="M103" s="1664"/>
      <c r="N103" s="1664"/>
    </row>
    <row r="104" spans="1:14">
      <c r="A104" s="3566" t="s">
        <v>3285</v>
      </c>
      <c r="B104" s="3566" t="s">
        <v>3286</v>
      </c>
      <c r="C104" s="3086" t="s">
        <v>3287</v>
      </c>
      <c r="D104" s="3087"/>
      <c r="E104" s="3087"/>
      <c r="F104" s="3087"/>
      <c r="G104" s="3087"/>
      <c r="H104" s="3087"/>
      <c r="I104" s="3087"/>
      <c r="J104" s="3088"/>
      <c r="K104" s="3089"/>
      <c r="L104" s="3089"/>
      <c r="M104" s="3089"/>
      <c r="N104" s="3089"/>
    </row>
    <row r="105" spans="1:14">
      <c r="A105" s="3566"/>
      <c r="B105" s="3566"/>
      <c r="C105" s="3090" t="s">
        <v>3288</v>
      </c>
      <c r="D105" s="3090" t="s">
        <v>3289</v>
      </c>
      <c r="E105" s="3090" t="s">
        <v>3290</v>
      </c>
      <c r="F105" s="3090" t="s">
        <v>3291</v>
      </c>
      <c r="G105" s="3090" t="s">
        <v>3292</v>
      </c>
      <c r="H105" s="3090" t="s">
        <v>3293</v>
      </c>
      <c r="I105" s="3090" t="s">
        <v>3294</v>
      </c>
      <c r="J105" s="3090" t="s">
        <v>3295</v>
      </c>
      <c r="K105" s="3090" t="s">
        <v>3296</v>
      </c>
      <c r="L105" s="3090" t="s">
        <v>3297</v>
      </c>
      <c r="M105" s="3090" t="s">
        <v>3298</v>
      </c>
      <c r="N105" s="3090" t="s">
        <v>3299</v>
      </c>
    </row>
    <row r="106" spans="1:14">
      <c r="A106" s="3552" t="s">
        <v>3300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553"/>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553"/>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553"/>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553"/>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553"/>
      <c r="B111" s="3090" t="s">
        <v>3258</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554"/>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555" t="s">
        <v>3301</v>
      </c>
      <c r="B113" s="3555"/>
      <c r="C113" s="3555"/>
      <c r="D113" s="3555"/>
      <c r="E113" s="3555"/>
      <c r="F113" s="3555"/>
      <c r="G113" s="3555"/>
      <c r="H113" s="3555"/>
      <c r="I113" s="3555"/>
      <c r="J113" s="3555"/>
      <c r="K113" s="3092"/>
      <c r="L113" s="3092"/>
      <c r="M113" s="3092"/>
      <c r="N113" s="3092"/>
    </row>
    <row r="114" spans="1:14">
      <c r="A114" s="3093"/>
      <c r="B114" s="3093"/>
      <c r="C114" s="3093"/>
      <c r="D114" s="3093"/>
      <c r="E114" s="3093"/>
      <c r="F114" s="3093"/>
      <c r="G114" s="3093"/>
      <c r="H114" s="3093"/>
      <c r="I114" s="3093"/>
      <c r="J114" s="3093"/>
      <c r="K114" s="1959"/>
      <c r="L114" s="3093"/>
      <c r="M114" s="3093"/>
      <c r="N114" s="3093"/>
    </row>
    <row r="115" spans="1:14" ht="13.5" thickBot="1">
      <c r="A115" s="3093"/>
      <c r="B115" s="3093"/>
      <c r="C115" s="3093"/>
      <c r="D115" s="3093"/>
      <c r="E115" s="3093"/>
      <c r="F115" s="3093"/>
      <c r="G115" s="3093"/>
      <c r="H115" s="3093"/>
      <c r="I115" s="3093"/>
      <c r="J115" s="3093"/>
      <c r="K115" s="1959"/>
      <c r="L115" s="3093"/>
      <c r="M115" s="3093"/>
      <c r="N115" s="3093"/>
    </row>
    <row r="116" spans="1:14" ht="25.5" thickBot="1">
      <c r="A116" s="3094" t="s">
        <v>3302</v>
      </c>
      <c r="B116" s="3110">
        <f>G3</f>
        <v>1.05</v>
      </c>
      <c r="C116" s="3095" t="s">
        <v>3303</v>
      </c>
      <c r="D116" s="3096">
        <f>SUMPRODUCT((A118:A122=F116)*(B117:M117=H116)*B118:M122)</f>
        <v>0.92179999999999995</v>
      </c>
      <c r="E116" s="162" t="s">
        <v>3304</v>
      </c>
      <c r="F116" s="3097" t="str">
        <f>E2</f>
        <v>住宅</v>
      </c>
      <c r="G116" s="162" t="s">
        <v>3305</v>
      </c>
      <c r="H116" s="3097" t="str">
        <f>G2</f>
        <v>六级</v>
      </c>
      <c r="I116" s="162"/>
      <c r="J116" s="3098"/>
      <c r="K116" s="3098"/>
      <c r="L116" s="3098"/>
      <c r="M116" s="3098"/>
      <c r="N116" s="3093"/>
    </row>
    <row r="117" spans="1:14">
      <c r="A117" s="3099"/>
      <c r="B117" s="3100" t="s">
        <v>3306</v>
      </c>
      <c r="C117" s="3100" t="s">
        <v>3307</v>
      </c>
      <c r="D117" s="3100" t="s">
        <v>3308</v>
      </c>
      <c r="E117" s="3101" t="s">
        <v>3309</v>
      </c>
      <c r="F117" s="3101" t="s">
        <v>3310</v>
      </c>
      <c r="G117" s="3101" t="s">
        <v>3311</v>
      </c>
      <c r="H117" s="3102" t="s">
        <v>3312</v>
      </c>
      <c r="I117" s="3102" t="s">
        <v>3313</v>
      </c>
      <c r="J117" s="3103" t="s">
        <v>3314</v>
      </c>
      <c r="K117" s="3103" t="s">
        <v>3315</v>
      </c>
      <c r="L117" s="3103" t="s">
        <v>3316</v>
      </c>
      <c r="M117" s="3104" t="s">
        <v>3317</v>
      </c>
      <c r="N117" s="3093"/>
    </row>
    <row r="118" spans="1:14">
      <c r="A118" s="3053" t="s">
        <v>3318</v>
      </c>
      <c r="B118" s="3085">
        <f>ROUND(0.9968-0.011*B116,4)</f>
        <v>0.98529999999999995</v>
      </c>
      <c r="C118" s="3085">
        <f>B118</f>
        <v>0.98529999999999995</v>
      </c>
      <c r="D118" s="3085">
        <f>ROUND(0.949-0.014*B116,4)</f>
        <v>0.93430000000000002</v>
      </c>
      <c r="E118" s="3085">
        <f>D118</f>
        <v>0.93430000000000002</v>
      </c>
      <c r="F118" s="3085">
        <f>E118</f>
        <v>0.93430000000000002</v>
      </c>
      <c r="G118" s="3085">
        <f>F118</f>
        <v>0.93430000000000002</v>
      </c>
      <c r="H118" s="3085">
        <f>G118</f>
        <v>0.93430000000000002</v>
      </c>
      <c r="I118" s="3085">
        <f>ROUND(0.8486-0.018*B116,4)</f>
        <v>0.82969999999999999</v>
      </c>
      <c r="J118" s="3085">
        <f t="shared" ref="J118:M122" si="35">I118</f>
        <v>0.82969999999999999</v>
      </c>
      <c r="K118" s="3085">
        <f t="shared" si="35"/>
        <v>0.82969999999999999</v>
      </c>
      <c r="L118" s="3085">
        <f t="shared" si="35"/>
        <v>0.82969999999999999</v>
      </c>
      <c r="M118" s="3105">
        <f t="shared" si="35"/>
        <v>0.82969999999999999</v>
      </c>
      <c r="N118" s="3093"/>
    </row>
    <row r="119" spans="1:14">
      <c r="A119" s="3053" t="s">
        <v>3319</v>
      </c>
      <c r="B119" s="3085">
        <f>ROUND(0.993-0.0112*B116,4)</f>
        <v>0.98119999999999996</v>
      </c>
      <c r="C119" s="3085">
        <f>B119</f>
        <v>0.98119999999999996</v>
      </c>
      <c r="D119" s="3085">
        <f>ROUND(0.9415-0.0142*B116,4)</f>
        <v>0.92659999999999998</v>
      </c>
      <c r="E119" s="3085">
        <f t="shared" ref="E119:H120" si="36">D119</f>
        <v>0.92659999999999998</v>
      </c>
      <c r="F119" s="3085">
        <f t="shared" si="36"/>
        <v>0.92659999999999998</v>
      </c>
      <c r="G119" s="3085">
        <f t="shared" si="36"/>
        <v>0.92659999999999998</v>
      </c>
      <c r="H119" s="3085">
        <f t="shared" si="36"/>
        <v>0.92659999999999998</v>
      </c>
      <c r="I119" s="3085">
        <f>ROUND(0.838-0.0182*B116,4)</f>
        <v>0.81889999999999996</v>
      </c>
      <c r="J119" s="3085">
        <f t="shared" si="35"/>
        <v>0.81889999999999996</v>
      </c>
      <c r="K119" s="3085">
        <f t="shared" si="35"/>
        <v>0.81889999999999996</v>
      </c>
      <c r="L119" s="3085">
        <f t="shared" si="35"/>
        <v>0.81889999999999996</v>
      </c>
      <c r="M119" s="3105">
        <f t="shared" si="35"/>
        <v>0.81889999999999996</v>
      </c>
      <c r="N119" s="3093"/>
    </row>
    <row r="120" spans="1:14">
      <c r="A120" s="3053" t="s">
        <v>3320</v>
      </c>
      <c r="B120" s="3085">
        <f>ROUND(0.9448-0.0115*B116,4)</f>
        <v>0.93269999999999997</v>
      </c>
      <c r="C120" s="3085">
        <f>B120</f>
        <v>0.93269999999999997</v>
      </c>
      <c r="D120" s="3085">
        <f>ROUND(0.937-0.0145*B116,4)</f>
        <v>0.92179999999999995</v>
      </c>
      <c r="E120" s="3085">
        <f t="shared" si="36"/>
        <v>0.92179999999999995</v>
      </c>
      <c r="F120" s="3085">
        <f t="shared" si="36"/>
        <v>0.92179999999999995</v>
      </c>
      <c r="G120" s="3085">
        <f t="shared" si="36"/>
        <v>0.92179999999999995</v>
      </c>
      <c r="H120" s="3085">
        <f t="shared" si="36"/>
        <v>0.92179999999999995</v>
      </c>
      <c r="I120" s="3085">
        <f>ROUND(0.7965-0.0185*B116,4)</f>
        <v>0.77710000000000001</v>
      </c>
      <c r="J120" s="3085">
        <f t="shared" si="35"/>
        <v>0.77710000000000001</v>
      </c>
      <c r="K120" s="3085">
        <f t="shared" si="35"/>
        <v>0.77710000000000001</v>
      </c>
      <c r="L120" s="3085">
        <f t="shared" si="35"/>
        <v>0.77710000000000001</v>
      </c>
      <c r="M120" s="3105">
        <f t="shared" si="35"/>
        <v>0.77710000000000001</v>
      </c>
      <c r="N120" s="3093"/>
    </row>
    <row r="121" spans="1:14" ht="13.5" thickBot="1">
      <c r="A121" s="3106" t="s">
        <v>3321</v>
      </c>
      <c r="B121" s="3107">
        <f>ROUND(0.7836-0.012*B116,4)</f>
        <v>0.77100000000000002</v>
      </c>
      <c r="C121" s="3107">
        <f>B121</f>
        <v>0.77100000000000002</v>
      </c>
      <c r="D121" s="3107">
        <f>ROUND(0.753-0.015*B116,4)</f>
        <v>0.73729999999999996</v>
      </c>
      <c r="E121" s="3107">
        <f>D121</f>
        <v>0.73729999999999996</v>
      </c>
      <c r="F121" s="3107">
        <f>E121</f>
        <v>0.73729999999999996</v>
      </c>
      <c r="G121" s="3107">
        <f>ROUND(0.6612-0.018*B116,4)</f>
        <v>0.64229999999999998</v>
      </c>
      <c r="H121" s="3107">
        <f>G121</f>
        <v>0.64229999999999998</v>
      </c>
      <c r="I121" s="3107">
        <f>ROUND(0.5905-0.019*B116,4)</f>
        <v>0.5706</v>
      </c>
      <c r="J121" s="3107">
        <f t="shared" si="35"/>
        <v>0.5706</v>
      </c>
      <c r="K121" s="3107">
        <f t="shared" si="35"/>
        <v>0.5706</v>
      </c>
      <c r="L121" s="3107">
        <f t="shared" si="35"/>
        <v>0.5706</v>
      </c>
      <c r="M121" s="3108">
        <f t="shared" si="35"/>
        <v>0.5706</v>
      </c>
      <c r="N121" s="3093"/>
    </row>
    <row r="122" spans="1:14">
      <c r="A122" s="3109" t="s">
        <v>2602</v>
      </c>
      <c r="B122" s="3085">
        <f>ROUND(0.9404-0.0106*B116,4)</f>
        <v>0.92930000000000001</v>
      </c>
      <c r="C122" s="3085">
        <f>B122</f>
        <v>0.92930000000000001</v>
      </c>
      <c r="D122" s="3085">
        <f>ROUND(0.8955-0.0135*B116,4)</f>
        <v>0.88129999999999997</v>
      </c>
      <c r="E122" s="3085">
        <f t="shared" ref="E122:H122" si="37">D122</f>
        <v>0.88129999999999997</v>
      </c>
      <c r="F122" s="3085">
        <f t="shared" si="37"/>
        <v>0.88129999999999997</v>
      </c>
      <c r="G122" s="3085">
        <f t="shared" si="37"/>
        <v>0.88129999999999997</v>
      </c>
      <c r="H122" s="3085">
        <f t="shared" si="37"/>
        <v>0.88129999999999997</v>
      </c>
      <c r="I122" s="3085">
        <f>ROUND(0.7632-0.0166*B116,4)</f>
        <v>0.74580000000000002</v>
      </c>
      <c r="J122" s="3085">
        <f t="shared" si="35"/>
        <v>0.74580000000000002</v>
      </c>
      <c r="K122" s="3085">
        <f t="shared" si="35"/>
        <v>0.74580000000000002</v>
      </c>
      <c r="L122" s="3085">
        <f t="shared" si="35"/>
        <v>0.74580000000000002</v>
      </c>
      <c r="M122" s="3105">
        <f t="shared" si="35"/>
        <v>0.74580000000000002</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3200-000000000000}">
      <formula1>"500米范围内,500-1000米,1000米以外"</formula1>
    </dataValidation>
    <dataValidation type="list" allowBlank="1" showInputMessage="1" showErrorMessage="1" sqref="C15:D15" xr:uid="{00000000-0002-0000-3200-000001000000}">
      <formula1>"有,无"</formula1>
    </dataValidation>
    <dataValidation type="list" allowBlank="1" showInputMessage="1" showErrorMessage="1" sqref="B25" xr:uid="{00000000-0002-0000-3200-000002000000}">
      <formula1>"容积率修正,楼层修正"</formula1>
    </dataValidation>
    <dataValidation type="list" allowBlank="1" showInputMessage="1" showErrorMessage="1" sqref="F21" xr:uid="{00000000-0002-0000-3200-000003000000}">
      <formula1>"与级别开发程度一致,与级别开发程度不一致"</formula1>
    </dataValidation>
    <dataValidation type="list" allowBlank="1" showInputMessage="1" showErrorMessage="1" sqref="E2" xr:uid="{00000000-0002-0000-3200-000004000000}">
      <formula1>"商业,办公,住宅,工业,公共服务"</formula1>
    </dataValidation>
    <dataValidation type="list" allowBlank="1" showInputMessage="1" showErrorMessage="1" sqref="F3" xr:uid="{00000000-0002-0000-3200-000005000000}">
      <formula1>"宗地容积率,估价对象容积率,自定义容积率"</formula1>
    </dataValidation>
    <dataValidation type="list" allowBlank="1" showInputMessage="1" showErrorMessage="1" sqref="C8" xr:uid="{00000000-0002-0000-3200-000006000000}">
      <formula1>商业街名称</formula1>
    </dataValidation>
    <dataValidation type="list" allowBlank="1" showInputMessage="1" showErrorMessage="1" sqref="E3" xr:uid="{00000000-0002-0000-3200-000007000000}">
      <formula1>二级分类</formula1>
    </dataValidation>
    <dataValidation type="list" allowBlank="1" showInputMessage="1" showErrorMessage="1" sqref="C61:C69 C72:C80 C50:C58 C83:C91 C93:C101" xr:uid="{00000000-0002-0000-3200-000008000000}">
      <formula1>五等判定</formula1>
    </dataValidation>
    <dataValidation type="list" allowBlank="1" showInputMessage="1" showErrorMessage="1" sqref="H23" xr:uid="{00000000-0002-0000-3200-000009000000}">
      <formula1>"地价指数,季度增幅（自定义）,按公示增长率计算"</formula1>
    </dataValidation>
    <dataValidation type="list" allowBlank="1" showInputMessage="1" showErrorMessage="1" sqref="H20:O20" xr:uid="{00000000-0002-0000-3200-00000A000000}">
      <formula1>七通一平</formula1>
    </dataValidation>
    <dataValidation type="list" allowBlank="1" showInputMessage="1" showErrorMessage="1" sqref="J23" xr:uid="{00000000-0002-0000-3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2584</v>
      </c>
      <c r="B1" s="2807" t="s">
        <v>2585</v>
      </c>
      <c r="C1" s="2807" t="s">
        <v>2586</v>
      </c>
      <c r="D1" s="2807" t="s">
        <v>2587</v>
      </c>
      <c r="E1" s="2807" t="s">
        <v>2588</v>
      </c>
      <c r="F1" s="2807" t="s">
        <v>2589</v>
      </c>
      <c r="G1" s="2807" t="s">
        <v>2590</v>
      </c>
      <c r="H1" s="2807" t="s">
        <v>2591</v>
      </c>
      <c r="I1" s="2807" t="s">
        <v>2592</v>
      </c>
      <c r="J1" s="2807" t="s">
        <v>2593</v>
      </c>
      <c r="K1" s="2807" t="s">
        <v>2594</v>
      </c>
      <c r="L1" s="2807" t="s">
        <v>2595</v>
      </c>
      <c r="M1" s="2808" t="s">
        <v>2596</v>
      </c>
    </row>
    <row r="2" spans="1:13" ht="19.5" customHeight="1">
      <c r="A2" s="2810" t="s">
        <v>2597</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2598</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2599</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2600</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2601</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2602</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2603</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2604</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2605</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2606</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2607</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2608</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2609</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2610</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2611</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2612</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2613</v>
      </c>
      <c r="B18" s="2832"/>
      <c r="C18" s="2833"/>
      <c r="D18" s="2833"/>
      <c r="E18" s="2832"/>
      <c r="F18" s="2833"/>
      <c r="G18" s="2833"/>
    </row>
    <row r="19" spans="1:13" ht="19.5" customHeight="1" thickBot="1">
      <c r="A19" s="2830" t="s">
        <v>2614</v>
      </c>
      <c r="B19" s="2835" t="s">
        <v>2615</v>
      </c>
      <c r="C19" s="2835" t="s">
        <v>2616</v>
      </c>
      <c r="D19" s="2836"/>
      <c r="E19" s="2830" t="s">
        <v>2617</v>
      </c>
      <c r="F19" s="2837"/>
      <c r="G19" s="2837"/>
    </row>
    <row r="20" spans="1:13" ht="19.5" customHeight="1">
      <c r="A20" s="3578" t="s">
        <v>2597</v>
      </c>
      <c r="B20" s="3571" t="s">
        <v>2618</v>
      </c>
      <c r="C20" s="2838" t="s">
        <v>2429</v>
      </c>
      <c r="D20" s="2839"/>
      <c r="E20" s="2840">
        <v>1</v>
      </c>
      <c r="F20" s="2841" t="s">
        <v>2430</v>
      </c>
      <c r="G20" s="2841"/>
    </row>
    <row r="21" spans="1:13" ht="19.5" customHeight="1">
      <c r="A21" s="3579"/>
      <c r="B21" s="3572"/>
      <c r="C21" s="2842" t="s">
        <v>2431</v>
      </c>
      <c r="D21" s="2843"/>
      <c r="E21" s="2844">
        <v>1</v>
      </c>
      <c r="F21" s="2841" t="s">
        <v>2432</v>
      </c>
      <c r="G21" s="2841"/>
    </row>
    <row r="22" spans="1:13" ht="19.5" customHeight="1">
      <c r="A22" s="3579"/>
      <c r="B22" s="3572"/>
      <c r="C22" s="2842" t="s">
        <v>2433</v>
      </c>
      <c r="D22" s="2843"/>
      <c r="E22" s="2844">
        <v>0.9</v>
      </c>
      <c r="F22" s="2841" t="s">
        <v>2434</v>
      </c>
      <c r="G22" s="2841"/>
    </row>
    <row r="23" spans="1:13" ht="19.5" customHeight="1">
      <c r="A23" s="3579"/>
      <c r="B23" s="3572"/>
      <c r="C23" s="2842" t="s">
        <v>2435</v>
      </c>
      <c r="D23" s="2843"/>
      <c r="E23" s="2844">
        <v>0.9</v>
      </c>
      <c r="F23" s="2841" t="s">
        <v>2436</v>
      </c>
      <c r="G23" s="2841"/>
    </row>
    <row r="24" spans="1:13" ht="19.5" customHeight="1">
      <c r="A24" s="3579"/>
      <c r="B24" s="3572"/>
      <c r="C24" s="2842" t="s">
        <v>2437</v>
      </c>
      <c r="D24" s="2843"/>
      <c r="E24" s="2844">
        <v>0.8</v>
      </c>
      <c r="F24" s="2841" t="s">
        <v>2438</v>
      </c>
      <c r="G24" s="2841"/>
    </row>
    <row r="25" spans="1:13" ht="19.5" customHeight="1" thickBot="1">
      <c r="A25" s="3580"/>
      <c r="B25" s="3573"/>
      <c r="C25" s="2845" t="s">
        <v>2439</v>
      </c>
      <c r="D25" s="2846"/>
      <c r="E25" s="2847">
        <v>0.8</v>
      </c>
      <c r="F25" s="2841" t="s">
        <v>2440</v>
      </c>
      <c r="G25" s="2841"/>
    </row>
    <row r="26" spans="1:13" ht="19.5" customHeight="1" thickBot="1">
      <c r="A26" s="2848" t="s">
        <v>2619</v>
      </c>
      <c r="B26" s="2849" t="s">
        <v>2618</v>
      </c>
      <c r="C26" s="2850" t="s">
        <v>2620</v>
      </c>
      <c r="D26" s="2851"/>
      <c r="E26" s="2852">
        <v>1</v>
      </c>
      <c r="F26" s="2841" t="s">
        <v>2441</v>
      </c>
      <c r="G26" s="2841"/>
    </row>
    <row r="27" spans="1:13" ht="19.5" customHeight="1">
      <c r="A27" s="3574" t="s">
        <v>2621</v>
      </c>
      <c r="B27" s="3571" t="s">
        <v>2602</v>
      </c>
      <c r="C27" s="2838" t="s">
        <v>2442</v>
      </c>
      <c r="D27" s="2839"/>
      <c r="E27" s="2840">
        <v>1</v>
      </c>
      <c r="F27" s="2841" t="s">
        <v>2443</v>
      </c>
      <c r="G27" s="2841"/>
    </row>
    <row r="28" spans="1:13" ht="19.5" customHeight="1">
      <c r="A28" s="3575"/>
      <c r="B28" s="3572"/>
      <c r="C28" s="2842" t="s">
        <v>2444</v>
      </c>
      <c r="D28" s="2843"/>
      <c r="E28" s="2844">
        <v>1</v>
      </c>
      <c r="F28" s="2841" t="s">
        <v>2445</v>
      </c>
      <c r="G28" s="2841"/>
    </row>
    <row r="29" spans="1:13" ht="19.5" customHeight="1">
      <c r="A29" s="3575"/>
      <c r="B29" s="3572"/>
      <c r="C29" s="2842" t="s">
        <v>2446</v>
      </c>
      <c r="D29" s="2843"/>
      <c r="E29" s="2844">
        <v>0.8</v>
      </c>
      <c r="F29" s="2841" t="s">
        <v>2447</v>
      </c>
      <c r="G29" s="2841"/>
    </row>
    <row r="30" spans="1:13" ht="19.5" customHeight="1">
      <c r="A30" s="3575"/>
      <c r="B30" s="3572"/>
      <c r="C30" s="2842" t="s">
        <v>2448</v>
      </c>
      <c r="D30" s="2843"/>
      <c r="E30" s="2844">
        <v>0.8</v>
      </c>
      <c r="F30" s="2841" t="s">
        <v>2449</v>
      </c>
      <c r="G30" s="2841"/>
    </row>
    <row r="31" spans="1:13" ht="19.5" customHeight="1">
      <c r="A31" s="3575"/>
      <c r="B31" s="3572"/>
      <c r="C31" s="2842" t="s">
        <v>2450</v>
      </c>
      <c r="D31" s="2843"/>
      <c r="E31" s="2844">
        <v>0.8</v>
      </c>
      <c r="F31" s="2841" t="s">
        <v>2451</v>
      </c>
      <c r="G31" s="2841"/>
    </row>
    <row r="32" spans="1:13" ht="19.5" customHeight="1">
      <c r="A32" s="3575"/>
      <c r="B32" s="3572"/>
      <c r="C32" s="2842" t="s">
        <v>2452</v>
      </c>
      <c r="D32" s="2843"/>
      <c r="E32" s="2844">
        <v>0.7</v>
      </c>
      <c r="F32" s="2841" t="s">
        <v>2453</v>
      </c>
      <c r="G32" s="2841"/>
    </row>
    <row r="33" spans="1:7" ht="19.5" customHeight="1">
      <c r="A33" s="3575"/>
      <c r="B33" s="3572"/>
      <c r="C33" s="2842" t="s">
        <v>2454</v>
      </c>
      <c r="D33" s="2843"/>
      <c r="E33" s="2844">
        <v>0.8</v>
      </c>
      <c r="F33" s="2841" t="s">
        <v>2455</v>
      </c>
      <c r="G33" s="2841"/>
    </row>
    <row r="34" spans="1:7" ht="19.5" customHeight="1">
      <c r="A34" s="3575"/>
      <c r="B34" s="3572"/>
      <c r="C34" s="2842" t="s">
        <v>2456</v>
      </c>
      <c r="D34" s="2843"/>
      <c r="E34" s="2844">
        <v>0.6</v>
      </c>
      <c r="F34" s="2841" t="s">
        <v>2457</v>
      </c>
      <c r="G34" s="2841"/>
    </row>
    <row r="35" spans="1:7" ht="19.5" customHeight="1">
      <c r="A35" s="3575"/>
      <c r="B35" s="3572"/>
      <c r="C35" s="2842" t="s">
        <v>2458</v>
      </c>
      <c r="D35" s="2843"/>
      <c r="E35" s="2844">
        <v>0.2</v>
      </c>
      <c r="F35" s="2841" t="s">
        <v>2459</v>
      </c>
      <c r="G35" s="2841"/>
    </row>
    <row r="36" spans="1:7" ht="19.5" customHeight="1">
      <c r="A36" s="3575"/>
      <c r="B36" s="3572"/>
      <c r="C36" s="2842" t="s">
        <v>2460</v>
      </c>
      <c r="D36" s="2843"/>
      <c r="E36" s="2844">
        <v>0.2</v>
      </c>
      <c r="F36" s="2841" t="s">
        <v>2461</v>
      </c>
      <c r="G36" s="2841"/>
    </row>
    <row r="37" spans="1:7" ht="19.5" customHeight="1">
      <c r="A37" s="3575"/>
      <c r="B37" s="3577" t="s">
        <v>2622</v>
      </c>
      <c r="C37" s="2842" t="s">
        <v>2462</v>
      </c>
      <c r="D37" s="2843"/>
      <c r="E37" s="2844">
        <v>0.6</v>
      </c>
      <c r="F37" s="2841" t="s">
        <v>2463</v>
      </c>
      <c r="G37" s="2841"/>
    </row>
    <row r="38" spans="1:7" ht="19.5" customHeight="1">
      <c r="A38" s="3575"/>
      <c r="B38" s="3572"/>
      <c r="C38" s="2842" t="s">
        <v>2464</v>
      </c>
      <c r="D38" s="2843"/>
      <c r="E38" s="2844">
        <v>0.6</v>
      </c>
      <c r="F38" s="2841" t="s">
        <v>2465</v>
      </c>
      <c r="G38" s="2841"/>
    </row>
    <row r="39" spans="1:7" ht="19.5" customHeight="1" thickBot="1">
      <c r="A39" s="3576"/>
      <c r="B39" s="3573"/>
      <c r="C39" s="2845" t="s">
        <v>2466</v>
      </c>
      <c r="D39" s="2846"/>
      <c r="E39" s="2847">
        <v>0.6</v>
      </c>
      <c r="F39" s="2841" t="s">
        <v>2467</v>
      </c>
      <c r="G39" s="2841"/>
    </row>
    <row r="40" spans="1:7" ht="19.5" customHeight="1" thickBot="1">
      <c r="A40" s="2848" t="s">
        <v>2599</v>
      </c>
      <c r="B40" s="2849" t="s">
        <v>2599</v>
      </c>
      <c r="C40" s="2850" t="s">
        <v>2623</v>
      </c>
      <c r="D40" s="2851"/>
      <c r="E40" s="2852">
        <v>1</v>
      </c>
      <c r="F40" s="2841" t="s">
        <v>2468</v>
      </c>
      <c r="G40" s="2841"/>
    </row>
    <row r="41" spans="1:7" ht="19.5" customHeight="1">
      <c r="A41" s="3578" t="s">
        <v>2600</v>
      </c>
      <c r="B41" s="3571" t="s">
        <v>2624</v>
      </c>
      <c r="C41" s="2838" t="s">
        <v>2469</v>
      </c>
      <c r="D41" s="2839"/>
      <c r="E41" s="2840">
        <v>1</v>
      </c>
      <c r="F41" s="2841" t="s">
        <v>2470</v>
      </c>
      <c r="G41" s="2841"/>
    </row>
    <row r="42" spans="1:7" ht="19.5" customHeight="1">
      <c r="A42" s="3579"/>
      <c r="B42" s="3572"/>
      <c r="C42" s="2842" t="s">
        <v>2471</v>
      </c>
      <c r="D42" s="2843"/>
      <c r="E42" s="2844">
        <v>1</v>
      </c>
      <c r="F42" s="2841" t="s">
        <v>2472</v>
      </c>
      <c r="G42" s="2841"/>
    </row>
    <row r="43" spans="1:7" ht="19.5" customHeight="1">
      <c r="A43" s="3579"/>
      <c r="B43" s="3581"/>
      <c r="C43" s="2842" t="s">
        <v>2473</v>
      </c>
      <c r="D43" s="2843"/>
      <c r="E43" s="2844">
        <v>1.5</v>
      </c>
      <c r="F43" s="2841" t="s">
        <v>2474</v>
      </c>
      <c r="G43" s="2841"/>
    </row>
    <row r="44" spans="1:7" ht="19.5" customHeight="1">
      <c r="A44" s="3579"/>
      <c r="B44" s="2853" t="s">
        <v>2625</v>
      </c>
      <c r="C44" s="2842" t="s">
        <v>2626</v>
      </c>
      <c r="D44" s="2843"/>
      <c r="E44" s="2844">
        <v>2</v>
      </c>
      <c r="F44" s="2841" t="s">
        <v>2475</v>
      </c>
      <c r="G44" s="2841"/>
    </row>
    <row r="45" spans="1:7" ht="19.5" customHeight="1">
      <c r="A45" s="3579"/>
      <c r="B45" s="3577" t="s">
        <v>2627</v>
      </c>
      <c r="C45" s="2842" t="s">
        <v>2476</v>
      </c>
      <c r="D45" s="2843"/>
      <c r="E45" s="2844">
        <v>1</v>
      </c>
      <c r="F45" s="2841" t="s">
        <v>2477</v>
      </c>
      <c r="G45" s="2841"/>
    </row>
    <row r="46" spans="1:7" ht="19.5" customHeight="1">
      <c r="A46" s="3579"/>
      <c r="B46" s="3572"/>
      <c r="C46" s="2842" t="s">
        <v>2478</v>
      </c>
      <c r="D46" s="2843"/>
      <c r="E46" s="2844">
        <v>1</v>
      </c>
      <c r="F46" s="2841" t="s">
        <v>2479</v>
      </c>
      <c r="G46" s="2841"/>
    </row>
    <row r="47" spans="1:7" ht="19.5" customHeight="1">
      <c r="A47" s="3579"/>
      <c r="B47" s="3572"/>
      <c r="C47" s="2842" t="s">
        <v>2480</v>
      </c>
      <c r="D47" s="2843"/>
      <c r="E47" s="2844">
        <v>1</v>
      </c>
      <c r="F47" s="2841" t="s">
        <v>2481</v>
      </c>
      <c r="G47" s="2841"/>
    </row>
    <row r="48" spans="1:7" ht="19.5" customHeight="1">
      <c r="A48" s="3579"/>
      <c r="B48" s="3572"/>
      <c r="C48" s="2842" t="s">
        <v>2482</v>
      </c>
      <c r="D48" s="2843"/>
      <c r="E48" s="2844">
        <v>1</v>
      </c>
      <c r="F48" s="2841" t="s">
        <v>2483</v>
      </c>
      <c r="G48" s="2841"/>
    </row>
    <row r="49" spans="1:7" ht="19.5" customHeight="1">
      <c r="A49" s="3579"/>
      <c r="B49" s="3572"/>
      <c r="C49" s="2842" t="s">
        <v>2484</v>
      </c>
      <c r="D49" s="2843"/>
      <c r="E49" s="2844">
        <v>1</v>
      </c>
      <c r="F49" s="2841" t="s">
        <v>2485</v>
      </c>
      <c r="G49" s="2841"/>
    </row>
    <row r="50" spans="1:7" ht="19.5" customHeight="1">
      <c r="A50" s="3579"/>
      <c r="B50" s="3572"/>
      <c r="C50" s="2842" t="s">
        <v>2486</v>
      </c>
      <c r="D50" s="2843"/>
      <c r="E50" s="2844">
        <v>1</v>
      </c>
      <c r="F50" s="2841" t="s">
        <v>2487</v>
      </c>
      <c r="G50" s="2841"/>
    </row>
    <row r="51" spans="1:7" ht="19.5" customHeight="1" thickBot="1">
      <c r="A51" s="3580"/>
      <c r="B51" s="3573"/>
      <c r="C51" s="2845" t="s">
        <v>2488</v>
      </c>
      <c r="D51" s="2846"/>
      <c r="E51" s="2847">
        <v>1</v>
      </c>
      <c r="F51" s="2841" t="s">
        <v>2489</v>
      </c>
      <c r="G51" s="2841"/>
    </row>
    <row r="52" spans="1:7" ht="19.5" customHeight="1">
      <c r="A52" s="2854"/>
      <c r="B52" s="2854"/>
      <c r="C52" s="2854"/>
      <c r="D52" s="2854"/>
      <c r="E52" s="2854"/>
      <c r="F52" s="2854"/>
      <c r="G52" s="2854"/>
    </row>
    <row r="54" spans="1:7" ht="19.5" customHeight="1">
      <c r="A54" s="2855"/>
      <c r="B54" s="2827" t="s">
        <v>2628</v>
      </c>
      <c r="C54" s="2827" t="s">
        <v>2628</v>
      </c>
      <c r="D54" s="2827" t="s">
        <v>2628</v>
      </c>
      <c r="E54" s="2830" t="s">
        <v>2628</v>
      </c>
      <c r="F54" s="2830" t="s">
        <v>2629</v>
      </c>
      <c r="G54" s="2830" t="s">
        <v>2630</v>
      </c>
    </row>
    <row r="55" spans="1:7" ht="19.5" customHeight="1">
      <c r="A55" s="2856"/>
      <c r="B55" s="2830" t="s">
        <v>2597</v>
      </c>
      <c r="C55" s="2830" t="s">
        <v>2597</v>
      </c>
      <c r="D55" s="2830" t="s">
        <v>2597</v>
      </c>
      <c r="E55" s="2827" t="s">
        <v>2598</v>
      </c>
      <c r="F55" s="2827" t="s">
        <v>2600</v>
      </c>
      <c r="G55" s="2827" t="s">
        <v>2631</v>
      </c>
    </row>
    <row r="56" spans="1:7" ht="19.5" customHeight="1">
      <c r="A56" s="2857"/>
      <c r="B56" s="2827">
        <v>1</v>
      </c>
      <c r="C56" s="2827">
        <v>2</v>
      </c>
      <c r="D56" s="2827">
        <v>3</v>
      </c>
      <c r="E56" s="2858" t="s">
        <v>2632</v>
      </c>
      <c r="F56" s="2858" t="s">
        <v>2632</v>
      </c>
      <c r="G56" s="2858" t="s">
        <v>2632</v>
      </c>
    </row>
    <row r="57" spans="1:7" ht="19.5" customHeight="1">
      <c r="A57" s="2859" t="s">
        <v>2585</v>
      </c>
      <c r="B57" s="2827">
        <v>0.7</v>
      </c>
      <c r="C57" s="2827">
        <v>0.4</v>
      </c>
      <c r="D57" s="2827">
        <v>0.3</v>
      </c>
      <c r="E57" s="2858">
        <v>0.3</v>
      </c>
      <c r="F57" s="2827">
        <v>0.3</v>
      </c>
      <c r="G57" s="2827">
        <v>0.2</v>
      </c>
    </row>
    <row r="58" spans="1:7" ht="19.5" customHeight="1">
      <c r="A58" s="2859" t="s">
        <v>2586</v>
      </c>
      <c r="B58" s="2827">
        <v>0.7</v>
      </c>
      <c r="C58" s="2827">
        <v>0.4</v>
      </c>
      <c r="D58" s="2827">
        <v>0.3</v>
      </c>
      <c r="E58" s="2827">
        <v>0.3</v>
      </c>
      <c r="F58" s="2827">
        <v>0.3</v>
      </c>
      <c r="G58" s="2827">
        <v>0.2</v>
      </c>
    </row>
    <row r="59" spans="1:7" ht="19.5" customHeight="1">
      <c r="A59" s="2859" t="s">
        <v>2587</v>
      </c>
      <c r="B59" s="2827">
        <v>0.6</v>
      </c>
      <c r="C59" s="2827">
        <v>0.3</v>
      </c>
      <c r="D59" s="2827">
        <v>0.25</v>
      </c>
      <c r="E59" s="2827">
        <v>0.25</v>
      </c>
      <c r="F59" s="2827">
        <v>0.25</v>
      </c>
      <c r="G59" s="2827">
        <v>0.15</v>
      </c>
    </row>
    <row r="60" spans="1:7" ht="19.5" customHeight="1">
      <c r="A60" s="2859" t="s">
        <v>2588</v>
      </c>
      <c r="B60" s="2827">
        <v>0.6</v>
      </c>
      <c r="C60" s="2827">
        <v>0.3</v>
      </c>
      <c r="D60" s="2827">
        <v>0.25</v>
      </c>
      <c r="E60" s="2827">
        <v>0.25</v>
      </c>
      <c r="F60" s="2827">
        <v>0.25</v>
      </c>
      <c r="G60" s="2827">
        <v>0.15</v>
      </c>
    </row>
    <row r="61" spans="1:7" ht="19.5" customHeight="1">
      <c r="A61" s="2859" t="s">
        <v>2589</v>
      </c>
      <c r="B61" s="2827">
        <v>0.6</v>
      </c>
      <c r="C61" s="2827">
        <v>0.3</v>
      </c>
      <c r="D61" s="2827">
        <v>0.25</v>
      </c>
      <c r="E61" s="2827">
        <v>0.25</v>
      </c>
      <c r="F61" s="2827">
        <v>0.25</v>
      </c>
      <c r="G61" s="2827">
        <v>0.15</v>
      </c>
    </row>
    <row r="62" spans="1:7" ht="19.5" customHeight="1">
      <c r="A62" s="2859" t="s">
        <v>2590</v>
      </c>
      <c r="B62" s="2827">
        <v>0.6</v>
      </c>
      <c r="C62" s="2827">
        <v>0.3</v>
      </c>
      <c r="D62" s="2827">
        <v>0.25</v>
      </c>
      <c r="E62" s="2827">
        <v>0.25</v>
      </c>
      <c r="F62" s="2827">
        <v>0.25</v>
      </c>
      <c r="G62" s="2827">
        <v>0.15</v>
      </c>
    </row>
    <row r="63" spans="1:7" ht="19.5" customHeight="1">
      <c r="A63" s="2859" t="s">
        <v>2591</v>
      </c>
      <c r="B63" s="2827">
        <v>0.6</v>
      </c>
      <c r="C63" s="2827">
        <v>0.3</v>
      </c>
      <c r="D63" s="2827">
        <v>0.25</v>
      </c>
      <c r="E63" s="2827">
        <v>0.25</v>
      </c>
      <c r="F63" s="2827">
        <v>0.25</v>
      </c>
      <c r="G63" s="2827">
        <v>0.15</v>
      </c>
    </row>
    <row r="64" spans="1:7" ht="19.5" customHeight="1">
      <c r="A64" s="2859" t="s">
        <v>2592</v>
      </c>
      <c r="B64" s="2827">
        <v>0.5</v>
      </c>
      <c r="C64" s="2827">
        <v>0.2</v>
      </c>
      <c r="D64" s="2827">
        <v>0.2</v>
      </c>
      <c r="E64" s="2827">
        <v>0.2</v>
      </c>
      <c r="F64" s="2827">
        <v>0.2</v>
      </c>
      <c r="G64" s="2827">
        <v>0.1</v>
      </c>
    </row>
    <row r="65" spans="1:7" ht="19.5" customHeight="1">
      <c r="A65" s="2859" t="s">
        <v>2593</v>
      </c>
      <c r="B65" s="2827">
        <v>0.5</v>
      </c>
      <c r="C65" s="2827">
        <v>0.2</v>
      </c>
      <c r="D65" s="2827">
        <v>0.2</v>
      </c>
      <c r="E65" s="2827">
        <v>0.2</v>
      </c>
      <c r="F65" s="2827">
        <v>0.2</v>
      </c>
      <c r="G65" s="2827">
        <v>0.1</v>
      </c>
    </row>
    <row r="66" spans="1:7" ht="19.5" customHeight="1">
      <c r="A66" s="2859" t="s">
        <v>2594</v>
      </c>
      <c r="B66" s="2827">
        <v>0.5</v>
      </c>
      <c r="C66" s="2827">
        <v>0.2</v>
      </c>
      <c r="D66" s="2827">
        <v>0.2</v>
      </c>
      <c r="E66" s="2827">
        <v>0.2</v>
      </c>
      <c r="F66" s="2827">
        <v>0.2</v>
      </c>
      <c r="G66" s="2827">
        <v>0.1</v>
      </c>
    </row>
    <row r="67" spans="1:7" ht="19.5" customHeight="1">
      <c r="A67" s="2859" t="s">
        <v>2595</v>
      </c>
      <c r="B67" s="2827">
        <v>0.5</v>
      </c>
      <c r="C67" s="2827">
        <v>0.2</v>
      </c>
      <c r="D67" s="2827">
        <v>0.2</v>
      </c>
      <c r="E67" s="2827">
        <v>0.2</v>
      </c>
      <c r="F67" s="2827">
        <v>0.2</v>
      </c>
      <c r="G67" s="2827">
        <v>0.1</v>
      </c>
    </row>
    <row r="68" spans="1:7" ht="19.5" customHeight="1">
      <c r="A68" s="2859" t="s">
        <v>2596</v>
      </c>
      <c r="B68" s="2827">
        <v>0.5</v>
      </c>
      <c r="C68" s="2827">
        <v>0.2</v>
      </c>
      <c r="D68" s="2827">
        <v>0.2</v>
      </c>
      <c r="E68" s="2827">
        <v>0.2</v>
      </c>
      <c r="F68" s="2827">
        <v>0.2</v>
      </c>
      <c r="G68" s="2827">
        <v>0.1</v>
      </c>
    </row>
    <row r="70" spans="1:7" ht="19.5" customHeight="1">
      <c r="A70" s="2841"/>
      <c r="B70" s="2860"/>
      <c r="C70" s="2860"/>
      <c r="D70" s="2860" t="s">
        <v>2633</v>
      </c>
      <c r="E70" s="2860"/>
      <c r="F70" s="2860"/>
    </row>
    <row r="71" spans="1:7" ht="19.5" customHeight="1">
      <c r="A71" s="2853" t="s">
        <v>2634</v>
      </c>
      <c r="B71" s="2853" t="s">
        <v>2635</v>
      </c>
      <c r="C71" s="2853" t="s">
        <v>2636</v>
      </c>
      <c r="D71" s="2853" t="s">
        <v>2637</v>
      </c>
      <c r="E71" s="2853" t="s">
        <v>2638</v>
      </c>
      <c r="F71" s="2853" t="s">
        <v>2639</v>
      </c>
    </row>
    <row r="72" spans="1:7" ht="13.5">
      <c r="A72" s="2853"/>
      <c r="B72" s="2853"/>
      <c r="C72" s="2853" t="s">
        <v>2640</v>
      </c>
      <c r="D72" s="2853"/>
      <c r="E72" s="2853" t="s">
        <v>2611</v>
      </c>
      <c r="F72" s="2853" t="s">
        <v>2611</v>
      </c>
    </row>
    <row r="73" spans="1:7" ht="13.5">
      <c r="A73" s="2853">
        <v>1</v>
      </c>
      <c r="B73" s="3577" t="s">
        <v>2641</v>
      </c>
      <c r="C73" s="2827" t="s">
        <v>2642</v>
      </c>
      <c r="D73" s="2827" t="s">
        <v>2643</v>
      </c>
      <c r="E73" s="2853">
        <v>0.2</v>
      </c>
      <c r="F73" s="2853">
        <v>25</v>
      </c>
    </row>
    <row r="74" spans="1:7" ht="24">
      <c r="A74" s="2853">
        <v>2</v>
      </c>
      <c r="B74" s="3572"/>
      <c r="C74" s="2827" t="s">
        <v>2644</v>
      </c>
      <c r="D74" s="2827" t="s">
        <v>2645</v>
      </c>
      <c r="E74" s="2853">
        <v>0.2</v>
      </c>
      <c r="F74" s="2853">
        <v>25</v>
      </c>
    </row>
    <row r="75" spans="1:7" ht="24">
      <c r="A75" s="2853">
        <v>3</v>
      </c>
      <c r="B75" s="3572"/>
      <c r="C75" s="2827" t="s">
        <v>2646</v>
      </c>
      <c r="D75" s="2827" t="s">
        <v>2647</v>
      </c>
      <c r="E75" s="2853">
        <v>0.2</v>
      </c>
      <c r="F75" s="2853">
        <v>25</v>
      </c>
    </row>
    <row r="76" spans="1:7" ht="13.5">
      <c r="A76" s="2853">
        <v>4</v>
      </c>
      <c r="B76" s="3572"/>
      <c r="C76" s="2827" t="s">
        <v>2648</v>
      </c>
      <c r="D76" s="2827" t="s">
        <v>2649</v>
      </c>
      <c r="E76" s="2853">
        <v>0.15</v>
      </c>
      <c r="F76" s="2853">
        <v>20</v>
      </c>
    </row>
    <row r="77" spans="1:7" ht="24">
      <c r="A77" s="2853">
        <v>5</v>
      </c>
      <c r="B77" s="3572"/>
      <c r="C77" s="2827" t="s">
        <v>2650</v>
      </c>
      <c r="D77" s="2827" t="s">
        <v>2651</v>
      </c>
      <c r="E77" s="2853">
        <v>0.15</v>
      </c>
      <c r="F77" s="2853">
        <v>20</v>
      </c>
    </row>
    <row r="78" spans="1:7" ht="24">
      <c r="A78" s="2853">
        <v>6</v>
      </c>
      <c r="B78" s="3572"/>
      <c r="C78" s="2827" t="s">
        <v>2652</v>
      </c>
      <c r="D78" s="2827" t="s">
        <v>2653</v>
      </c>
      <c r="E78" s="2853">
        <v>0.15</v>
      </c>
      <c r="F78" s="2853">
        <v>20</v>
      </c>
    </row>
    <row r="79" spans="1:7" ht="24">
      <c r="A79" s="2853">
        <v>7</v>
      </c>
      <c r="B79" s="3572"/>
      <c r="C79" s="2827" t="s">
        <v>2654</v>
      </c>
      <c r="D79" s="2827" t="s">
        <v>2655</v>
      </c>
      <c r="E79" s="2853">
        <v>0.15</v>
      </c>
      <c r="F79" s="2853">
        <v>20</v>
      </c>
    </row>
    <row r="80" spans="1:7" ht="24">
      <c r="A80" s="2853">
        <v>8</v>
      </c>
      <c r="B80" s="3572"/>
      <c r="C80" s="2827" t="s">
        <v>2656</v>
      </c>
      <c r="D80" s="2827" t="s">
        <v>2657</v>
      </c>
      <c r="E80" s="2853">
        <v>0.1</v>
      </c>
      <c r="F80" s="2853">
        <v>15</v>
      </c>
    </row>
    <row r="81" spans="1:6" ht="24">
      <c r="A81" s="2853">
        <v>9</v>
      </c>
      <c r="B81" s="3572"/>
      <c r="C81" s="2827" t="s">
        <v>2658</v>
      </c>
      <c r="D81" s="2827" t="s">
        <v>2659</v>
      </c>
      <c r="E81" s="2853">
        <v>0.1</v>
      </c>
      <c r="F81" s="2853">
        <v>15</v>
      </c>
    </row>
    <row r="82" spans="1:6" ht="24">
      <c r="A82" s="2853">
        <v>10</v>
      </c>
      <c r="B82" s="3572"/>
      <c r="C82" s="2827" t="s">
        <v>2660</v>
      </c>
      <c r="D82" s="2827" t="s">
        <v>2661</v>
      </c>
      <c r="E82" s="2853">
        <v>0.1</v>
      </c>
      <c r="F82" s="2853">
        <v>15</v>
      </c>
    </row>
    <row r="83" spans="1:6" ht="24">
      <c r="A83" s="2853">
        <v>11</v>
      </c>
      <c r="B83" s="3572"/>
      <c r="C83" s="2827" t="s">
        <v>2662</v>
      </c>
      <c r="D83" s="2827" t="s">
        <v>2663</v>
      </c>
      <c r="E83" s="2853">
        <v>0.1</v>
      </c>
      <c r="F83" s="2853">
        <v>15</v>
      </c>
    </row>
    <row r="84" spans="1:6" ht="24">
      <c r="A84" s="2853">
        <v>12</v>
      </c>
      <c r="B84" s="3572"/>
      <c r="C84" s="2827" t="s">
        <v>2664</v>
      </c>
      <c r="D84" s="2827" t="s">
        <v>2665</v>
      </c>
      <c r="E84" s="2853">
        <v>0.1</v>
      </c>
      <c r="F84" s="2853">
        <v>15</v>
      </c>
    </row>
    <row r="85" spans="1:6" ht="13.5">
      <c r="A85" s="2853">
        <v>13</v>
      </c>
      <c r="B85" s="3572"/>
      <c r="C85" s="2827" t="s">
        <v>2666</v>
      </c>
      <c r="D85" s="2827" t="s">
        <v>2667</v>
      </c>
      <c r="E85" s="2853">
        <v>0.1</v>
      </c>
      <c r="F85" s="2853">
        <v>15</v>
      </c>
    </row>
    <row r="86" spans="1:6" ht="13.5">
      <c r="A86" s="2853">
        <v>14</v>
      </c>
      <c r="B86" s="3572"/>
      <c r="C86" s="2827" t="s">
        <v>2668</v>
      </c>
      <c r="D86" s="2827" t="s">
        <v>2669</v>
      </c>
      <c r="E86" s="2853">
        <v>0.1</v>
      </c>
      <c r="F86" s="2853">
        <v>15</v>
      </c>
    </row>
    <row r="87" spans="1:6" ht="13.5">
      <c r="A87" s="2853">
        <v>15</v>
      </c>
      <c r="B87" s="3572"/>
      <c r="C87" s="2827" t="s">
        <v>2670</v>
      </c>
      <c r="D87" s="2827" t="s">
        <v>2671</v>
      </c>
      <c r="E87" s="2853">
        <v>0.1</v>
      </c>
      <c r="F87" s="2853">
        <v>15</v>
      </c>
    </row>
    <row r="88" spans="1:6" ht="24">
      <c r="A88" s="2853">
        <v>16</v>
      </c>
      <c r="B88" s="3572"/>
      <c r="C88" s="2827" t="s">
        <v>2672</v>
      </c>
      <c r="D88" s="2827" t="s">
        <v>2673</v>
      </c>
      <c r="E88" s="2853">
        <v>0.1</v>
      </c>
      <c r="F88" s="2853">
        <v>15</v>
      </c>
    </row>
    <row r="89" spans="1:6" ht="24">
      <c r="A89" s="2853">
        <v>17</v>
      </c>
      <c r="B89" s="3581"/>
      <c r="C89" s="2827" t="s">
        <v>2674</v>
      </c>
      <c r="D89" s="2827" t="s">
        <v>2675</v>
      </c>
      <c r="E89" s="2853">
        <v>0.1</v>
      </c>
      <c r="F89" s="2853">
        <v>15</v>
      </c>
    </row>
    <row r="90" spans="1:6" ht="13.5">
      <c r="A90" s="2853">
        <v>18</v>
      </c>
      <c r="B90" s="3577" t="s">
        <v>2676</v>
      </c>
      <c r="C90" s="2827" t="s">
        <v>2677</v>
      </c>
      <c r="D90" s="2827" t="s">
        <v>2678</v>
      </c>
      <c r="E90" s="2853">
        <v>0.2</v>
      </c>
      <c r="F90" s="2853">
        <v>25</v>
      </c>
    </row>
    <row r="91" spans="1:6" ht="24">
      <c r="A91" s="2853">
        <v>19</v>
      </c>
      <c r="B91" s="3572"/>
      <c r="C91" s="2827" t="s">
        <v>2679</v>
      </c>
      <c r="D91" s="2827" t="s">
        <v>2680</v>
      </c>
      <c r="E91" s="2853">
        <v>0.2</v>
      </c>
      <c r="F91" s="2853">
        <v>25</v>
      </c>
    </row>
    <row r="92" spans="1:6" ht="13.5">
      <c r="A92" s="2853">
        <v>20</v>
      </c>
      <c r="B92" s="3572"/>
      <c r="C92" s="2827" t="s">
        <v>2681</v>
      </c>
      <c r="D92" s="2827" t="s">
        <v>2682</v>
      </c>
      <c r="E92" s="2853">
        <v>0.15</v>
      </c>
      <c r="F92" s="2853">
        <v>20</v>
      </c>
    </row>
    <row r="93" spans="1:6" ht="13.5">
      <c r="A93" s="2853">
        <v>21</v>
      </c>
      <c r="B93" s="3572"/>
      <c r="C93" s="2827" t="s">
        <v>2683</v>
      </c>
      <c r="D93" s="2827" t="s">
        <v>2684</v>
      </c>
      <c r="E93" s="2853">
        <v>0.15</v>
      </c>
      <c r="F93" s="2853">
        <v>20</v>
      </c>
    </row>
    <row r="94" spans="1:6" ht="13.5">
      <c r="A94" s="2853">
        <v>22</v>
      </c>
      <c r="B94" s="3572"/>
      <c r="C94" s="2827" t="s">
        <v>2685</v>
      </c>
      <c r="D94" s="2827" t="s">
        <v>2686</v>
      </c>
      <c r="E94" s="2853">
        <v>0.15</v>
      </c>
      <c r="F94" s="2853">
        <v>20</v>
      </c>
    </row>
    <row r="95" spans="1:6" ht="36">
      <c r="A95" s="2853">
        <v>23</v>
      </c>
      <c r="B95" s="3572"/>
      <c r="C95" s="2827" t="s">
        <v>2687</v>
      </c>
      <c r="D95" s="2827" t="s">
        <v>2688</v>
      </c>
      <c r="E95" s="2853">
        <v>0.15</v>
      </c>
      <c r="F95" s="2853">
        <v>20</v>
      </c>
    </row>
    <row r="96" spans="1:6" ht="13.5">
      <c r="A96" s="2853">
        <v>24</v>
      </c>
      <c r="B96" s="3572"/>
      <c r="C96" s="2827" t="s">
        <v>2689</v>
      </c>
      <c r="D96" s="2827" t="s">
        <v>2690</v>
      </c>
      <c r="E96" s="2853">
        <v>0.1</v>
      </c>
      <c r="F96" s="2853">
        <v>15</v>
      </c>
    </row>
    <row r="97" spans="1:6" ht="13.5">
      <c r="A97" s="2853">
        <v>25</v>
      </c>
      <c r="B97" s="3572"/>
      <c r="C97" s="2827" t="s">
        <v>2691</v>
      </c>
      <c r="D97" s="2827" t="s">
        <v>2692</v>
      </c>
      <c r="E97" s="2853">
        <v>0.1</v>
      </c>
      <c r="F97" s="2853">
        <v>15</v>
      </c>
    </row>
    <row r="98" spans="1:6" ht="24">
      <c r="A98" s="2853">
        <v>26</v>
      </c>
      <c r="B98" s="3572"/>
      <c r="C98" s="2827" t="s">
        <v>2693</v>
      </c>
      <c r="D98" s="2827" t="s">
        <v>2694</v>
      </c>
      <c r="E98" s="2853">
        <v>0.1</v>
      </c>
      <c r="F98" s="2853">
        <v>15</v>
      </c>
    </row>
    <row r="99" spans="1:6" ht="24">
      <c r="A99" s="2853">
        <v>27</v>
      </c>
      <c r="B99" s="3572"/>
      <c r="C99" s="2827" t="s">
        <v>2695</v>
      </c>
      <c r="D99" s="2827" t="s">
        <v>2696</v>
      </c>
      <c r="E99" s="2853">
        <v>0.1</v>
      </c>
      <c r="F99" s="2853">
        <v>15</v>
      </c>
    </row>
    <row r="100" spans="1:6" ht="13.5">
      <c r="A100" s="2853">
        <v>28</v>
      </c>
      <c r="B100" s="3572"/>
      <c r="C100" s="2827" t="s">
        <v>2697</v>
      </c>
      <c r="D100" s="2827" t="s">
        <v>2698</v>
      </c>
      <c r="E100" s="2853">
        <v>0.1</v>
      </c>
      <c r="F100" s="2853">
        <v>15</v>
      </c>
    </row>
    <row r="101" spans="1:6" ht="13.5">
      <c r="A101" s="2853">
        <v>29</v>
      </c>
      <c r="B101" s="3572"/>
      <c r="C101" s="2827" t="s">
        <v>2699</v>
      </c>
      <c r="D101" s="2827" t="s">
        <v>2700</v>
      </c>
      <c r="E101" s="2853">
        <v>0.1</v>
      </c>
      <c r="F101" s="2853">
        <v>15</v>
      </c>
    </row>
    <row r="102" spans="1:6" ht="13.5">
      <c r="A102" s="2853">
        <v>30</v>
      </c>
      <c r="B102" s="3572"/>
      <c r="C102" s="2827" t="s">
        <v>2701</v>
      </c>
      <c r="D102" s="2827" t="s">
        <v>2702</v>
      </c>
      <c r="E102" s="2853">
        <v>0.1</v>
      </c>
      <c r="F102" s="2853">
        <v>15</v>
      </c>
    </row>
    <row r="103" spans="1:6" ht="24">
      <c r="A103" s="2853">
        <v>31</v>
      </c>
      <c r="B103" s="3572"/>
      <c r="C103" s="2827" t="s">
        <v>2703</v>
      </c>
      <c r="D103" s="2827" t="s">
        <v>2704</v>
      </c>
      <c r="E103" s="2853">
        <v>0.1</v>
      </c>
      <c r="F103" s="2853">
        <v>15</v>
      </c>
    </row>
    <row r="104" spans="1:6" ht="24">
      <c r="A104" s="2853">
        <v>32</v>
      </c>
      <c r="B104" s="3572"/>
      <c r="C104" s="2827" t="s">
        <v>2705</v>
      </c>
      <c r="D104" s="2827" t="s">
        <v>2706</v>
      </c>
      <c r="E104" s="2853">
        <v>0.1</v>
      </c>
      <c r="F104" s="2853">
        <v>15</v>
      </c>
    </row>
    <row r="105" spans="1:6" ht="24">
      <c r="A105" s="2853">
        <v>33</v>
      </c>
      <c r="B105" s="3572"/>
      <c r="C105" s="2827" t="s">
        <v>2707</v>
      </c>
      <c r="D105" s="2827" t="s">
        <v>2708</v>
      </c>
      <c r="E105" s="2853">
        <v>0.1</v>
      </c>
      <c r="F105" s="2853">
        <v>15</v>
      </c>
    </row>
    <row r="106" spans="1:6" ht="24">
      <c r="A106" s="2853">
        <v>34</v>
      </c>
      <c r="B106" s="3581"/>
      <c r="C106" s="2827" t="s">
        <v>2709</v>
      </c>
      <c r="D106" s="2827" t="s">
        <v>2710</v>
      </c>
      <c r="E106" s="2853">
        <v>0.1</v>
      </c>
      <c r="F106" s="2853">
        <v>15</v>
      </c>
    </row>
    <row r="107" spans="1:6" ht="24">
      <c r="A107" s="2853">
        <v>35</v>
      </c>
      <c r="B107" s="3577" t="s">
        <v>2711</v>
      </c>
      <c r="C107" s="2853" t="s">
        <v>2712</v>
      </c>
      <c r="D107" s="2827" t="s">
        <v>2713</v>
      </c>
      <c r="E107" s="2853">
        <v>0.15</v>
      </c>
      <c r="F107" s="2853">
        <v>20</v>
      </c>
    </row>
    <row r="108" spans="1:6" ht="13.5">
      <c r="A108" s="2853">
        <v>36</v>
      </c>
      <c r="B108" s="3572"/>
      <c r="C108" s="2853" t="s">
        <v>2714</v>
      </c>
      <c r="D108" s="2827" t="s">
        <v>2715</v>
      </c>
      <c r="E108" s="2853">
        <v>0.15</v>
      </c>
      <c r="F108" s="2853">
        <v>20</v>
      </c>
    </row>
    <row r="109" spans="1:6" ht="13.5">
      <c r="A109" s="2853">
        <v>37</v>
      </c>
      <c r="B109" s="3572"/>
      <c r="C109" s="2853" t="s">
        <v>2716</v>
      </c>
      <c r="D109" s="2827" t="s">
        <v>2717</v>
      </c>
      <c r="E109" s="2853">
        <v>0.15</v>
      </c>
      <c r="F109" s="2853">
        <v>20</v>
      </c>
    </row>
    <row r="110" spans="1:6" ht="13.5">
      <c r="A110" s="2853">
        <v>38</v>
      </c>
      <c r="B110" s="3572"/>
      <c r="C110" s="2853" t="s">
        <v>2718</v>
      </c>
      <c r="D110" s="2827" t="s">
        <v>2719</v>
      </c>
      <c r="E110" s="2853">
        <v>0.1</v>
      </c>
      <c r="F110" s="2853">
        <v>15</v>
      </c>
    </row>
    <row r="111" spans="1:6" ht="24">
      <c r="A111" s="2853">
        <v>39</v>
      </c>
      <c r="B111" s="3572"/>
      <c r="C111" s="2853" t="s">
        <v>2720</v>
      </c>
      <c r="D111" s="2827" t="s">
        <v>2721</v>
      </c>
      <c r="E111" s="2853">
        <v>0.1</v>
      </c>
      <c r="F111" s="2853">
        <v>15</v>
      </c>
    </row>
    <row r="112" spans="1:6" ht="24">
      <c r="A112" s="2853">
        <v>40</v>
      </c>
      <c r="B112" s="3581"/>
      <c r="C112" s="2853" t="s">
        <v>2722</v>
      </c>
      <c r="D112" s="2827" t="s">
        <v>2723</v>
      </c>
      <c r="E112" s="2853">
        <v>0.1</v>
      </c>
      <c r="F112" s="2853">
        <v>15</v>
      </c>
    </row>
    <row r="113" spans="1:6" ht="13.5">
      <c r="A113" s="2853">
        <v>41</v>
      </c>
      <c r="B113" s="3582" t="s">
        <v>2724</v>
      </c>
      <c r="C113" s="2853" t="s">
        <v>2725</v>
      </c>
      <c r="D113" s="2827" t="s">
        <v>2726</v>
      </c>
      <c r="E113" s="2853">
        <v>0.1</v>
      </c>
      <c r="F113" s="2853">
        <v>15</v>
      </c>
    </row>
    <row r="114" spans="1:6" ht="13.5">
      <c r="A114" s="2853">
        <v>42</v>
      </c>
      <c r="B114" s="3582"/>
      <c r="C114" s="2853" t="s">
        <v>2727</v>
      </c>
      <c r="D114" s="2827" t="s">
        <v>2728</v>
      </c>
      <c r="E114" s="2853">
        <v>0.1</v>
      </c>
      <c r="F114" s="2853">
        <v>15</v>
      </c>
    </row>
    <row r="115" spans="1:6" ht="24">
      <c r="A115" s="2853">
        <v>43</v>
      </c>
      <c r="B115" s="3582"/>
      <c r="C115" s="2853" t="s">
        <v>2729</v>
      </c>
      <c r="D115" s="2827" t="s">
        <v>2730</v>
      </c>
      <c r="E115" s="2853">
        <v>0.1</v>
      </c>
      <c r="F115" s="2853">
        <v>15</v>
      </c>
    </row>
    <row r="116" spans="1:6" ht="13.5">
      <c r="A116" s="2853">
        <v>44</v>
      </c>
      <c r="B116" s="3577" t="s">
        <v>2731</v>
      </c>
      <c r="C116" s="2853" t="s">
        <v>2732</v>
      </c>
      <c r="D116" s="2827" t="s">
        <v>2733</v>
      </c>
      <c r="E116" s="2853">
        <v>0.1</v>
      </c>
      <c r="F116" s="2853">
        <v>15</v>
      </c>
    </row>
    <row r="117" spans="1:6" ht="24">
      <c r="A117" s="2853">
        <v>45</v>
      </c>
      <c r="B117" s="3581"/>
      <c r="C117" s="2827" t="s">
        <v>2734</v>
      </c>
      <c r="D117" s="2827" t="s">
        <v>2735</v>
      </c>
      <c r="E117" s="2853">
        <v>0.1</v>
      </c>
      <c r="F117" s="2853">
        <v>15</v>
      </c>
    </row>
    <row r="118" spans="1:6" ht="24">
      <c r="A118" s="2853">
        <v>46</v>
      </c>
      <c r="B118" s="3577" t="s">
        <v>2736</v>
      </c>
      <c r="C118" s="2853" t="s">
        <v>2737</v>
      </c>
      <c r="D118" s="2827" t="s">
        <v>2738</v>
      </c>
      <c r="E118" s="2853">
        <v>0.1</v>
      </c>
      <c r="F118" s="2853">
        <v>15</v>
      </c>
    </row>
    <row r="119" spans="1:6" ht="24">
      <c r="A119" s="2853">
        <v>47</v>
      </c>
      <c r="B119" s="3581"/>
      <c r="C119" s="2853" t="s">
        <v>2739</v>
      </c>
      <c r="D119" s="2827" t="s">
        <v>2740</v>
      </c>
      <c r="E119" s="2853">
        <v>0.1</v>
      </c>
      <c r="F119" s="2853">
        <v>15</v>
      </c>
    </row>
    <row r="120" spans="1:6" ht="13.5">
      <c r="A120" s="2853">
        <v>48</v>
      </c>
      <c r="B120" s="3577" t="s">
        <v>2741</v>
      </c>
      <c r="C120" s="2853" t="s">
        <v>2742</v>
      </c>
      <c r="D120" s="2827" t="s">
        <v>2743</v>
      </c>
      <c r="E120" s="2853">
        <v>0.1</v>
      </c>
      <c r="F120" s="2853">
        <v>15</v>
      </c>
    </row>
    <row r="121" spans="1:6" ht="13.5">
      <c r="A121" s="2853">
        <v>49</v>
      </c>
      <c r="B121" s="3581"/>
      <c r="C121" s="2853" t="s">
        <v>2744</v>
      </c>
      <c r="D121" s="2827" t="s">
        <v>2745</v>
      </c>
      <c r="E121" s="2853">
        <v>0.1</v>
      </c>
      <c r="F121" s="2853">
        <v>15</v>
      </c>
    </row>
    <row r="122" spans="1:6" ht="24">
      <c r="A122" s="2853">
        <v>50</v>
      </c>
      <c r="B122" s="3582" t="s">
        <v>2746</v>
      </c>
      <c r="C122" s="2853" t="s">
        <v>2747</v>
      </c>
      <c r="D122" s="2827" t="s">
        <v>2748</v>
      </c>
      <c r="E122" s="2853">
        <v>0.1</v>
      </c>
      <c r="F122" s="2853">
        <v>15</v>
      </c>
    </row>
    <row r="123" spans="1:6" ht="24">
      <c r="A123" s="2853">
        <v>51</v>
      </c>
      <c r="B123" s="3582"/>
      <c r="C123" s="2853" t="s">
        <v>2749</v>
      </c>
      <c r="D123" s="2827" t="s">
        <v>2750</v>
      </c>
      <c r="E123" s="2853">
        <v>0.1</v>
      </c>
      <c r="F123" s="2853">
        <v>15</v>
      </c>
    </row>
    <row r="124" spans="1:6" ht="24">
      <c r="A124" s="2853">
        <v>52</v>
      </c>
      <c r="B124" s="3582" t="s">
        <v>2751</v>
      </c>
      <c r="C124" s="2853" t="s">
        <v>2752</v>
      </c>
      <c r="D124" s="2827" t="s">
        <v>2753</v>
      </c>
      <c r="E124" s="2853">
        <v>0.1</v>
      </c>
      <c r="F124" s="2853">
        <v>15</v>
      </c>
    </row>
    <row r="125" spans="1:6" ht="24">
      <c r="A125" s="2853">
        <v>53</v>
      </c>
      <c r="B125" s="3582"/>
      <c r="C125" s="2853" t="s">
        <v>2754</v>
      </c>
      <c r="D125" s="2827" t="s">
        <v>2755</v>
      </c>
      <c r="E125" s="2853">
        <v>0.1</v>
      </c>
      <c r="F125" s="2853">
        <v>15</v>
      </c>
    </row>
    <row r="126" spans="1:6" ht="13.5">
      <c r="A126" s="2853">
        <v>54</v>
      </c>
      <c r="B126" s="2853" t="s">
        <v>2756</v>
      </c>
      <c r="C126" s="2853" t="s">
        <v>2757</v>
      </c>
      <c r="D126" s="2827" t="s">
        <v>2758</v>
      </c>
      <c r="E126" s="2853">
        <v>0.1</v>
      </c>
      <c r="F126" s="2853">
        <v>15</v>
      </c>
    </row>
    <row r="127" spans="1:6" ht="13.5">
      <c r="A127" s="2853">
        <v>55</v>
      </c>
      <c r="B127" s="3582" t="s">
        <v>2759</v>
      </c>
      <c r="C127" s="2853" t="s">
        <v>2760</v>
      </c>
      <c r="D127" s="2827" t="s">
        <v>2761</v>
      </c>
      <c r="E127" s="2853">
        <v>0.1</v>
      </c>
      <c r="F127" s="2853">
        <v>15</v>
      </c>
    </row>
    <row r="128" spans="1:6" ht="13.5">
      <c r="A128" s="2853">
        <v>56</v>
      </c>
      <c r="B128" s="3582"/>
      <c r="C128" s="2853" t="s">
        <v>2762</v>
      </c>
      <c r="D128" s="2827" t="s">
        <v>2763</v>
      </c>
      <c r="E128" s="2853">
        <v>0.1</v>
      </c>
      <c r="F128" s="2853">
        <v>15</v>
      </c>
    </row>
    <row r="129" spans="1:6" ht="24">
      <c r="A129" s="2853">
        <v>57</v>
      </c>
      <c r="B129" s="3582"/>
      <c r="C129" s="2853" t="s">
        <v>2764</v>
      </c>
      <c r="D129" s="2827" t="s">
        <v>2765</v>
      </c>
      <c r="E129" s="2853">
        <v>0.1</v>
      </c>
      <c r="F129" s="2853">
        <v>15</v>
      </c>
    </row>
    <row r="130" spans="1:6" ht="24">
      <c r="A130" s="2853">
        <v>58</v>
      </c>
      <c r="B130" s="3582" t="s">
        <v>2766</v>
      </c>
      <c r="C130" s="2853" t="s">
        <v>2767</v>
      </c>
      <c r="D130" s="2827" t="s">
        <v>2768</v>
      </c>
      <c r="E130" s="2853">
        <v>0.1</v>
      </c>
      <c r="F130" s="2853">
        <v>15</v>
      </c>
    </row>
    <row r="131" spans="1:6" ht="13.5">
      <c r="A131" s="2853">
        <v>59</v>
      </c>
      <c r="B131" s="3582"/>
      <c r="C131" s="2853" t="s">
        <v>2769</v>
      </c>
      <c r="D131" s="2827" t="s">
        <v>2770</v>
      </c>
      <c r="E131" s="2853">
        <v>0.1</v>
      </c>
      <c r="F131" s="2853">
        <v>15</v>
      </c>
    </row>
    <row r="132" spans="1:6" ht="13.5">
      <c r="A132" s="2853">
        <v>60</v>
      </c>
      <c r="B132" s="3577" t="s">
        <v>2771</v>
      </c>
      <c r="C132" s="2853" t="s">
        <v>2772</v>
      </c>
      <c r="D132" s="2827" t="s">
        <v>2773</v>
      </c>
      <c r="E132" s="2853">
        <v>0.1</v>
      </c>
      <c r="F132" s="2853">
        <v>15</v>
      </c>
    </row>
    <row r="133" spans="1:6" ht="13.5">
      <c r="A133" s="2853">
        <v>61</v>
      </c>
      <c r="B133" s="3581"/>
      <c r="C133" s="2853" t="s">
        <v>2774</v>
      </c>
      <c r="D133" s="2827" t="s">
        <v>2775</v>
      </c>
      <c r="E133" s="2853">
        <v>0.1</v>
      </c>
      <c r="F133" s="2853">
        <v>15</v>
      </c>
    </row>
    <row r="134" spans="1:6" ht="24">
      <c r="A134" s="2853">
        <v>62</v>
      </c>
      <c r="B134" s="2853" t="s">
        <v>2776</v>
      </c>
      <c r="C134" s="2853" t="s">
        <v>2777</v>
      </c>
      <c r="D134" s="2827" t="s">
        <v>2778</v>
      </c>
      <c r="E134" s="2853">
        <v>0.1</v>
      </c>
      <c r="F134" s="2853">
        <v>15</v>
      </c>
    </row>
    <row r="135" spans="1:6" ht="13.5">
      <c r="A135" s="2853">
        <v>63</v>
      </c>
      <c r="B135" s="3582" t="s">
        <v>2779</v>
      </c>
      <c r="C135" s="2853" t="s">
        <v>2780</v>
      </c>
      <c r="D135" s="2827" t="s">
        <v>2781</v>
      </c>
      <c r="E135" s="2853">
        <v>0.1</v>
      </c>
      <c r="F135" s="2853">
        <v>15</v>
      </c>
    </row>
    <row r="136" spans="1:6" ht="13.5">
      <c r="A136" s="2853">
        <v>64</v>
      </c>
      <c r="B136" s="3582"/>
      <c r="C136" s="2853" t="s">
        <v>2782</v>
      </c>
      <c r="D136" s="2827" t="s">
        <v>2783</v>
      </c>
      <c r="E136" s="2853">
        <v>0.1</v>
      </c>
      <c r="F136" s="2853">
        <v>15</v>
      </c>
    </row>
    <row r="137" spans="1:6" ht="13.5">
      <c r="A137" s="2853">
        <v>65</v>
      </c>
      <c r="B137" s="2853" t="s">
        <v>2784</v>
      </c>
      <c r="C137" s="2853" t="s">
        <v>2785</v>
      </c>
      <c r="D137" s="2827" t="s">
        <v>2786</v>
      </c>
      <c r="E137" s="2853">
        <v>0.1</v>
      </c>
      <c r="F137" s="2853">
        <v>15</v>
      </c>
    </row>
    <row r="138" spans="1:6" ht="13.5">
      <c r="A138" s="2853"/>
      <c r="B138" s="2853"/>
      <c r="C138" s="2853"/>
      <c r="D138" s="2853"/>
      <c r="E138" s="2853" t="s">
        <v>2787</v>
      </c>
      <c r="F138" s="2853"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2788</v>
      </c>
      <c r="B1" s="2861"/>
      <c r="C1" s="2861"/>
      <c r="D1" s="2861"/>
      <c r="E1" s="2861"/>
      <c r="F1" s="2861"/>
      <c r="G1" s="2861"/>
      <c r="H1" s="2861"/>
      <c r="I1" s="2861"/>
      <c r="J1" s="2861"/>
      <c r="K1" s="2861"/>
      <c r="L1" s="2861"/>
      <c r="M1" s="2861"/>
      <c r="N1" s="704"/>
    </row>
    <row r="2" spans="1:20">
      <c r="A2" s="2862" t="s">
        <v>2789</v>
      </c>
      <c r="B2" s="2863" t="s">
        <v>2585</v>
      </c>
      <c r="C2" s="2863" t="s">
        <v>2586</v>
      </c>
      <c r="D2" s="2863" t="s">
        <v>2587</v>
      </c>
      <c r="E2" s="2863" t="s">
        <v>2588</v>
      </c>
      <c r="F2" s="2863" t="s">
        <v>2589</v>
      </c>
      <c r="G2" s="2863" t="s">
        <v>2590</v>
      </c>
      <c r="H2" s="2864" t="s">
        <v>2591</v>
      </c>
      <c r="I2" s="2864" t="s">
        <v>2592</v>
      </c>
      <c r="J2" s="2865" t="s">
        <v>2593</v>
      </c>
      <c r="K2" s="2865" t="s">
        <v>2594</v>
      </c>
      <c r="L2" s="2865" t="s">
        <v>2595</v>
      </c>
      <c r="M2" s="2866" t="s">
        <v>2596</v>
      </c>
      <c r="Q2" s="2876" t="s">
        <v>2794</v>
      </c>
      <c r="R2" s="2876" t="s">
        <v>2795</v>
      </c>
      <c r="S2" s="2876" t="s">
        <v>2796</v>
      </c>
      <c r="T2" s="2876" t="s">
        <v>2797</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2790</v>
      </c>
      <c r="B93" s="2861"/>
      <c r="C93" s="2861"/>
      <c r="D93" s="2861"/>
      <c r="E93" s="2861"/>
      <c r="F93" s="2861"/>
      <c r="G93" s="2861"/>
      <c r="H93" s="2861"/>
      <c r="I93" s="2861"/>
      <c r="J93" s="2861"/>
      <c r="K93" s="2861"/>
      <c r="L93" s="2861"/>
      <c r="M93" s="2861"/>
    </row>
    <row r="94" spans="1:20">
      <c r="A94" s="2862" t="s">
        <v>2789</v>
      </c>
      <c r="B94" s="2863" t="s">
        <v>2585</v>
      </c>
      <c r="C94" s="2863" t="s">
        <v>2586</v>
      </c>
      <c r="D94" s="2863" t="s">
        <v>2587</v>
      </c>
      <c r="E94" s="2863" t="s">
        <v>2588</v>
      </c>
      <c r="F94" s="2863" t="s">
        <v>2589</v>
      </c>
      <c r="G94" s="2863" t="s">
        <v>2590</v>
      </c>
      <c r="H94" s="2864" t="s">
        <v>2591</v>
      </c>
      <c r="I94" s="2864" t="s">
        <v>2592</v>
      </c>
      <c r="J94" s="2865" t="s">
        <v>2593</v>
      </c>
      <c r="K94" s="2865" t="s">
        <v>2594</v>
      </c>
      <c r="L94" s="2865" t="s">
        <v>2595</v>
      </c>
      <c r="M94" s="2866" t="s">
        <v>2596</v>
      </c>
      <c r="N94">
        <f>SUMPRODUCT((A95:A184=ROUNDDOWN(基准地价修正!G3,1))*(B94:M94=基准地价修正!G2)*(B95:M184))</f>
        <v>1.2158</v>
      </c>
      <c r="Q94" s="2876" t="s">
        <v>2794</v>
      </c>
      <c r="R94" s="2876" t="s">
        <v>2795</v>
      </c>
      <c r="S94" s="2876" t="s">
        <v>2796</v>
      </c>
      <c r="T94" s="2876" t="s">
        <v>2797</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4"/>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4"/>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2791</v>
      </c>
      <c r="B185" s="2861"/>
      <c r="C185" s="2861"/>
      <c r="D185" s="2861"/>
      <c r="E185" s="2861"/>
      <c r="F185" s="2861"/>
      <c r="G185" s="2861"/>
      <c r="H185" s="2861"/>
      <c r="I185" s="2861"/>
      <c r="J185" s="2861"/>
      <c r="K185" s="2861"/>
      <c r="L185" s="2861"/>
      <c r="M185" s="2861"/>
    </row>
    <row r="186" spans="1:20">
      <c r="A186" s="2862" t="s">
        <v>2789</v>
      </c>
      <c r="B186" s="2863" t="s">
        <v>2585</v>
      </c>
      <c r="C186" s="2863" t="s">
        <v>2586</v>
      </c>
      <c r="D186" s="2863" t="s">
        <v>2587</v>
      </c>
      <c r="E186" s="2863" t="s">
        <v>2588</v>
      </c>
      <c r="F186" s="2863" t="s">
        <v>2589</v>
      </c>
      <c r="G186" s="2863" t="s">
        <v>2590</v>
      </c>
      <c r="H186" s="2864" t="s">
        <v>2591</v>
      </c>
      <c r="I186" s="2864" t="s">
        <v>2592</v>
      </c>
      <c r="J186" s="2865" t="s">
        <v>2593</v>
      </c>
      <c r="K186" s="2865" t="s">
        <v>2594</v>
      </c>
      <c r="L186" s="2865" t="s">
        <v>2595</v>
      </c>
      <c r="M186" s="2866" t="s">
        <v>2596</v>
      </c>
      <c r="Q186" s="2876" t="s">
        <v>2794</v>
      </c>
      <c r="R186" s="2876" t="s">
        <v>2795</v>
      </c>
      <c r="S186" s="2876" t="s">
        <v>2796</v>
      </c>
      <c r="T186" s="2876" t="s">
        <v>2797</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2792</v>
      </c>
      <c r="B277" s="2861"/>
      <c r="C277" s="2861"/>
      <c r="D277" s="2861"/>
      <c r="E277" s="2861"/>
      <c r="F277" s="2861"/>
      <c r="G277" s="2861"/>
      <c r="H277" s="2861"/>
      <c r="I277" s="2861"/>
      <c r="J277" s="2861"/>
      <c r="K277" s="2861"/>
      <c r="L277" s="2861"/>
      <c r="M277" s="2861"/>
    </row>
    <row r="278" spans="1:21">
      <c r="A278" s="2862" t="s">
        <v>2789</v>
      </c>
      <c r="B278" s="2863" t="s">
        <v>2585</v>
      </c>
      <c r="C278" s="2863" t="s">
        <v>2586</v>
      </c>
      <c r="D278" s="2863" t="s">
        <v>2587</v>
      </c>
      <c r="E278" s="2863" t="s">
        <v>2588</v>
      </c>
      <c r="F278" s="2863" t="s">
        <v>2589</v>
      </c>
      <c r="G278" s="2863" t="s">
        <v>2590</v>
      </c>
      <c r="H278" s="2864" t="s">
        <v>2591</v>
      </c>
      <c r="I278" s="2864" t="s">
        <v>2592</v>
      </c>
      <c r="J278" s="2865" t="s">
        <v>2593</v>
      </c>
      <c r="K278" s="2865" t="s">
        <v>2594</v>
      </c>
      <c r="L278" s="2865" t="s">
        <v>2595</v>
      </c>
      <c r="M278" s="2866" t="s">
        <v>2596</v>
      </c>
      <c r="Q278" s="2876" t="s">
        <v>2794</v>
      </c>
      <c r="R278" s="2876" t="s">
        <v>2795</v>
      </c>
      <c r="S278" s="2876" t="s">
        <v>2798</v>
      </c>
      <c r="T278" s="2876" t="s">
        <v>2799</v>
      </c>
      <c r="U278" s="2876" t="s">
        <v>2797</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2793</v>
      </c>
      <c r="B369" s="2874"/>
      <c r="C369" s="2874"/>
      <c r="D369" s="2874"/>
      <c r="E369" s="2874"/>
      <c r="F369" s="2874"/>
      <c r="G369" s="2874"/>
      <c r="H369" s="2874"/>
      <c r="I369" s="2874"/>
      <c r="J369" s="2874"/>
      <c r="K369" s="2874"/>
      <c r="L369" s="2874"/>
      <c r="M369" s="2874"/>
    </row>
    <row r="370" spans="1:20">
      <c r="A370" s="2862" t="s">
        <v>2789</v>
      </c>
      <c r="B370" s="2863" t="s">
        <v>2585</v>
      </c>
      <c r="C370" s="2863" t="s">
        <v>2586</v>
      </c>
      <c r="D370" s="2863" t="s">
        <v>2587</v>
      </c>
      <c r="E370" s="2863" t="s">
        <v>2588</v>
      </c>
      <c r="F370" s="2863" t="s">
        <v>2589</v>
      </c>
      <c r="G370" s="2863" t="s">
        <v>2590</v>
      </c>
      <c r="H370" s="2864" t="s">
        <v>2591</v>
      </c>
      <c r="I370" s="2864" t="s">
        <v>2592</v>
      </c>
      <c r="J370" s="2865" t="s">
        <v>2593</v>
      </c>
      <c r="K370" s="2865" t="s">
        <v>2594</v>
      </c>
      <c r="L370" s="2865" t="s">
        <v>2595</v>
      </c>
      <c r="M370" s="2866" t="s">
        <v>2596</v>
      </c>
      <c r="N370">
        <f>SUMPRODUCT((A371:A460=ROUNDDOWN(基准地价修正!G3,1))*(B370:M370=基准地价修正!G2)*(B371:M460))</f>
        <v>1.1565000000000001</v>
      </c>
      <c r="Q370" s="2876" t="s">
        <v>2794</v>
      </c>
      <c r="R370" s="2876" t="s">
        <v>2795</v>
      </c>
      <c r="S370" s="2876" t="s">
        <v>2796</v>
      </c>
      <c r="T370" s="2876" t="s">
        <v>2797</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84585</v>
      </c>
      <c r="C2" s="2" t="s">
        <v>106</v>
      </c>
      <c r="D2" s="191"/>
      <c r="E2" s="191"/>
      <c r="F2" s="191"/>
      <c r="G2" s="191"/>
    </row>
    <row r="3" spans="1:7" s="192" customFormat="1" ht="18" customHeight="1" thickBot="1">
      <c r="A3" s="195" t="s">
        <v>58</v>
      </c>
      <c r="B3" s="196">
        <f ca="1">ROUND(B2*10000/'数据-汇总表'!E3,0)</f>
        <v>12521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578</v>
      </c>
      <c r="D9" s="792">
        <f>'数据-汇总表'!E5</f>
        <v>36124.270000000026</v>
      </c>
      <c r="E9" s="217">
        <f>'数据-取费表'!B27</f>
        <v>160</v>
      </c>
      <c r="F9" s="213"/>
      <c r="G9" s="218"/>
    </row>
    <row r="10" spans="1:7" s="206" customFormat="1" ht="13.5" customHeight="1">
      <c r="A10" s="730" t="s">
        <v>356</v>
      </c>
      <c r="B10" s="216" t="s">
        <v>67</v>
      </c>
      <c r="C10" s="217">
        <f>ROUND(D10*E10/10000,0)</f>
        <v>629</v>
      </c>
      <c r="D10" s="792">
        <f>'数据-汇总表'!E6</f>
        <v>31429.799999999894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1351</v>
      </c>
      <c r="D19" s="204">
        <f>'数据-汇总表'!E3</f>
        <v>67554.06999999992</v>
      </c>
      <c r="E19" s="203">
        <f>'数据-取费表'!B31</f>
        <v>200</v>
      </c>
      <c r="F19" s="223"/>
      <c r="G19" s="1" t="s">
        <v>436</v>
      </c>
    </row>
    <row r="20" spans="1:7" s="206" customFormat="1" ht="13.5" customHeight="1">
      <c r="A20" s="728" t="s">
        <v>419</v>
      </c>
      <c r="B20" s="202" t="s">
        <v>77</v>
      </c>
      <c r="C20" s="224">
        <f>ROUND((C5+C19)*F20,0)</f>
        <v>659</v>
      </c>
      <c r="D20" s="224"/>
      <c r="E20" s="224"/>
      <c r="F20" s="225">
        <f>'数据-取费表'!B37</f>
        <v>0.03</v>
      </c>
      <c r="G20" s="1001" t="s">
        <v>430</v>
      </c>
    </row>
    <row r="21" spans="1:7" s="206" customFormat="1" ht="13.5" customHeight="1">
      <c r="A21" s="728" t="s">
        <v>421</v>
      </c>
      <c r="B21" s="202" t="s">
        <v>78</v>
      </c>
      <c r="C21" s="227">
        <f>F21</f>
        <v>0.03</v>
      </c>
      <c r="D21" s="228" t="s">
        <v>99</v>
      </c>
      <c r="E21" s="224"/>
      <c r="F21" s="225">
        <f>'数据-取费表'!B38</f>
        <v>0.03</v>
      </c>
      <c r="G21" s="226" t="s">
        <v>79</v>
      </c>
    </row>
    <row r="22" spans="1:7" s="206" customFormat="1" ht="13.5" customHeight="1">
      <c r="A22" s="728" t="s">
        <v>341</v>
      </c>
      <c r="B22" s="202" t="s">
        <v>80</v>
      </c>
      <c r="C22" s="1038">
        <f ca="1">ROUND(SUM(C23:C25),0)</f>
        <v>1851</v>
      </c>
      <c r="D22" s="227">
        <f ca="1">C26</f>
        <v>1.1999999999999999E-3</v>
      </c>
      <c r="E22" s="228" t="s">
        <v>99</v>
      </c>
      <c r="F22" s="229">
        <f ca="1">'数据-取费表'!B40</f>
        <v>0.03</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1712</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112</v>
      </c>
      <c r="D24" s="230"/>
      <c r="E24" s="230"/>
      <c r="F24" s="231"/>
      <c r="G24" s="232" t="s">
        <v>82</v>
      </c>
    </row>
    <row r="25" spans="1:7" s="206" customFormat="1" ht="24">
      <c r="A25" s="731" t="s">
        <v>348</v>
      </c>
      <c r="B25" s="207" t="s">
        <v>420</v>
      </c>
      <c r="C25" s="1039">
        <f ca="1">ROUND(IF('数据-取费表'!B22&lt;=1,C20*F22*'数据-取费表'!B23/2,C20*(POWER((1+F22),'数据-取费表'!B23/2)-1)),0)</f>
        <v>27</v>
      </c>
      <c r="D25" s="230"/>
      <c r="E25" s="233"/>
      <c r="F25" s="231"/>
      <c r="G25" s="234" t="s">
        <v>83</v>
      </c>
    </row>
    <row r="26" spans="1:7" s="206" customFormat="1">
      <c r="A26" s="731" t="s">
        <v>350</v>
      </c>
      <c r="B26" s="207" t="s">
        <v>422</v>
      </c>
      <c r="C26" s="230">
        <f ca="1">ROUND(IF('数据-取费表'!B22&lt;=1,F21*F22*'数据-取费表'!B23/2,F21*(POWER((1+F22),'数据-取费表'!B23/2)-1)),4)</f>
        <v>1.1999999999999999E-3</v>
      </c>
      <c r="D26" s="230"/>
      <c r="E26" s="233"/>
      <c r="F26" s="231"/>
      <c r="G26" s="235"/>
    </row>
    <row r="27" spans="1:7" s="206" customFormat="1" ht="24.75">
      <c r="A27" s="728" t="s">
        <v>342</v>
      </c>
      <c r="B27" s="236" t="s">
        <v>85</v>
      </c>
      <c r="C27" s="237">
        <f>C28</f>
        <v>2239</v>
      </c>
      <c r="D27" s="227">
        <f>C29</f>
        <v>3.0000000000000001E-3</v>
      </c>
      <c r="E27" s="228" t="s">
        <v>99</v>
      </c>
      <c r="F27" s="238">
        <f>'数据-取费表'!Q16</f>
        <v>0.11</v>
      </c>
      <c r="G27" s="239" t="s">
        <v>431</v>
      </c>
    </row>
    <row r="28" spans="1:7" s="206" customFormat="1" ht="13.5" customHeight="1">
      <c r="A28" s="731" t="s">
        <v>349</v>
      </c>
      <c r="B28" s="240" t="s">
        <v>424</v>
      </c>
      <c r="C28" s="241">
        <f>ROUND((C5+C19+C20)*F27*'数据-取费表'!B21/'数据-取费表'!B20,0)</f>
        <v>2239</v>
      </c>
      <c r="D28" s="227"/>
      <c r="E28" s="228"/>
      <c r="F28" s="238"/>
      <c r="G28" s="239"/>
    </row>
    <row r="29" spans="1:7" s="206" customFormat="1" ht="13.5" customHeight="1">
      <c r="A29" s="731" t="s">
        <v>347</v>
      </c>
      <c r="B29" s="240" t="s">
        <v>425</v>
      </c>
      <c r="C29" s="230">
        <f>ROUND(C21*F27*'数据-取费表'!B21/'数据-取费表'!B20,4)</f>
        <v>3.0000000000000001E-3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29272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42570</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36633</v>
      </c>
      <c r="D34" s="209"/>
      <c r="E34" s="212"/>
      <c r="F34" s="249">
        <f>IF('数据-取费表'!B24=0,1,'数据-取费表'!N16)</f>
        <v>0.9</v>
      </c>
      <c r="G34" s="211" t="s">
        <v>89</v>
      </c>
    </row>
    <row r="35" spans="1:7" ht="13.5" customHeight="1">
      <c r="A35" s="731" t="s">
        <v>351</v>
      </c>
      <c r="B35" s="207" t="s">
        <v>33</v>
      </c>
      <c r="C35" s="212">
        <f>ROUND(C34*F35,0)</f>
        <v>2931</v>
      </c>
      <c r="D35" s="212"/>
      <c r="E35" s="212"/>
      <c r="F35" s="251">
        <f>'数据-取费表'!B33</f>
        <v>0.08</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1057</v>
      </c>
      <c r="D36" s="212"/>
      <c r="E36" s="212"/>
      <c r="F36" s="251">
        <f>'数据-取费表'!B34</f>
        <v>0.05</v>
      </c>
      <c r="G36" s="252" t="s">
        <v>35</v>
      </c>
    </row>
    <row r="37" spans="1:7" s="250" customFormat="1" ht="13.5" customHeight="1">
      <c r="A37" s="731" t="s">
        <v>353</v>
      </c>
      <c r="B37" s="207" t="s">
        <v>91</v>
      </c>
      <c r="C37" s="241">
        <f>ROUND(E37*D37*F34/10000,0)</f>
        <v>1216</v>
      </c>
      <c r="D37" s="209">
        <f>'数据-汇总表'!E3</f>
        <v>67554.06999999992</v>
      </c>
      <c r="E37" s="241">
        <f>'数据-取费表'!B35</f>
        <v>200</v>
      </c>
      <c r="F37" s="251"/>
      <c r="G37" s="253" t="s">
        <v>92</v>
      </c>
    </row>
    <row r="38" spans="1:7" ht="13.5" customHeight="1">
      <c r="A38" s="731" t="s">
        <v>354</v>
      </c>
      <c r="B38" s="207" t="s">
        <v>36</v>
      </c>
      <c r="C38" s="212">
        <f>ROUND(C34*F38,0)</f>
        <v>733</v>
      </c>
      <c r="D38" s="212"/>
      <c r="E38" s="212"/>
      <c r="F38" s="251">
        <f>'数据-取费表'!B36</f>
        <v>0.02</v>
      </c>
      <c r="G38" s="211" t="s">
        <v>90</v>
      </c>
    </row>
    <row r="39" spans="1:7" s="206" customFormat="1" ht="13.5" customHeight="1">
      <c r="A39" s="728" t="s">
        <v>338</v>
      </c>
      <c r="B39" s="202" t="s">
        <v>77</v>
      </c>
      <c r="C39" s="224">
        <f>ROUND(C33*F20,0)</f>
        <v>1277</v>
      </c>
      <c r="D39" s="224"/>
      <c r="E39" s="224"/>
      <c r="F39" s="225"/>
      <c r="G39" s="1001" t="s">
        <v>433</v>
      </c>
    </row>
    <row r="40" spans="1:7" s="206" customFormat="1" ht="13.5" customHeight="1">
      <c r="A40" s="728" t="s">
        <v>339</v>
      </c>
      <c r="B40" s="202" t="s">
        <v>78</v>
      </c>
      <c r="C40" s="254">
        <f>F21</f>
        <v>0.03</v>
      </c>
      <c r="D40" s="228" t="s">
        <v>102</v>
      </c>
      <c r="E40" s="224"/>
      <c r="F40" s="225"/>
      <c r="G40" s="226" t="s">
        <v>93</v>
      </c>
    </row>
    <row r="41" spans="1:7" s="206" customFormat="1" ht="13.5" customHeight="1">
      <c r="A41" s="728" t="s">
        <v>340</v>
      </c>
      <c r="B41" s="202" t="s">
        <v>80</v>
      </c>
      <c r="C41" s="224">
        <f ca="1">ROUND(SUM(C42:C43),0)</f>
        <v>1785</v>
      </c>
      <c r="D41" s="227">
        <f ca="1">C44</f>
        <v>1.1999999999999999E-3</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1733</v>
      </c>
      <c r="D42" s="230"/>
      <c r="E42" s="230"/>
      <c r="F42" s="231"/>
      <c r="G42" s="3446" t="s">
        <v>94</v>
      </c>
    </row>
    <row r="43" spans="1:7" ht="13.5" customHeight="1">
      <c r="A43" s="731" t="s">
        <v>347</v>
      </c>
      <c r="B43" s="207" t="s">
        <v>426</v>
      </c>
      <c r="C43" s="230">
        <f ca="1">ROUND(IF('数据-取费表'!B22&lt;=1,C39*F22*'数据-取费表'!B21/2,C39*(POWER((1+F22),'数据-取费表'!B21/2)-1)),0)</f>
        <v>52</v>
      </c>
      <c r="D43" s="230"/>
      <c r="E43" s="230"/>
      <c r="F43" s="231"/>
      <c r="G43" s="3447"/>
    </row>
    <row r="44" spans="1:7" ht="13.5" customHeight="1">
      <c r="A44" s="731" t="s">
        <v>348</v>
      </c>
      <c r="B44" s="207" t="s">
        <v>428</v>
      </c>
      <c r="C44" s="230">
        <f ca="1">ROUND(IF('数据-取费表'!B22&lt;=1,C40*F22*'数据-取费表'!B21/2,C40*(POWER((1+F22),'数据-取费表'!B21/2)-1)),4)</f>
        <v>1.1999999999999999E-3</v>
      </c>
      <c r="D44" s="230"/>
      <c r="E44" s="230"/>
      <c r="F44" s="231"/>
      <c r="G44" s="3448"/>
    </row>
    <row r="45" spans="1:7" s="206" customFormat="1" ht="13.5" customHeight="1">
      <c r="A45" s="728" t="s">
        <v>341</v>
      </c>
      <c r="B45" s="236" t="s">
        <v>85</v>
      </c>
      <c r="C45" s="237">
        <f>C46</f>
        <v>4823</v>
      </c>
      <c r="D45" s="227">
        <f>C47</f>
        <v>3.3E-3</v>
      </c>
      <c r="E45" s="228" t="s">
        <v>102</v>
      </c>
      <c r="F45" s="238"/>
      <c r="G45" s="239" t="s">
        <v>434</v>
      </c>
    </row>
    <row r="46" spans="1:7" s="206" customFormat="1" ht="13.5" customHeight="1">
      <c r="A46" s="731" t="s">
        <v>349</v>
      </c>
      <c r="B46" s="240" t="s">
        <v>427</v>
      </c>
      <c r="C46" s="241">
        <f>ROUND((C33+C39)*F27,0)</f>
        <v>4823</v>
      </c>
      <c r="D46" s="255"/>
      <c r="E46" s="228"/>
      <c r="F46" s="238"/>
      <c r="G46" s="239"/>
    </row>
    <row r="47" spans="1:7" s="206" customFormat="1" ht="13.5" customHeight="1">
      <c r="A47" s="731" t="s">
        <v>347</v>
      </c>
      <c r="B47" s="240" t="s">
        <v>429</v>
      </c>
      <c r="C47" s="230">
        <f>ROUND(C40*F27,4)</f>
        <v>3.3E-3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55313</v>
      </c>
      <c r="D49" s="224"/>
      <c r="E49" s="224"/>
      <c r="F49" s="256"/>
      <c r="G49" s="226" t="s">
        <v>435</v>
      </c>
    </row>
    <row r="50" spans="1:7" s="250" customFormat="1" ht="24">
      <c r="A50" s="728" t="s">
        <v>344</v>
      </c>
      <c r="B50" s="202" t="s">
        <v>97</v>
      </c>
      <c r="C50" s="224"/>
      <c r="D50" s="224"/>
      <c r="E50" s="224"/>
      <c r="F50" s="256">
        <f>IF('数据-取费表'!B24=0,'数据-取费表'!N16,1)</f>
        <v>1</v>
      </c>
      <c r="G50" s="239" t="s">
        <v>98</v>
      </c>
    </row>
    <row r="51" spans="1:7" ht="16.5" customHeight="1">
      <c r="A51" s="728" t="s">
        <v>345</v>
      </c>
      <c r="B51" s="202" t="s">
        <v>105</v>
      </c>
      <c r="C51" s="224">
        <f ca="1">ROUND(C49*F50,0)</f>
        <v>55313</v>
      </c>
      <c r="D51" s="224"/>
      <c r="E51" s="224"/>
      <c r="F51" s="256"/>
      <c r="G51" s="226" t="s">
        <v>37</v>
      </c>
    </row>
    <row r="52" spans="1:7" s="200" customFormat="1" ht="16.5" thickBot="1">
      <c r="A52" s="257" t="s">
        <v>38</v>
      </c>
      <c r="B52" s="258"/>
      <c r="C52" s="259">
        <f ca="1">C31+C51</f>
        <v>84585</v>
      </c>
      <c r="D52" s="258"/>
      <c r="E52" s="258"/>
      <c r="F52" s="258"/>
      <c r="G52" s="260"/>
    </row>
    <row r="55" spans="1:7" ht="15">
      <c r="B55" s="262" t="s">
        <v>39</v>
      </c>
      <c r="C55" s="263"/>
    </row>
    <row r="56" spans="1:7">
      <c r="B56" s="265" t="s">
        <v>40</v>
      </c>
      <c r="C56" s="266">
        <f ca="1">ROUND(C51/C52,3)</f>
        <v>0.65400000000000003</v>
      </c>
    </row>
    <row r="57" spans="1:7">
      <c r="B57" s="265" t="s">
        <v>41</v>
      </c>
      <c r="C57" s="267">
        <f ca="1">1-C56</f>
        <v>0.34599999999999997</v>
      </c>
    </row>
  </sheetData>
  <mergeCells count="1">
    <mergeCell ref="G42:G44"/>
  </mergeCells>
  <phoneticPr fontId="18" type="noConversion"/>
  <dataValidations count="2">
    <dataValidation type="list" allowBlank="1" showInputMessage="1" showErrorMessage="1" sqref="G19" xr:uid="{00000000-0002-0000-3500-000000000000}">
      <formula1>"已包含在土地取得成本中,未包含在土地取得成本中"</formula1>
    </dataValidation>
    <dataValidation type="list" allowBlank="1" showInputMessage="1" showErrorMessage="1" sqref="G8" xr:uid="{00000000-0002-0000-3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83" t="s">
        <v>3171</v>
      </c>
      <c r="B1" s="3583"/>
    </row>
    <row r="2" spans="1:7" ht="14.25" thickBot="1">
      <c r="A2" s="2964"/>
      <c r="B2" s="2964"/>
    </row>
    <row r="3" spans="1:7" ht="14.25" thickBot="1">
      <c r="A3" s="2964"/>
      <c r="B3" s="2964"/>
      <c r="C3" s="2965" t="s">
        <v>2801</v>
      </c>
      <c r="D3" s="2965" t="s">
        <v>2857</v>
      </c>
      <c r="E3" s="2965" t="s">
        <v>2803</v>
      </c>
      <c r="F3" s="2965" t="s">
        <v>2858</v>
      </c>
      <c r="G3" s="2965" t="s">
        <v>2621</v>
      </c>
    </row>
    <row r="4" spans="1:7" ht="14.25" thickBot="1">
      <c r="A4" s="2966" t="s">
        <v>2856</v>
      </c>
      <c r="B4" s="2967" t="s">
        <v>2862</v>
      </c>
      <c r="C4" s="2965"/>
      <c r="D4" s="2965"/>
      <c r="E4" s="2965"/>
      <c r="F4" s="2965"/>
      <c r="G4" s="2965"/>
    </row>
    <row r="5" spans="1:7">
      <c r="A5" s="2968" t="s">
        <v>2830</v>
      </c>
      <c r="B5" s="2969" t="s">
        <v>2844</v>
      </c>
      <c r="C5" s="2970">
        <v>9.8000000000000004E-2</v>
      </c>
      <c r="D5" s="2970">
        <v>8.6999999999999994E-2</v>
      </c>
      <c r="E5" s="2970">
        <v>8.6999999999999994E-2</v>
      </c>
      <c r="F5" s="2970">
        <v>9.8000000000000004E-2</v>
      </c>
      <c r="G5" s="2971">
        <v>9.5000000000000001E-2</v>
      </c>
    </row>
    <row r="6" spans="1:7">
      <c r="A6" s="2972" t="s">
        <v>144</v>
      </c>
      <c r="B6" s="2973" t="s">
        <v>2859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2845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2913</v>
      </c>
      <c r="C29" s="2982"/>
      <c r="D29" s="2978">
        <v>5.1999999999999998E-2</v>
      </c>
      <c r="E29" s="2978">
        <v>7.0000000000000007E-2</v>
      </c>
      <c r="F29" s="2982"/>
      <c r="G29" s="2980">
        <v>7.0999999999999994E-2</v>
      </c>
    </row>
    <row r="30" spans="1:7">
      <c r="A30" s="2983" t="s">
        <v>296</v>
      </c>
      <c r="B30" s="2969" t="s">
        <v>2846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2916</v>
      </c>
      <c r="C50" s="2974">
        <v>9.8000000000000004E-2</v>
      </c>
      <c r="D50" s="2974">
        <v>7.2999999999999995E-2</v>
      </c>
      <c r="E50" s="2974">
        <v>7.0999999999999994E-2</v>
      </c>
      <c r="F50" s="2985"/>
      <c r="G50" s="2975">
        <v>7.2999999999999995E-2</v>
      </c>
    </row>
    <row r="51" spans="1:7">
      <c r="A51" s="2984" t="s">
        <v>296</v>
      </c>
      <c r="B51" s="2973" t="s">
        <v>2918</v>
      </c>
      <c r="C51" s="2974">
        <v>9.9000000000000005E-2</v>
      </c>
      <c r="D51" s="2974">
        <v>8.5000000000000006E-2</v>
      </c>
      <c r="E51" s="2974">
        <v>6.3E-2</v>
      </c>
      <c r="F51" s="2985"/>
      <c r="G51" s="2975">
        <v>9.6000000000000002E-2</v>
      </c>
    </row>
    <row r="52" spans="1:7">
      <c r="A52" s="2984" t="s">
        <v>296</v>
      </c>
      <c r="B52" s="2973" t="s">
        <v>2922</v>
      </c>
      <c r="C52" s="2974">
        <v>7.3999999999999996E-2</v>
      </c>
      <c r="D52" s="2974">
        <v>9.6000000000000002E-2</v>
      </c>
      <c r="E52" s="2974">
        <v>0.05</v>
      </c>
      <c r="F52" s="2985"/>
      <c r="G52" s="2975">
        <v>9.8000000000000004E-2</v>
      </c>
    </row>
    <row r="53" spans="1:7">
      <c r="A53" s="2984" t="s">
        <v>296</v>
      </c>
      <c r="B53" s="2973" t="s">
        <v>2927</v>
      </c>
      <c r="C53" s="2974">
        <v>8.5999999999999993E-2</v>
      </c>
      <c r="D53" s="2985"/>
      <c r="E53" s="2974">
        <v>9.1999999999999998E-2</v>
      </c>
      <c r="F53" s="2985"/>
      <c r="G53" s="2986"/>
    </row>
    <row r="54" spans="1:7" ht="14.25" thickBot="1">
      <c r="A54" s="2987" t="s">
        <v>296</v>
      </c>
      <c r="B54" s="2977" t="s">
        <v>2930</v>
      </c>
      <c r="C54" s="2978">
        <v>9.6000000000000002E-2</v>
      </c>
      <c r="D54" s="2979"/>
      <c r="E54" s="2988"/>
      <c r="F54" s="2979"/>
      <c r="G54" s="2989"/>
    </row>
    <row r="55" spans="1:7">
      <c r="A55" s="2983" t="s">
        <v>110</v>
      </c>
      <c r="B55" s="2969" t="s">
        <v>2847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2928</v>
      </c>
      <c r="C78" s="2974">
        <v>0.1</v>
      </c>
      <c r="D78" s="2974">
        <v>8.5000000000000006E-2</v>
      </c>
      <c r="E78" s="2974">
        <v>9.6000000000000002E-2</v>
      </c>
      <c r="F78" s="2985"/>
      <c r="G78" s="2975">
        <v>9.6000000000000002E-2</v>
      </c>
    </row>
    <row r="79" spans="1:7">
      <c r="A79" s="2984" t="s">
        <v>110</v>
      </c>
      <c r="B79" s="2973" t="s">
        <v>2931</v>
      </c>
      <c r="C79" s="2974">
        <v>0.05</v>
      </c>
      <c r="D79" s="2974">
        <v>9.6000000000000002E-2</v>
      </c>
      <c r="E79" s="2974">
        <v>9.5000000000000001E-2</v>
      </c>
      <c r="F79" s="2985"/>
      <c r="G79" s="2975">
        <v>9.8000000000000004E-2</v>
      </c>
    </row>
    <row r="80" spans="1:7">
      <c r="A80" s="2984" t="s">
        <v>110</v>
      </c>
      <c r="B80" s="2973" t="s">
        <v>2935</v>
      </c>
      <c r="C80" s="2974">
        <v>8.5999999999999993E-2</v>
      </c>
      <c r="D80" s="2990"/>
      <c r="E80" s="2974">
        <v>0.1</v>
      </c>
      <c r="F80" s="2985"/>
      <c r="G80" s="2986"/>
    </row>
    <row r="81" spans="1:7">
      <c r="A81" s="2984" t="s">
        <v>110</v>
      </c>
      <c r="B81" s="2973" t="s">
        <v>2940</v>
      </c>
      <c r="C81" s="2974">
        <v>9.6000000000000002E-2</v>
      </c>
      <c r="D81" s="2985"/>
      <c r="E81" s="2974">
        <v>9.8000000000000004E-2</v>
      </c>
      <c r="F81" s="2985"/>
      <c r="G81" s="2986"/>
    </row>
    <row r="82" spans="1:7">
      <c r="A82" s="2984" t="s">
        <v>110</v>
      </c>
      <c r="B82" s="2973" t="s">
        <v>2947</v>
      </c>
      <c r="C82" s="2990"/>
      <c r="D82" s="2985"/>
      <c r="E82" s="2974">
        <v>7.6999999999999999E-2</v>
      </c>
      <c r="F82" s="2985"/>
      <c r="G82" s="2986"/>
    </row>
    <row r="83" spans="1:7">
      <c r="A83" s="2984" t="s">
        <v>110</v>
      </c>
      <c r="B83" s="2973" t="s">
        <v>2953</v>
      </c>
      <c r="C83" s="2985"/>
      <c r="D83" s="2985"/>
      <c r="E83" s="2985"/>
      <c r="F83" s="2974">
        <v>0.1</v>
      </c>
      <c r="G83" s="2991"/>
    </row>
    <row r="84" spans="1:7">
      <c r="A84" s="2984" t="s">
        <v>110</v>
      </c>
      <c r="B84" s="2973" t="s">
        <v>2960</v>
      </c>
      <c r="C84" s="2985"/>
      <c r="D84" s="2985"/>
      <c r="E84" s="2985"/>
      <c r="F84" s="2974">
        <v>0.1</v>
      </c>
      <c r="G84" s="2991"/>
    </row>
    <row r="85" spans="1:7">
      <c r="A85" s="2984" t="s">
        <v>110</v>
      </c>
      <c r="B85" s="2973" t="s">
        <v>2967</v>
      </c>
      <c r="C85" s="2985"/>
      <c r="D85" s="2985"/>
      <c r="E85" s="2985"/>
      <c r="F85" s="2974">
        <v>0.1</v>
      </c>
      <c r="G85" s="2991"/>
    </row>
    <row r="86" spans="1:7" ht="14.25" thickBot="1">
      <c r="A86" s="2987" t="s">
        <v>110</v>
      </c>
      <c r="B86" s="2977" t="s">
        <v>2972</v>
      </c>
      <c r="C86" s="2978">
        <v>9.8000000000000004E-2</v>
      </c>
      <c r="D86" s="2978">
        <v>9.8000000000000004E-2</v>
      </c>
      <c r="E86" s="2978">
        <v>9.6000000000000002E-2</v>
      </c>
      <c r="F86" s="2988"/>
      <c r="G86" s="2980">
        <v>0.1</v>
      </c>
    </row>
    <row r="87" spans="1:7">
      <c r="A87" s="2983" t="s">
        <v>303</v>
      </c>
      <c r="B87" s="2969" t="s">
        <v>2848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2941</v>
      </c>
      <c r="C113" s="2974">
        <v>0.1</v>
      </c>
      <c r="D113" s="2974">
        <v>0.1</v>
      </c>
      <c r="E113" s="2985"/>
      <c r="F113" s="2985"/>
      <c r="G113" s="2975">
        <v>0.1</v>
      </c>
    </row>
    <row r="114" spans="1:7">
      <c r="A114" s="2984" t="s">
        <v>303</v>
      </c>
      <c r="B114" s="2973" t="s">
        <v>2948</v>
      </c>
      <c r="C114" s="2974">
        <v>9.7000000000000003E-2</v>
      </c>
      <c r="D114" s="2974">
        <v>9.7000000000000003E-2</v>
      </c>
      <c r="E114" s="2985"/>
      <c r="F114" s="2985"/>
      <c r="G114" s="2975">
        <v>9.9000000000000005E-2</v>
      </c>
    </row>
    <row r="115" spans="1:7">
      <c r="A115" s="2984" t="s">
        <v>303</v>
      </c>
      <c r="B115" s="2973" t="s">
        <v>2954</v>
      </c>
      <c r="C115" s="2974">
        <v>0.1</v>
      </c>
      <c r="D115" s="2974">
        <v>0.1</v>
      </c>
      <c r="E115" s="2985"/>
      <c r="F115" s="2985"/>
      <c r="G115" s="2975">
        <v>0.1</v>
      </c>
    </row>
    <row r="116" spans="1:7">
      <c r="A116" s="2984" t="s">
        <v>303</v>
      </c>
      <c r="B116" s="2973" t="s">
        <v>2961</v>
      </c>
      <c r="C116" s="2974">
        <v>0.1</v>
      </c>
      <c r="D116" s="2974">
        <v>0.1</v>
      </c>
      <c r="E116" s="2985"/>
      <c r="F116" s="2985"/>
      <c r="G116" s="2975">
        <v>0.1</v>
      </c>
    </row>
    <row r="117" spans="1:7">
      <c r="A117" s="2984" t="s">
        <v>303</v>
      </c>
      <c r="B117" s="2973" t="s">
        <v>2968</v>
      </c>
      <c r="C117" s="2974">
        <v>9.7000000000000003E-2</v>
      </c>
      <c r="D117" s="2974">
        <v>9.7000000000000003E-2</v>
      </c>
      <c r="E117" s="2985"/>
      <c r="F117" s="2985"/>
      <c r="G117" s="2975">
        <v>9.7000000000000003E-2</v>
      </c>
    </row>
    <row r="118" spans="1:7">
      <c r="A118" s="2984" t="s">
        <v>303</v>
      </c>
      <c r="B118" s="2973" t="s">
        <v>2973</v>
      </c>
      <c r="C118" s="2974">
        <v>0.1</v>
      </c>
      <c r="D118" s="2974">
        <v>0.1</v>
      </c>
      <c r="E118" s="2985"/>
      <c r="F118" s="2985"/>
      <c r="G118" s="2975">
        <v>0.1</v>
      </c>
    </row>
    <row r="119" spans="1:7">
      <c r="A119" s="2984" t="s">
        <v>303</v>
      </c>
      <c r="B119" s="2973" t="s">
        <v>2977</v>
      </c>
      <c r="C119" s="2974">
        <v>5.0999999999999997E-2</v>
      </c>
      <c r="D119" s="2974">
        <v>5.1999999999999998E-2</v>
      </c>
      <c r="E119" s="2985"/>
      <c r="F119" s="2990"/>
      <c r="G119" s="2975">
        <v>0.06</v>
      </c>
    </row>
    <row r="120" spans="1:7">
      <c r="A120" s="2984" t="s">
        <v>303</v>
      </c>
      <c r="B120" s="2973" t="s">
        <v>2981</v>
      </c>
      <c r="C120" s="2985"/>
      <c r="D120" s="2985"/>
      <c r="E120" s="2985"/>
      <c r="F120" s="2974">
        <v>0.1</v>
      </c>
      <c r="G120" s="2991"/>
    </row>
    <row r="121" spans="1:7">
      <c r="A121" s="2984" t="s">
        <v>303</v>
      </c>
      <c r="B121" s="2973" t="s">
        <v>2986</v>
      </c>
      <c r="C121" s="2985"/>
      <c r="D121" s="2985"/>
      <c r="E121" s="2985"/>
      <c r="F121" s="2974">
        <v>0.1</v>
      </c>
      <c r="G121" s="2991"/>
    </row>
    <row r="122" spans="1:7">
      <c r="A122" s="2984" t="s">
        <v>303</v>
      </c>
      <c r="B122" s="2973" t="s">
        <v>2991</v>
      </c>
      <c r="C122" s="2974">
        <v>0.1</v>
      </c>
      <c r="D122" s="2974">
        <v>0.1</v>
      </c>
      <c r="E122" s="2974">
        <v>9.8000000000000004E-2</v>
      </c>
      <c r="F122" s="2974">
        <v>0.1</v>
      </c>
      <c r="G122" s="2975">
        <v>0.1</v>
      </c>
    </row>
    <row r="123" spans="1:7">
      <c r="A123" s="2984" t="s">
        <v>303</v>
      </c>
      <c r="B123" s="2973" t="s">
        <v>2996</v>
      </c>
      <c r="C123" s="2974">
        <v>0.1</v>
      </c>
      <c r="D123" s="2974">
        <v>0.1</v>
      </c>
      <c r="E123" s="2974">
        <v>9.8000000000000004E-2</v>
      </c>
      <c r="F123" s="2974">
        <v>0.1</v>
      </c>
      <c r="G123" s="2975">
        <v>0.1</v>
      </c>
    </row>
    <row r="124" spans="1:7">
      <c r="A124" s="2984" t="s">
        <v>303</v>
      </c>
      <c r="B124" s="2973" t="s">
        <v>3001</v>
      </c>
      <c r="C124" s="2974">
        <v>0.1</v>
      </c>
      <c r="D124" s="2974">
        <v>0.1</v>
      </c>
      <c r="E124" s="2974">
        <v>9.8000000000000004E-2</v>
      </c>
      <c r="F124" s="2990"/>
      <c r="G124" s="2975">
        <v>0.1</v>
      </c>
    </row>
    <row r="125" spans="1:7">
      <c r="A125" s="2984" t="s">
        <v>303</v>
      </c>
      <c r="B125" s="2973" t="s">
        <v>3006</v>
      </c>
      <c r="C125" s="2974">
        <v>9.8000000000000004E-2</v>
      </c>
      <c r="D125" s="2974">
        <v>9.8000000000000004E-2</v>
      </c>
      <c r="E125" s="2974">
        <v>9.6000000000000002E-2</v>
      </c>
      <c r="F125" s="2990"/>
      <c r="G125" s="2975">
        <v>0.1</v>
      </c>
    </row>
    <row r="126" spans="1:7" ht="14.25" thickBot="1">
      <c r="A126" s="2987" t="s">
        <v>303</v>
      </c>
      <c r="B126" s="2977" t="s">
        <v>3172</v>
      </c>
      <c r="C126" s="2978">
        <v>0.1</v>
      </c>
      <c r="D126" s="2978">
        <v>0.1</v>
      </c>
      <c r="E126" s="2978">
        <v>9.8000000000000004E-2</v>
      </c>
      <c r="F126" s="2978">
        <v>0.1</v>
      </c>
      <c r="G126" s="2980">
        <v>0.1</v>
      </c>
    </row>
    <row r="127" spans="1:7">
      <c r="A127" s="2983" t="s">
        <v>29</v>
      </c>
      <c r="B127" s="2969" t="s">
        <v>2849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2919</v>
      </c>
      <c r="C148" s="2974">
        <v>0.13</v>
      </c>
      <c r="D148" s="2974">
        <v>0.13</v>
      </c>
      <c r="E148" s="2974">
        <v>0.13</v>
      </c>
      <c r="F148" s="2985"/>
      <c r="G148" s="2975">
        <v>0.13</v>
      </c>
    </row>
    <row r="149" spans="1:7">
      <c r="A149" s="2984" t="s">
        <v>29</v>
      </c>
      <c r="B149" s="2973" t="s">
        <v>2923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2942</v>
      </c>
      <c r="C153" s="2974">
        <v>0.13</v>
      </c>
      <c r="D153" s="2974">
        <v>0.13</v>
      </c>
      <c r="E153" s="2974">
        <v>0.13</v>
      </c>
      <c r="F153" s="2974">
        <v>0.13</v>
      </c>
      <c r="G153" s="2975">
        <v>0.13</v>
      </c>
    </row>
    <row r="154" spans="1:7">
      <c r="A154" s="2984" t="s">
        <v>29</v>
      </c>
      <c r="B154" s="2973" t="s">
        <v>2949</v>
      </c>
      <c r="C154" s="2974">
        <v>0.121</v>
      </c>
      <c r="D154" s="2974">
        <v>0.121</v>
      </c>
      <c r="E154" s="2974">
        <v>0.105</v>
      </c>
      <c r="F154" s="2974">
        <v>0.121</v>
      </c>
      <c r="G154" s="2975">
        <v>0.123</v>
      </c>
    </row>
    <row r="155" spans="1:7">
      <c r="A155" s="2984" t="s">
        <v>29</v>
      </c>
      <c r="B155" s="2973" t="s">
        <v>2955</v>
      </c>
      <c r="C155" s="2974">
        <v>0.1</v>
      </c>
      <c r="D155" s="2974">
        <v>0.1</v>
      </c>
      <c r="E155" s="2974">
        <v>0.1</v>
      </c>
      <c r="F155" s="2974">
        <v>0.1</v>
      </c>
      <c r="G155" s="2975">
        <v>0.1</v>
      </c>
    </row>
    <row r="156" spans="1:7">
      <c r="A156" s="2984" t="s">
        <v>29</v>
      </c>
      <c r="B156" s="2973" t="s">
        <v>2962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2982</v>
      </c>
      <c r="C160" s="2974">
        <v>0.13</v>
      </c>
      <c r="D160" s="2974">
        <v>0.13</v>
      </c>
      <c r="E160" s="2974">
        <v>0.124</v>
      </c>
      <c r="F160" s="2974">
        <v>0.126</v>
      </c>
      <c r="G160" s="2975">
        <v>0.13</v>
      </c>
    </row>
    <row r="161" spans="1:7">
      <c r="A161" s="2984" t="s">
        <v>29</v>
      </c>
      <c r="B161" s="2973" t="s">
        <v>2987</v>
      </c>
      <c r="C161" s="2974">
        <v>0.13</v>
      </c>
      <c r="D161" s="2974">
        <v>0.13</v>
      </c>
      <c r="E161" s="2974">
        <v>0.124</v>
      </c>
      <c r="F161" s="2974">
        <v>0.127</v>
      </c>
      <c r="G161" s="2975">
        <v>0.13</v>
      </c>
    </row>
    <row r="162" spans="1:7">
      <c r="A162" s="2984" t="s">
        <v>29</v>
      </c>
      <c r="B162" s="2973" t="s">
        <v>2992</v>
      </c>
      <c r="C162" s="2974">
        <v>0.1</v>
      </c>
      <c r="D162" s="2974">
        <v>0.1</v>
      </c>
      <c r="E162" s="2974">
        <v>0.1</v>
      </c>
      <c r="F162" s="2974">
        <v>0.121</v>
      </c>
      <c r="G162" s="2975">
        <v>0.105</v>
      </c>
    </row>
    <row r="163" spans="1:7">
      <c r="A163" s="2984" t="s">
        <v>29</v>
      </c>
      <c r="B163" s="2973" t="s">
        <v>2997</v>
      </c>
      <c r="C163" s="2974">
        <v>0.1</v>
      </c>
      <c r="D163" s="2974">
        <v>0.1</v>
      </c>
      <c r="E163" s="2974">
        <v>0.1</v>
      </c>
      <c r="F163" s="2974">
        <v>0.1</v>
      </c>
      <c r="G163" s="2975">
        <v>0.1</v>
      </c>
    </row>
    <row r="164" spans="1:7">
      <c r="A164" s="2984" t="s">
        <v>29</v>
      </c>
      <c r="B164" s="2973" t="s">
        <v>3002</v>
      </c>
      <c r="C164" s="2990"/>
      <c r="D164" s="2990"/>
      <c r="E164" s="2990"/>
      <c r="F164" s="2974">
        <v>0.1</v>
      </c>
      <c r="G164" s="2986"/>
    </row>
    <row r="165" spans="1:7">
      <c r="A165" s="2984" t="s">
        <v>29</v>
      </c>
      <c r="B165" s="2973" t="s">
        <v>3173</v>
      </c>
      <c r="C165" s="2974">
        <v>0.126</v>
      </c>
      <c r="D165" s="2974">
        <v>0.126</v>
      </c>
      <c r="E165" s="2974">
        <v>0.11899999999999999</v>
      </c>
      <c r="F165" s="2974">
        <v>0.13</v>
      </c>
      <c r="G165" s="2975">
        <v>0.128</v>
      </c>
    </row>
    <row r="166" spans="1:7">
      <c r="A166" s="2984" t="s">
        <v>29</v>
      </c>
      <c r="B166" s="2973" t="s">
        <v>3012</v>
      </c>
      <c r="C166" s="2974">
        <v>0.129</v>
      </c>
      <c r="D166" s="2974">
        <v>0.129</v>
      </c>
      <c r="E166" s="2974">
        <v>0.123</v>
      </c>
      <c r="F166" s="2974">
        <v>0.128</v>
      </c>
      <c r="G166" s="2975">
        <v>0.13</v>
      </c>
    </row>
    <row r="167" spans="1:7">
      <c r="A167" s="2984" t="s">
        <v>29</v>
      </c>
      <c r="B167" s="2973" t="s">
        <v>3016</v>
      </c>
      <c r="C167" s="2974">
        <v>0.125</v>
      </c>
      <c r="D167" s="2974">
        <v>0.125</v>
      </c>
      <c r="E167" s="2974">
        <v>0.11700000000000001</v>
      </c>
      <c r="F167" s="2974">
        <v>0.13</v>
      </c>
      <c r="G167" s="2975">
        <v>0.126</v>
      </c>
    </row>
    <row r="168" spans="1:7">
      <c r="A168" s="2984" t="s">
        <v>29</v>
      </c>
      <c r="B168" s="2973" t="s">
        <v>3021</v>
      </c>
      <c r="C168" s="2974">
        <v>0.128</v>
      </c>
      <c r="D168" s="2974">
        <v>0.128</v>
      </c>
      <c r="E168" s="2974">
        <v>0.123</v>
      </c>
      <c r="F168" s="2985"/>
      <c r="G168" s="2975">
        <v>0.13</v>
      </c>
    </row>
    <row r="169" spans="1:7">
      <c r="A169" s="2984" t="s">
        <v>29</v>
      </c>
      <c r="B169" s="2973" t="s">
        <v>3174</v>
      </c>
      <c r="C169" s="2990"/>
      <c r="D169" s="2990"/>
      <c r="E169" s="2990"/>
      <c r="F169" s="2974">
        <v>0.05</v>
      </c>
      <c r="G169" s="2986"/>
    </row>
    <row r="170" spans="1:7">
      <c r="A170" s="2984" t="s">
        <v>29</v>
      </c>
      <c r="B170" s="2973" t="s">
        <v>3175</v>
      </c>
      <c r="C170" s="2990"/>
      <c r="D170" s="2990"/>
      <c r="E170" s="2990"/>
      <c r="F170" s="2974">
        <v>0.05</v>
      </c>
      <c r="G170" s="2986"/>
    </row>
    <row r="171" spans="1:7">
      <c r="A171" s="2984" t="s">
        <v>29</v>
      </c>
      <c r="B171" s="2973" t="s">
        <v>3176</v>
      </c>
      <c r="C171" s="2990"/>
      <c r="D171" s="2990"/>
      <c r="E171" s="2990"/>
      <c r="F171" s="2974">
        <v>0.05</v>
      </c>
      <c r="G171" s="2991"/>
    </row>
    <row r="172" spans="1:7">
      <c r="A172" s="2984" t="s">
        <v>29</v>
      </c>
      <c r="B172" s="2973" t="s">
        <v>3177</v>
      </c>
      <c r="C172" s="2990"/>
      <c r="D172" s="2990"/>
      <c r="E172" s="2990"/>
      <c r="F172" s="2974">
        <v>0.05</v>
      </c>
      <c r="G172" s="2991"/>
    </row>
    <row r="173" spans="1:7">
      <c r="A173" s="2984" t="s">
        <v>29</v>
      </c>
      <c r="B173" s="2973" t="s">
        <v>3178</v>
      </c>
      <c r="C173" s="2990"/>
      <c r="D173" s="2990"/>
      <c r="E173" s="2990"/>
      <c r="F173" s="2974">
        <v>0.05</v>
      </c>
      <c r="G173" s="2986"/>
    </row>
    <row r="174" spans="1:7">
      <c r="A174" s="2984" t="s">
        <v>29</v>
      </c>
      <c r="B174" s="2973" t="s">
        <v>3179</v>
      </c>
      <c r="C174" s="2990"/>
      <c r="D174" s="2990"/>
      <c r="E174" s="2990"/>
      <c r="F174" s="2974">
        <v>0.05</v>
      </c>
      <c r="G174" s="2986"/>
    </row>
    <row r="175" spans="1:7">
      <c r="A175" s="2984" t="s">
        <v>29</v>
      </c>
      <c r="B175" s="2973" t="s">
        <v>3180</v>
      </c>
      <c r="C175" s="2990"/>
      <c r="D175" s="2990"/>
      <c r="E175" s="2990"/>
      <c r="F175" s="2974">
        <v>0.05</v>
      </c>
      <c r="G175" s="2986"/>
    </row>
    <row r="176" spans="1:7">
      <c r="A176" s="2984" t="s">
        <v>29</v>
      </c>
      <c r="B176" s="2973" t="s">
        <v>3181</v>
      </c>
      <c r="C176" s="2990"/>
      <c r="D176" s="2990"/>
      <c r="E176" s="2990"/>
      <c r="F176" s="2974">
        <v>0.05</v>
      </c>
      <c r="G176" s="2986"/>
    </row>
    <row r="177" spans="1:7">
      <c r="A177" s="2984" t="s">
        <v>29</v>
      </c>
      <c r="B177" s="2973" t="s">
        <v>3182</v>
      </c>
      <c r="C177" s="2985"/>
      <c r="D177" s="2985"/>
      <c r="E177" s="2985"/>
      <c r="F177" s="2974">
        <v>0.05</v>
      </c>
      <c r="G177" s="2991"/>
    </row>
    <row r="178" spans="1:7">
      <c r="A178" s="2984" t="s">
        <v>29</v>
      </c>
      <c r="B178" s="2973" t="s">
        <v>3183</v>
      </c>
      <c r="C178" s="2985"/>
      <c r="D178" s="2985"/>
      <c r="E178" s="2985"/>
      <c r="F178" s="2974">
        <v>0.05</v>
      </c>
      <c r="G178" s="2991"/>
    </row>
    <row r="179" spans="1:7">
      <c r="A179" s="2984" t="s">
        <v>29</v>
      </c>
      <c r="B179" s="2973" t="s">
        <v>3184</v>
      </c>
      <c r="C179" s="2985"/>
      <c r="D179" s="2985"/>
      <c r="E179" s="2985"/>
      <c r="F179" s="2974">
        <v>0.05</v>
      </c>
      <c r="G179" s="2991"/>
    </row>
    <row r="180" spans="1:7">
      <c r="A180" s="2984" t="s">
        <v>29</v>
      </c>
      <c r="B180" s="2973" t="s">
        <v>3185</v>
      </c>
      <c r="C180" s="2985"/>
      <c r="D180" s="2985"/>
      <c r="E180" s="2985"/>
      <c r="F180" s="2974">
        <v>0.05</v>
      </c>
      <c r="G180" s="2991"/>
    </row>
    <row r="181" spans="1:7">
      <c r="A181" s="2984" t="s">
        <v>29</v>
      </c>
      <c r="B181" s="2973" t="s">
        <v>3186</v>
      </c>
      <c r="C181" s="2985"/>
      <c r="D181" s="2985"/>
      <c r="E181" s="2985"/>
      <c r="F181" s="2974">
        <v>0.05</v>
      </c>
      <c r="G181" s="2991"/>
    </row>
    <row r="182" spans="1:7">
      <c r="A182" s="2984" t="s">
        <v>29</v>
      </c>
      <c r="B182" s="2973" t="s">
        <v>3187</v>
      </c>
      <c r="C182" s="2985"/>
      <c r="D182" s="2985"/>
      <c r="E182" s="2985"/>
      <c r="F182" s="2974">
        <v>0.05</v>
      </c>
      <c r="G182" s="2991"/>
    </row>
    <row r="183" spans="1:7">
      <c r="A183" s="2984" t="s">
        <v>29</v>
      </c>
      <c r="B183" s="2973" t="s">
        <v>3188</v>
      </c>
      <c r="C183" s="2985"/>
      <c r="D183" s="2985"/>
      <c r="E183" s="2985"/>
      <c r="F183" s="2974">
        <v>0.05</v>
      </c>
      <c r="G183" s="2991"/>
    </row>
    <row r="184" spans="1:7">
      <c r="A184" s="2984" t="s">
        <v>29</v>
      </c>
      <c r="B184" s="2973" t="s">
        <v>3189</v>
      </c>
      <c r="C184" s="2985"/>
      <c r="D184" s="2985"/>
      <c r="E184" s="2985"/>
      <c r="F184" s="2974">
        <v>0.05</v>
      </c>
      <c r="G184" s="2991"/>
    </row>
    <row r="185" spans="1:7">
      <c r="A185" s="2984" t="s">
        <v>29</v>
      </c>
      <c r="B185" s="2973" t="s">
        <v>3190</v>
      </c>
      <c r="C185" s="2985"/>
      <c r="D185" s="2985"/>
      <c r="E185" s="2985"/>
      <c r="F185" s="2974">
        <v>0.05</v>
      </c>
      <c r="G185" s="2991"/>
    </row>
    <row r="186" spans="1:7">
      <c r="A186" s="2984" t="s">
        <v>29</v>
      </c>
      <c r="B186" s="2973" t="s">
        <v>3191</v>
      </c>
      <c r="C186" s="2985"/>
      <c r="D186" s="2985"/>
      <c r="E186" s="2985"/>
      <c r="F186" s="2974">
        <v>0.05</v>
      </c>
      <c r="G186" s="2991"/>
    </row>
    <row r="187" spans="1:7">
      <c r="A187" s="2984" t="s">
        <v>29</v>
      </c>
      <c r="B187" s="2973" t="s">
        <v>3192</v>
      </c>
      <c r="C187" s="2985"/>
      <c r="D187" s="2985"/>
      <c r="E187" s="2985"/>
      <c r="F187" s="2974">
        <v>0.05</v>
      </c>
      <c r="G187" s="2991"/>
    </row>
    <row r="188" spans="1:7">
      <c r="A188" s="2984" t="s">
        <v>29</v>
      </c>
      <c r="B188" s="2973" t="s">
        <v>3193</v>
      </c>
      <c r="C188" s="2985"/>
      <c r="D188" s="2985"/>
      <c r="E188" s="2985"/>
      <c r="F188" s="2974">
        <v>0.05</v>
      </c>
      <c r="G188" s="2991"/>
    </row>
    <row r="189" spans="1:7" ht="14.25" thickBot="1">
      <c r="A189" s="2987" t="s">
        <v>29</v>
      </c>
      <c r="B189" s="2977" t="s">
        <v>3194</v>
      </c>
      <c r="C189" s="2979"/>
      <c r="D189" s="2979"/>
      <c r="E189" s="2979"/>
      <c r="F189" s="2978">
        <v>0.05</v>
      </c>
      <c r="G189" s="2992"/>
    </row>
    <row r="190" spans="1:7">
      <c r="A190" s="2983" t="s">
        <v>304</v>
      </c>
      <c r="B190" s="2969" t="s">
        <v>2850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2886</v>
      </c>
      <c r="C199" s="2974">
        <v>0.13</v>
      </c>
      <c r="D199" s="2974">
        <v>0.13</v>
      </c>
      <c r="E199" s="2974">
        <v>0.13</v>
      </c>
      <c r="F199" s="2974">
        <v>0.13</v>
      </c>
      <c r="G199" s="2975">
        <v>0.13</v>
      </c>
    </row>
    <row r="200" spans="1:7">
      <c r="A200" s="2984" t="s">
        <v>304</v>
      </c>
      <c r="B200" s="2973" t="s">
        <v>2889</v>
      </c>
      <c r="C200" s="2990"/>
      <c r="D200" s="2990"/>
      <c r="E200" s="2990"/>
      <c r="F200" s="2974">
        <v>0.13</v>
      </c>
      <c r="G200" s="2986"/>
    </row>
    <row r="201" spans="1:7">
      <c r="A201" s="2984" t="s">
        <v>304</v>
      </c>
      <c r="B201" s="2973" t="s">
        <v>2894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2897</v>
      </c>
      <c r="C203" s="2974">
        <v>0.129</v>
      </c>
      <c r="D203" s="2974">
        <v>0.129</v>
      </c>
      <c r="E203" s="2974">
        <v>0.13</v>
      </c>
      <c r="F203" s="2974">
        <v>0.13</v>
      </c>
      <c r="G203" s="2975">
        <v>0.13</v>
      </c>
    </row>
    <row r="204" spans="1:7">
      <c r="A204" s="2984" t="s">
        <v>304</v>
      </c>
      <c r="B204" s="2973" t="s">
        <v>2900</v>
      </c>
      <c r="C204" s="2974">
        <v>0.129</v>
      </c>
      <c r="D204" s="2974">
        <v>0.129</v>
      </c>
      <c r="E204" s="2974">
        <v>0.123</v>
      </c>
      <c r="F204" s="2974">
        <v>0.13</v>
      </c>
      <c r="G204" s="2975">
        <v>0.13</v>
      </c>
    </row>
    <row r="205" spans="1:7">
      <c r="A205" s="2984" t="s">
        <v>304</v>
      </c>
      <c r="B205" s="2973" t="s">
        <v>2902</v>
      </c>
      <c r="C205" s="2974">
        <v>0.13</v>
      </c>
      <c r="D205" s="2974">
        <v>0.13</v>
      </c>
      <c r="E205" s="2974">
        <v>0.13</v>
      </c>
      <c r="F205" s="2974">
        <v>0.13</v>
      </c>
      <c r="G205" s="2975">
        <v>0.13</v>
      </c>
    </row>
    <row r="206" spans="1:7">
      <c r="A206" s="2984" t="s">
        <v>304</v>
      </c>
      <c r="B206" s="2973" t="s">
        <v>2905</v>
      </c>
      <c r="C206" s="2974">
        <v>0.13</v>
      </c>
      <c r="D206" s="2974">
        <v>0.13</v>
      </c>
      <c r="E206" s="2974">
        <v>0.13</v>
      </c>
      <c r="F206" s="2974">
        <v>0.128</v>
      </c>
      <c r="G206" s="2975">
        <v>0.13</v>
      </c>
    </row>
    <row r="207" spans="1:7">
      <c r="A207" s="2984" t="s">
        <v>304</v>
      </c>
      <c r="B207" s="2973" t="s">
        <v>2907</v>
      </c>
      <c r="C207" s="2974">
        <v>0.13</v>
      </c>
      <c r="D207" s="2974">
        <v>0.13</v>
      </c>
      <c r="E207" s="2974">
        <v>0.13</v>
      </c>
      <c r="F207" s="2974">
        <v>0.13</v>
      </c>
      <c r="G207" s="2975">
        <v>0.13</v>
      </c>
    </row>
    <row r="208" spans="1:7">
      <c r="A208" s="2984" t="s">
        <v>304</v>
      </c>
      <c r="B208" s="2973" t="s">
        <v>2910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2917</v>
      </c>
      <c r="C210" s="2974">
        <v>0.121</v>
      </c>
      <c r="D210" s="2974">
        <v>0.121</v>
      </c>
      <c r="E210" s="2974">
        <v>0.125</v>
      </c>
      <c r="F210" s="2974">
        <v>0.13</v>
      </c>
      <c r="G210" s="2975">
        <v>0.123</v>
      </c>
    </row>
    <row r="211" spans="1:7">
      <c r="A211" s="2984" t="s">
        <v>304</v>
      </c>
      <c r="B211" s="2973" t="s">
        <v>2920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2932</v>
      </c>
      <c r="C214" s="2974">
        <v>0.128</v>
      </c>
      <c r="D214" s="2974">
        <v>0.128</v>
      </c>
      <c r="E214" s="2974">
        <v>0.13</v>
      </c>
      <c r="F214" s="2974">
        <v>0.13</v>
      </c>
      <c r="G214" s="2975">
        <v>0.13</v>
      </c>
    </row>
    <row r="215" spans="1:7">
      <c r="A215" s="2984" t="s">
        <v>304</v>
      </c>
      <c r="B215" s="2973" t="s">
        <v>2936</v>
      </c>
      <c r="C215" s="2974">
        <v>0.13</v>
      </c>
      <c r="D215" s="2974">
        <v>0.13</v>
      </c>
      <c r="E215" s="2974">
        <v>0.13</v>
      </c>
      <c r="F215" s="2974">
        <v>0.129</v>
      </c>
      <c r="G215" s="2975">
        <v>0.13</v>
      </c>
    </row>
    <row r="216" spans="1:7">
      <c r="A216" s="2984" t="s">
        <v>304</v>
      </c>
      <c r="B216" s="2973" t="s">
        <v>2943</v>
      </c>
      <c r="C216" s="2974">
        <v>0.13</v>
      </c>
      <c r="D216" s="2974">
        <v>0.13</v>
      </c>
      <c r="E216" s="2974">
        <v>0.13</v>
      </c>
      <c r="F216" s="2974">
        <v>0.13</v>
      </c>
      <c r="G216" s="2975">
        <v>0.13</v>
      </c>
    </row>
    <row r="217" spans="1:7">
      <c r="A217" s="2984" t="s">
        <v>304</v>
      </c>
      <c r="B217" s="2973" t="s">
        <v>2950</v>
      </c>
      <c r="C217" s="2974">
        <v>0.129</v>
      </c>
      <c r="D217" s="2974">
        <v>0.129</v>
      </c>
      <c r="E217" s="2974">
        <v>0.13</v>
      </c>
      <c r="F217" s="2974">
        <v>0.13</v>
      </c>
      <c r="G217" s="2975">
        <v>0.13</v>
      </c>
    </row>
    <row r="218" spans="1:7">
      <c r="A218" s="2984" t="s">
        <v>304</v>
      </c>
      <c r="B218" s="2973" t="s">
        <v>2956</v>
      </c>
      <c r="C218" s="2985"/>
      <c r="D218" s="2985"/>
      <c r="E218" s="2985"/>
      <c r="F218" s="2974">
        <v>0.05</v>
      </c>
      <c r="G218" s="2991"/>
    </row>
    <row r="219" spans="1:7">
      <c r="A219" s="2984" t="s">
        <v>304</v>
      </c>
      <c r="B219" s="2973" t="s">
        <v>2963</v>
      </c>
      <c r="C219" s="2985"/>
      <c r="D219" s="2985"/>
      <c r="E219" s="2985"/>
      <c r="F219" s="2974">
        <v>0.05</v>
      </c>
      <c r="G219" s="2991"/>
    </row>
    <row r="220" spans="1:7">
      <c r="A220" s="2984" t="s">
        <v>304</v>
      </c>
      <c r="B220" s="2973" t="s">
        <v>2969</v>
      </c>
      <c r="C220" s="2985"/>
      <c r="D220" s="2985"/>
      <c r="E220" s="2985"/>
      <c r="F220" s="2974">
        <v>0.05</v>
      </c>
      <c r="G220" s="2991"/>
    </row>
    <row r="221" spans="1:7">
      <c r="A221" s="2984" t="s">
        <v>304</v>
      </c>
      <c r="B221" s="2973" t="s">
        <v>2974</v>
      </c>
      <c r="C221" s="2985"/>
      <c r="D221" s="2985"/>
      <c r="E221" s="2985"/>
      <c r="F221" s="2974">
        <v>0.05</v>
      </c>
      <c r="G221" s="2991"/>
    </row>
    <row r="222" spans="1:7">
      <c r="A222" s="2984" t="s">
        <v>304</v>
      </c>
      <c r="B222" s="2973" t="s">
        <v>2978</v>
      </c>
      <c r="C222" s="2985"/>
      <c r="D222" s="2985"/>
      <c r="E222" s="2985"/>
      <c r="F222" s="2974">
        <v>0.05</v>
      </c>
      <c r="G222" s="2991"/>
    </row>
    <row r="223" spans="1:7">
      <c r="A223" s="2984" t="s">
        <v>304</v>
      </c>
      <c r="B223" s="2973" t="s">
        <v>2983</v>
      </c>
      <c r="C223" s="2985"/>
      <c r="D223" s="2985"/>
      <c r="E223" s="2985"/>
      <c r="F223" s="2974">
        <v>0.05</v>
      </c>
      <c r="G223" s="2991"/>
    </row>
    <row r="224" spans="1:7">
      <c r="A224" s="2984" t="s">
        <v>304</v>
      </c>
      <c r="B224" s="2973" t="s">
        <v>2988</v>
      </c>
      <c r="C224" s="2985"/>
      <c r="D224" s="2985"/>
      <c r="E224" s="2985"/>
      <c r="F224" s="2974">
        <v>0.05</v>
      </c>
      <c r="G224" s="2991"/>
    </row>
    <row r="225" spans="1:7">
      <c r="A225" s="2984" t="s">
        <v>304</v>
      </c>
      <c r="B225" s="2973" t="s">
        <v>2993</v>
      </c>
      <c r="C225" s="2985"/>
      <c r="D225" s="2985"/>
      <c r="E225" s="2985"/>
      <c r="F225" s="2974">
        <v>0.05</v>
      </c>
      <c r="G225" s="2991"/>
    </row>
    <row r="226" spans="1:7">
      <c r="A226" s="2984" t="s">
        <v>304</v>
      </c>
      <c r="B226" s="2973" t="s">
        <v>3195</v>
      </c>
      <c r="C226" s="2985"/>
      <c r="D226" s="2985"/>
      <c r="E226" s="2985"/>
      <c r="F226" s="2974">
        <v>0.05</v>
      </c>
      <c r="G226" s="2991"/>
    </row>
    <row r="227" spans="1:7">
      <c r="A227" s="2984" t="s">
        <v>304</v>
      </c>
      <c r="B227" s="2973" t="s">
        <v>3196</v>
      </c>
      <c r="C227" s="2985"/>
      <c r="D227" s="2985"/>
      <c r="E227" s="2985"/>
      <c r="F227" s="2974">
        <v>0.05</v>
      </c>
      <c r="G227" s="2991"/>
    </row>
    <row r="228" spans="1:7">
      <c r="A228" s="2984" t="s">
        <v>304</v>
      </c>
      <c r="B228" s="2973" t="s">
        <v>3197</v>
      </c>
      <c r="C228" s="2985"/>
      <c r="D228" s="2985"/>
      <c r="E228" s="2985"/>
      <c r="F228" s="2974">
        <v>0.05</v>
      </c>
      <c r="G228" s="2991"/>
    </row>
    <row r="229" spans="1:7">
      <c r="A229" s="2984" t="s">
        <v>304</v>
      </c>
      <c r="B229" s="2973" t="s">
        <v>3198</v>
      </c>
      <c r="C229" s="2985"/>
      <c r="D229" s="2985"/>
      <c r="E229" s="2985"/>
      <c r="F229" s="2974">
        <v>0.05</v>
      </c>
      <c r="G229" s="2991"/>
    </row>
    <row r="230" spans="1:7">
      <c r="A230" s="2984" t="s">
        <v>304</v>
      </c>
      <c r="B230" s="2973" t="s">
        <v>3199</v>
      </c>
      <c r="C230" s="2985"/>
      <c r="D230" s="2985"/>
      <c r="E230" s="2985"/>
      <c r="F230" s="2974">
        <v>0.05</v>
      </c>
      <c r="G230" s="2991"/>
    </row>
    <row r="231" spans="1:7">
      <c r="A231" s="2984" t="s">
        <v>304</v>
      </c>
      <c r="B231" s="2973" t="s">
        <v>3200</v>
      </c>
      <c r="C231" s="2985"/>
      <c r="D231" s="2985"/>
      <c r="E231" s="2985"/>
      <c r="F231" s="2974">
        <v>0.05</v>
      </c>
      <c r="G231" s="2991"/>
    </row>
    <row r="232" spans="1:7">
      <c r="A232" s="2984" t="s">
        <v>304</v>
      </c>
      <c r="B232" s="2973" t="s">
        <v>3201</v>
      </c>
      <c r="C232" s="2985"/>
      <c r="D232" s="2985"/>
      <c r="E232" s="2985"/>
      <c r="F232" s="2974">
        <v>0.05</v>
      </c>
      <c r="G232" s="2991"/>
    </row>
    <row r="233" spans="1:7" ht="14.25" thickBot="1">
      <c r="A233" s="2987" t="s">
        <v>304</v>
      </c>
      <c r="B233" s="2977" t="s">
        <v>3202</v>
      </c>
      <c r="C233" s="2979"/>
      <c r="D233" s="2979"/>
      <c r="E233" s="2979"/>
      <c r="F233" s="2978">
        <v>0.05</v>
      </c>
      <c r="G233" s="2992"/>
    </row>
    <row r="234" spans="1:7">
      <c r="A234" s="2983" t="s">
        <v>305</v>
      </c>
      <c r="B234" s="2969" t="s">
        <v>2851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2871</v>
      </c>
      <c r="C238" s="2974">
        <v>0.14899999999999999</v>
      </c>
      <c r="D238" s="2974">
        <v>0.14899999999999999</v>
      </c>
      <c r="E238" s="2974">
        <v>0.15</v>
      </c>
      <c r="F238" s="2974">
        <v>0.15</v>
      </c>
      <c r="G238" s="2975">
        <v>0.15</v>
      </c>
    </row>
    <row r="239" spans="1:7">
      <c r="A239" s="2984" t="s">
        <v>305</v>
      </c>
      <c r="B239" s="2973" t="s">
        <v>2875</v>
      </c>
      <c r="C239" s="2974">
        <v>0.15</v>
      </c>
      <c r="D239" s="2974">
        <v>0.15</v>
      </c>
      <c r="E239" s="2974">
        <v>0.15</v>
      </c>
      <c r="F239" s="2974">
        <v>0.15</v>
      </c>
      <c r="G239" s="2975">
        <v>0.15</v>
      </c>
    </row>
    <row r="240" spans="1:7">
      <c r="A240" s="2984" t="s">
        <v>305</v>
      </c>
      <c r="B240" s="2973" t="s">
        <v>2880</v>
      </c>
      <c r="C240" s="2974">
        <v>0.15</v>
      </c>
      <c r="D240" s="2974">
        <v>0.15</v>
      </c>
      <c r="E240" s="2974">
        <v>0.15</v>
      </c>
      <c r="F240" s="2974">
        <v>0.15</v>
      </c>
      <c r="G240" s="2975">
        <v>0.15</v>
      </c>
    </row>
    <row r="241" spans="1:7">
      <c r="A241" s="2984" t="s">
        <v>305</v>
      </c>
      <c r="B241" s="2973" t="s">
        <v>2884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2933</v>
      </c>
      <c r="C258" s="2974">
        <v>0.14299999999999999</v>
      </c>
      <c r="D258" s="2974">
        <v>0.14299999999999999</v>
      </c>
      <c r="E258" s="2974">
        <v>0.15</v>
      </c>
      <c r="F258" s="2974">
        <v>0.14799999999999999</v>
      </c>
      <c r="G258" s="2975">
        <v>0.14599999999999999</v>
      </c>
    </row>
    <row r="259" spans="1:7">
      <c r="A259" s="2984" t="s">
        <v>305</v>
      </c>
      <c r="B259" s="2973" t="s">
        <v>2937</v>
      </c>
      <c r="C259" s="2974">
        <v>0.14399999999999999</v>
      </c>
      <c r="D259" s="2974">
        <v>0.14399999999999999</v>
      </c>
      <c r="E259" s="2974">
        <v>0.14899999999999999</v>
      </c>
      <c r="F259" s="2974">
        <v>0.14699999999999999</v>
      </c>
      <c r="G259" s="2975">
        <v>0.14599999999999999</v>
      </c>
    </row>
    <row r="260" spans="1:7">
      <c r="A260" s="2984" t="s">
        <v>305</v>
      </c>
      <c r="B260" s="2973" t="s">
        <v>2944</v>
      </c>
      <c r="C260" s="2974">
        <v>0.109</v>
      </c>
      <c r="D260" s="2974">
        <v>0.111</v>
      </c>
      <c r="E260" s="2974">
        <v>0.13100000000000001</v>
      </c>
      <c r="F260" s="2974">
        <v>0.126</v>
      </c>
      <c r="G260" s="2975">
        <v>0.11899999999999999</v>
      </c>
    </row>
    <row r="261" spans="1:7">
      <c r="A261" s="2984" t="s">
        <v>305</v>
      </c>
      <c r="B261" s="2973" t="s">
        <v>2951</v>
      </c>
      <c r="C261" s="2974">
        <v>0.1</v>
      </c>
      <c r="D261" s="2974">
        <v>0.1</v>
      </c>
      <c r="E261" s="2974">
        <v>0.11799999999999999</v>
      </c>
      <c r="F261" s="2974">
        <v>0.108</v>
      </c>
      <c r="G261" s="2975">
        <v>0.107</v>
      </c>
    </row>
    <row r="262" spans="1:7">
      <c r="A262" s="2984" t="s">
        <v>305</v>
      </c>
      <c r="B262" s="2973" t="s">
        <v>2957</v>
      </c>
      <c r="C262" s="2974">
        <v>0.1</v>
      </c>
      <c r="D262" s="2974">
        <v>0.1</v>
      </c>
      <c r="E262" s="2974">
        <v>0.1</v>
      </c>
      <c r="F262" s="2974">
        <v>0.14099999999999999</v>
      </c>
      <c r="G262" s="2975">
        <v>0.1</v>
      </c>
    </row>
    <row r="263" spans="1:7">
      <c r="A263" s="2984" t="s">
        <v>305</v>
      </c>
      <c r="B263" s="2973" t="s">
        <v>2964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2975</v>
      </c>
      <c r="C265" s="2985"/>
      <c r="D265" s="2985"/>
      <c r="E265" s="2985"/>
      <c r="F265" s="2974">
        <v>0.05</v>
      </c>
      <c r="G265" s="2991"/>
    </row>
    <row r="266" spans="1:7">
      <c r="A266" s="2984" t="s">
        <v>305</v>
      </c>
      <c r="B266" s="2973" t="s">
        <v>2979</v>
      </c>
      <c r="C266" s="2985"/>
      <c r="D266" s="2985"/>
      <c r="E266" s="2985"/>
      <c r="F266" s="2974">
        <v>0.05</v>
      </c>
      <c r="G266" s="2991"/>
    </row>
    <row r="267" spans="1:7">
      <c r="A267" s="2984" t="s">
        <v>305</v>
      </c>
      <c r="B267" s="2973" t="s">
        <v>2984</v>
      </c>
      <c r="C267" s="2985"/>
      <c r="D267" s="2985"/>
      <c r="E267" s="2985"/>
      <c r="F267" s="2974">
        <v>0.05</v>
      </c>
      <c r="G267" s="2991"/>
    </row>
    <row r="268" spans="1:7">
      <c r="A268" s="2984" t="s">
        <v>305</v>
      </c>
      <c r="B268" s="2973" t="s">
        <v>2989</v>
      </c>
      <c r="C268" s="2985"/>
      <c r="D268" s="2985"/>
      <c r="E268" s="2985"/>
      <c r="F268" s="2974">
        <v>0.05</v>
      </c>
      <c r="G268" s="2991"/>
    </row>
    <row r="269" spans="1:7">
      <c r="A269" s="2984" t="s">
        <v>305</v>
      </c>
      <c r="B269" s="2973" t="s">
        <v>2994</v>
      </c>
      <c r="C269" s="2985"/>
      <c r="D269" s="2985"/>
      <c r="E269" s="2985"/>
      <c r="F269" s="2974">
        <v>0.05</v>
      </c>
      <c r="G269" s="2991"/>
    </row>
    <row r="270" spans="1:7">
      <c r="A270" s="2984" t="s">
        <v>305</v>
      </c>
      <c r="B270" s="2973" t="s">
        <v>2999</v>
      </c>
      <c r="C270" s="2985"/>
      <c r="D270" s="2985"/>
      <c r="E270" s="2985"/>
      <c r="F270" s="2974">
        <v>0.05</v>
      </c>
      <c r="G270" s="2991"/>
    </row>
    <row r="271" spans="1:7">
      <c r="A271" s="2984" t="s">
        <v>305</v>
      </c>
      <c r="B271" s="2973" t="s">
        <v>3203</v>
      </c>
      <c r="C271" s="2985"/>
      <c r="D271" s="2985"/>
      <c r="E271" s="2985"/>
      <c r="F271" s="2974">
        <v>0.05</v>
      </c>
      <c r="G271" s="2991"/>
    </row>
    <row r="272" spans="1:7">
      <c r="A272" s="2984" t="s">
        <v>305</v>
      </c>
      <c r="B272" s="2973" t="s">
        <v>3204</v>
      </c>
      <c r="C272" s="2985"/>
      <c r="D272" s="2985"/>
      <c r="E272" s="2985"/>
      <c r="F272" s="2974">
        <v>0.05</v>
      </c>
      <c r="G272" s="2991"/>
    </row>
    <row r="273" spans="1:7">
      <c r="A273" s="2984" t="s">
        <v>305</v>
      </c>
      <c r="B273" s="2973" t="s">
        <v>3205</v>
      </c>
      <c r="C273" s="2985"/>
      <c r="D273" s="2985"/>
      <c r="E273" s="2985"/>
      <c r="F273" s="2974">
        <v>0.05</v>
      </c>
      <c r="G273" s="2991"/>
    </row>
    <row r="274" spans="1:7">
      <c r="A274" s="2984" t="s">
        <v>305</v>
      </c>
      <c r="B274" s="2973" t="s">
        <v>3206</v>
      </c>
      <c r="C274" s="2985"/>
      <c r="D274" s="2985"/>
      <c r="E274" s="2985"/>
      <c r="F274" s="2974">
        <v>0.05</v>
      </c>
      <c r="G274" s="2991"/>
    </row>
    <row r="275" spans="1:7">
      <c r="A275" s="2984" t="s">
        <v>305</v>
      </c>
      <c r="B275" s="2973" t="s">
        <v>3207</v>
      </c>
      <c r="C275" s="2985"/>
      <c r="D275" s="2985"/>
      <c r="E275" s="2985"/>
      <c r="F275" s="2974">
        <v>0.05</v>
      </c>
      <c r="G275" s="2991"/>
    </row>
    <row r="276" spans="1:7" ht="14.25" thickBot="1">
      <c r="A276" s="2987" t="s">
        <v>305</v>
      </c>
      <c r="B276" s="2977" t="s">
        <v>3208</v>
      </c>
      <c r="C276" s="2979"/>
      <c r="D276" s="2979"/>
      <c r="E276" s="2979"/>
      <c r="F276" s="2978">
        <v>0.05</v>
      </c>
      <c r="G276" s="2992"/>
    </row>
    <row r="277" spans="1:7">
      <c r="A277" s="2983" t="s">
        <v>306</v>
      </c>
      <c r="B277" s="2969" t="s">
        <v>2852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2864</v>
      </c>
      <c r="C279" s="2974">
        <v>0.15</v>
      </c>
      <c r="D279" s="2974">
        <v>0.15</v>
      </c>
      <c r="E279" s="2974">
        <v>0.15</v>
      </c>
      <c r="F279" s="2974">
        <v>0.15</v>
      </c>
      <c r="G279" s="2975">
        <v>0.15</v>
      </c>
    </row>
    <row r="280" spans="1:7">
      <c r="A280" s="2984" t="s">
        <v>306</v>
      </c>
      <c r="B280" s="2973" t="s">
        <v>2868</v>
      </c>
      <c r="C280" s="2974">
        <v>0.15</v>
      </c>
      <c r="D280" s="2974">
        <v>0.15</v>
      </c>
      <c r="E280" s="2974">
        <v>0.15</v>
      </c>
      <c r="F280" s="2974">
        <v>0.15</v>
      </c>
      <c r="G280" s="2975">
        <v>0.15</v>
      </c>
    </row>
    <row r="281" spans="1:7">
      <c r="A281" s="2984" t="s">
        <v>306</v>
      </c>
      <c r="B281" s="2973" t="s">
        <v>2872</v>
      </c>
      <c r="C281" s="2974">
        <v>0.15</v>
      </c>
      <c r="D281" s="2974">
        <v>0.15</v>
      </c>
      <c r="E281" s="2974">
        <v>0.15</v>
      </c>
      <c r="F281" s="2974">
        <v>0.15</v>
      </c>
      <c r="G281" s="2975">
        <v>0.15</v>
      </c>
    </row>
    <row r="282" spans="1:7">
      <c r="A282" s="2984" t="s">
        <v>306</v>
      </c>
      <c r="B282" s="2973" t="s">
        <v>2876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2906</v>
      </c>
      <c r="C293" s="2974">
        <v>0.15</v>
      </c>
      <c r="D293" s="2974">
        <v>0.15</v>
      </c>
      <c r="E293" s="2974">
        <v>0.15</v>
      </c>
      <c r="F293" s="2974">
        <v>0.14499999999999999</v>
      </c>
      <c r="G293" s="2975">
        <v>0.15</v>
      </c>
    </row>
    <row r="294" spans="1:7">
      <c r="A294" s="2984" t="s">
        <v>306</v>
      </c>
      <c r="B294" s="2973" t="s">
        <v>2908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2938</v>
      </c>
      <c r="C302" s="2974">
        <v>0.15</v>
      </c>
      <c r="D302" s="2974">
        <v>0.15</v>
      </c>
      <c r="E302" s="2974">
        <v>0.15</v>
      </c>
      <c r="F302" s="2974">
        <v>0.14699999999999999</v>
      </c>
      <c r="G302" s="2975">
        <v>0.15</v>
      </c>
    </row>
    <row r="303" spans="1:7">
      <c r="A303" s="2984" t="s">
        <v>306</v>
      </c>
      <c r="B303" s="2973" t="s">
        <v>2945</v>
      </c>
      <c r="C303" s="2974">
        <v>0.15</v>
      </c>
      <c r="D303" s="2974">
        <v>0.15</v>
      </c>
      <c r="E303" s="2974">
        <v>0.15</v>
      </c>
      <c r="F303" s="2974">
        <v>0.14199999999999999</v>
      </c>
      <c r="G303" s="2975">
        <v>0.15</v>
      </c>
    </row>
    <row r="304" spans="1:7">
      <c r="A304" s="2984" t="s">
        <v>306</v>
      </c>
      <c r="B304" s="2973" t="s">
        <v>2952</v>
      </c>
      <c r="C304" s="2974">
        <v>0.15</v>
      </c>
      <c r="D304" s="2974">
        <v>0.15</v>
      </c>
      <c r="E304" s="2974">
        <v>0.15</v>
      </c>
      <c r="F304" s="2974">
        <v>0.14499999999999999</v>
      </c>
      <c r="G304" s="2975">
        <v>0.15</v>
      </c>
    </row>
    <row r="305" spans="1:7">
      <c r="A305" s="2984" t="s">
        <v>306</v>
      </c>
      <c r="B305" s="2973" t="s">
        <v>2958</v>
      </c>
      <c r="C305" s="2974">
        <v>0.15</v>
      </c>
      <c r="D305" s="2974">
        <v>0.15</v>
      </c>
      <c r="E305" s="2974">
        <v>0.15</v>
      </c>
      <c r="F305" s="2974">
        <v>0.111</v>
      </c>
      <c r="G305" s="2975">
        <v>0.15</v>
      </c>
    </row>
    <row r="306" spans="1:7">
      <c r="A306" s="2984" t="s">
        <v>306</v>
      </c>
      <c r="B306" s="2973" t="s">
        <v>2965</v>
      </c>
      <c r="C306" s="2974">
        <v>0.15</v>
      </c>
      <c r="D306" s="2974">
        <v>0.15</v>
      </c>
      <c r="E306" s="2974">
        <v>0.15</v>
      </c>
      <c r="F306" s="2974">
        <v>0.126</v>
      </c>
      <c r="G306" s="2975">
        <v>0.15</v>
      </c>
    </row>
    <row r="307" spans="1:7">
      <c r="A307" s="2984" t="s">
        <v>306</v>
      </c>
      <c r="B307" s="2973" t="s">
        <v>2970</v>
      </c>
      <c r="C307" s="2974">
        <v>0.15</v>
      </c>
      <c r="D307" s="2974">
        <v>0.15</v>
      </c>
      <c r="E307" s="2974">
        <v>0.15</v>
      </c>
      <c r="F307" s="2974">
        <v>0.12</v>
      </c>
      <c r="G307" s="2975">
        <v>0.15</v>
      </c>
    </row>
    <row r="308" spans="1:7">
      <c r="A308" s="2984" t="s">
        <v>306</v>
      </c>
      <c r="B308" s="2973" t="s">
        <v>2976</v>
      </c>
      <c r="C308" s="2974">
        <v>0.15</v>
      </c>
      <c r="D308" s="2974">
        <v>0.15</v>
      </c>
      <c r="E308" s="2974">
        <v>0.15</v>
      </c>
      <c r="F308" s="2974">
        <v>0.13</v>
      </c>
      <c r="G308" s="2975">
        <v>0.15</v>
      </c>
    </row>
    <row r="309" spans="1:7">
      <c r="A309" s="2984" t="s">
        <v>306</v>
      </c>
      <c r="B309" s="2973" t="s">
        <v>2980</v>
      </c>
      <c r="C309" s="2974">
        <v>0.15</v>
      </c>
      <c r="D309" s="2974">
        <v>0.15</v>
      </c>
      <c r="E309" s="2974">
        <v>0.15</v>
      </c>
      <c r="F309" s="2974">
        <v>0.14099999999999999</v>
      </c>
      <c r="G309" s="2975">
        <v>0.15</v>
      </c>
    </row>
    <row r="310" spans="1:7">
      <c r="A310" s="2984" t="s">
        <v>306</v>
      </c>
      <c r="B310" s="2973" t="s">
        <v>2985</v>
      </c>
      <c r="C310" s="2974">
        <v>0.15</v>
      </c>
      <c r="D310" s="2974">
        <v>0.15</v>
      </c>
      <c r="E310" s="2974">
        <v>0.15</v>
      </c>
      <c r="F310" s="2974">
        <v>0.15</v>
      </c>
      <c r="G310" s="2975">
        <v>0.15</v>
      </c>
    </row>
    <row r="311" spans="1:7">
      <c r="A311" s="2984" t="s">
        <v>306</v>
      </c>
      <c r="B311" s="2973" t="s">
        <v>2990</v>
      </c>
      <c r="C311" s="2974">
        <v>0.13200000000000001</v>
      </c>
      <c r="D311" s="2974">
        <v>0.13300000000000001</v>
      </c>
      <c r="E311" s="2974">
        <v>0.14499999999999999</v>
      </c>
      <c r="F311" s="2974">
        <v>0.14199999999999999</v>
      </c>
      <c r="G311" s="2975">
        <v>0.14000000000000001</v>
      </c>
    </row>
    <row r="312" spans="1:7">
      <c r="A312" s="2984" t="s">
        <v>306</v>
      </c>
      <c r="B312" s="2973" t="s">
        <v>2995</v>
      </c>
      <c r="C312" s="2974">
        <v>0.13800000000000001</v>
      </c>
      <c r="D312" s="2974">
        <v>0.14000000000000001</v>
      </c>
      <c r="E312" s="2974">
        <v>0.14599999999999999</v>
      </c>
      <c r="F312" s="2974">
        <v>0.14899999999999999</v>
      </c>
      <c r="G312" s="2975">
        <v>0.14199999999999999</v>
      </c>
    </row>
    <row r="313" spans="1:7">
      <c r="A313" s="2984" t="s">
        <v>306</v>
      </c>
      <c r="B313" s="2973" t="s">
        <v>3000</v>
      </c>
      <c r="C313" s="2974">
        <v>0.125</v>
      </c>
      <c r="D313" s="2974">
        <v>0.127</v>
      </c>
      <c r="E313" s="2974">
        <v>0.14399999999999999</v>
      </c>
      <c r="F313" s="2974">
        <v>0.115</v>
      </c>
      <c r="G313" s="2975">
        <v>0.13600000000000001</v>
      </c>
    </row>
    <row r="314" spans="1:7">
      <c r="A314" s="2984" t="s">
        <v>306</v>
      </c>
      <c r="B314" s="2973" t="s">
        <v>3209</v>
      </c>
      <c r="C314" s="2990"/>
      <c r="D314" s="2990"/>
      <c r="E314" s="2990"/>
      <c r="F314" s="2974">
        <v>0.05</v>
      </c>
      <c r="G314" s="2991"/>
    </row>
    <row r="315" spans="1:7">
      <c r="A315" s="2984" t="s">
        <v>306</v>
      </c>
      <c r="B315" s="2973" t="s">
        <v>3210</v>
      </c>
      <c r="C315" s="2990"/>
      <c r="D315" s="2990"/>
      <c r="E315" s="2990"/>
      <c r="F315" s="2974">
        <v>0.05</v>
      </c>
      <c r="G315" s="2991"/>
    </row>
    <row r="316" spans="1:7">
      <c r="A316" s="2984" t="s">
        <v>306</v>
      </c>
      <c r="B316" s="2973" t="s">
        <v>3211</v>
      </c>
      <c r="C316" s="2985"/>
      <c r="D316" s="2985"/>
      <c r="E316" s="2985"/>
      <c r="F316" s="2974">
        <v>0.05</v>
      </c>
      <c r="G316" s="2991"/>
    </row>
    <row r="317" spans="1:7">
      <c r="A317" s="2984" t="s">
        <v>306</v>
      </c>
      <c r="B317" s="2973" t="s">
        <v>3212</v>
      </c>
      <c r="C317" s="2985"/>
      <c r="D317" s="2985"/>
      <c r="E317" s="2985"/>
      <c r="F317" s="2974">
        <v>0.05</v>
      </c>
      <c r="G317" s="2991"/>
    </row>
    <row r="318" spans="1:7">
      <c r="A318" s="2984" t="s">
        <v>306</v>
      </c>
      <c r="B318" s="2973" t="s">
        <v>3213</v>
      </c>
      <c r="C318" s="2985"/>
      <c r="D318" s="2985"/>
      <c r="E318" s="2985"/>
      <c r="F318" s="2974">
        <v>0.05</v>
      </c>
      <c r="G318" s="2991"/>
    </row>
    <row r="319" spans="1:7">
      <c r="A319" s="2984" t="s">
        <v>306</v>
      </c>
      <c r="B319" s="2973" t="s">
        <v>3214</v>
      </c>
      <c r="C319" s="2985"/>
      <c r="D319" s="2985"/>
      <c r="E319" s="2985"/>
      <c r="F319" s="2974">
        <v>0.05</v>
      </c>
      <c r="G319" s="2991"/>
    </row>
    <row r="320" spans="1:7">
      <c r="A320" s="2984" t="s">
        <v>306</v>
      </c>
      <c r="B320" s="2973" t="s">
        <v>3215</v>
      </c>
      <c r="C320" s="2985"/>
      <c r="D320" s="2985"/>
      <c r="E320" s="2985"/>
      <c r="F320" s="2974">
        <v>0.05</v>
      </c>
      <c r="G320" s="2991"/>
    </row>
    <row r="321" spans="1:7">
      <c r="A321" s="2984" t="s">
        <v>306</v>
      </c>
      <c r="B321" s="2973" t="s">
        <v>3216</v>
      </c>
      <c r="C321" s="2985"/>
      <c r="D321" s="2985"/>
      <c r="E321" s="2985"/>
      <c r="F321" s="2974">
        <v>0.05</v>
      </c>
      <c r="G321" s="2991"/>
    </row>
    <row r="322" spans="1:7">
      <c r="A322" s="2984" t="s">
        <v>306</v>
      </c>
      <c r="B322" s="2973" t="s">
        <v>3217</v>
      </c>
      <c r="C322" s="2985"/>
      <c r="D322" s="2985"/>
      <c r="E322" s="2985"/>
      <c r="F322" s="2974">
        <v>0.05</v>
      </c>
      <c r="G322" s="2991"/>
    </row>
    <row r="323" spans="1:7">
      <c r="A323" s="2984" t="s">
        <v>306</v>
      </c>
      <c r="B323" s="2973" t="s">
        <v>3218</v>
      </c>
      <c r="C323" s="2985"/>
      <c r="D323" s="2985"/>
      <c r="E323" s="2985"/>
      <c r="F323" s="2974">
        <v>0.05</v>
      </c>
      <c r="G323" s="2991"/>
    </row>
    <row r="324" spans="1:7">
      <c r="A324" s="2984" t="s">
        <v>306</v>
      </c>
      <c r="B324" s="2973" t="s">
        <v>3219</v>
      </c>
      <c r="C324" s="2985"/>
      <c r="D324" s="2985"/>
      <c r="E324" s="2985"/>
      <c r="F324" s="2974">
        <v>0.05</v>
      </c>
      <c r="G324" s="2991"/>
    </row>
    <row r="325" spans="1:7">
      <c r="A325" s="2984" t="s">
        <v>306</v>
      </c>
      <c r="B325" s="2973" t="s">
        <v>3220</v>
      </c>
      <c r="C325" s="2985"/>
      <c r="D325" s="2985"/>
      <c r="E325" s="2985"/>
      <c r="F325" s="2974">
        <v>0.05</v>
      </c>
      <c r="G325" s="2991"/>
    </row>
    <row r="326" spans="1:7" ht="14.25" thickBot="1">
      <c r="A326" s="2987" t="s">
        <v>306</v>
      </c>
      <c r="B326" s="2977" t="s">
        <v>3221</v>
      </c>
      <c r="C326" s="2979"/>
      <c r="D326" s="2979"/>
      <c r="E326" s="2979"/>
      <c r="F326" s="2978">
        <v>0.05</v>
      </c>
      <c r="G326" s="2992"/>
    </row>
    <row r="327" spans="1:7">
      <c r="A327" s="2983" t="s">
        <v>307</v>
      </c>
      <c r="B327" s="2969" t="s">
        <v>2853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2865</v>
      </c>
      <c r="C329" s="2974">
        <v>0.15</v>
      </c>
      <c r="D329" s="2974">
        <v>0.15</v>
      </c>
      <c r="E329" s="2974">
        <v>0.15</v>
      </c>
      <c r="F329" s="2974">
        <v>0.15</v>
      </c>
      <c r="G329" s="2975">
        <v>0.15</v>
      </c>
    </row>
    <row r="330" spans="1:7">
      <c r="A330" s="2984" t="s">
        <v>307</v>
      </c>
      <c r="B330" s="2973" t="s">
        <v>2869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2877</v>
      </c>
      <c r="C332" s="2974">
        <v>0.15</v>
      </c>
      <c r="D332" s="2974">
        <v>0.15</v>
      </c>
      <c r="E332" s="2974">
        <v>0.15</v>
      </c>
      <c r="F332" s="2974">
        <v>0.15</v>
      </c>
      <c r="G332" s="2975">
        <v>0.15</v>
      </c>
    </row>
    <row r="333" spans="1:7">
      <c r="A333" s="2984" t="s">
        <v>307</v>
      </c>
      <c r="B333" s="2973" t="s">
        <v>2881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2887</v>
      </c>
      <c r="C336" s="2974">
        <v>0.15</v>
      </c>
      <c r="D336" s="2974">
        <v>0.15</v>
      </c>
      <c r="E336" s="2974">
        <v>0.15</v>
      </c>
      <c r="F336" s="2974">
        <v>0.14199999999999999</v>
      </c>
      <c r="G336" s="2975">
        <v>0.15</v>
      </c>
    </row>
    <row r="337" spans="1:7">
      <c r="A337" s="2984" t="s">
        <v>307</v>
      </c>
      <c r="B337" s="2973" t="s">
        <v>2892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2899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2912</v>
      </c>
      <c r="C345" s="2974">
        <v>0.15</v>
      </c>
      <c r="D345" s="2974">
        <v>0.15</v>
      </c>
      <c r="E345" s="2974">
        <v>0.15</v>
      </c>
      <c r="F345" s="2974">
        <v>0.13800000000000001</v>
      </c>
      <c r="G345" s="2975">
        <v>0.15</v>
      </c>
    </row>
    <row r="346" spans="1:7">
      <c r="A346" s="2984" t="s">
        <v>307</v>
      </c>
      <c r="B346" s="2973" t="s">
        <v>2914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2921</v>
      </c>
      <c r="C348" s="2974">
        <v>0.15</v>
      </c>
      <c r="D348" s="2974">
        <v>0.15</v>
      </c>
      <c r="E348" s="2974">
        <v>0.15</v>
      </c>
      <c r="F348" s="2974">
        <v>0.14399999999999999</v>
      </c>
      <c r="G348" s="2975">
        <v>0.15</v>
      </c>
    </row>
    <row r="349" spans="1:7">
      <c r="A349" s="2984" t="s">
        <v>307</v>
      </c>
      <c r="B349" s="2973" t="s">
        <v>2926</v>
      </c>
      <c r="C349" s="2974">
        <v>0.15</v>
      </c>
      <c r="D349" s="2974">
        <v>0.15</v>
      </c>
      <c r="E349" s="2974">
        <v>0.15</v>
      </c>
      <c r="F349" s="2974">
        <v>0.15</v>
      </c>
      <c r="G349" s="2975">
        <v>0.15</v>
      </c>
    </row>
    <row r="350" spans="1:7">
      <c r="A350" s="2984" t="s">
        <v>307</v>
      </c>
      <c r="B350" s="2973" t="s">
        <v>2929</v>
      </c>
      <c r="C350" s="2974">
        <v>0.15</v>
      </c>
      <c r="D350" s="2974">
        <v>0.15</v>
      </c>
      <c r="E350" s="2974">
        <v>0.15</v>
      </c>
      <c r="F350" s="2974">
        <v>0.14699999999999999</v>
      </c>
      <c r="G350" s="2975">
        <v>0.15</v>
      </c>
    </row>
    <row r="351" spans="1:7">
      <c r="A351" s="2984" t="s">
        <v>307</v>
      </c>
      <c r="B351" s="2973" t="s">
        <v>2934</v>
      </c>
      <c r="C351" s="2974">
        <v>0.15</v>
      </c>
      <c r="D351" s="2974">
        <v>0.15</v>
      </c>
      <c r="E351" s="2974">
        <v>0.15</v>
      </c>
      <c r="F351" s="2974">
        <v>0.13</v>
      </c>
      <c r="G351" s="2975">
        <v>0.15</v>
      </c>
    </row>
    <row r="352" spans="1:7">
      <c r="A352" s="2984" t="s">
        <v>307</v>
      </c>
      <c r="B352" s="2973" t="s">
        <v>2939</v>
      </c>
      <c r="C352" s="2974">
        <v>0.15</v>
      </c>
      <c r="D352" s="2974">
        <v>0.15</v>
      </c>
      <c r="E352" s="2974">
        <v>0.15</v>
      </c>
      <c r="F352" s="2974">
        <v>0.14599999999999999</v>
      </c>
      <c r="G352" s="2975">
        <v>0.15</v>
      </c>
    </row>
    <row r="353" spans="1:7">
      <c r="A353" s="2984" t="s">
        <v>307</v>
      </c>
      <c r="B353" s="2973" t="s">
        <v>2946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2959</v>
      </c>
      <c r="C355" s="2974">
        <v>0.15</v>
      </c>
      <c r="D355" s="2974">
        <v>0.15</v>
      </c>
      <c r="E355" s="2974">
        <v>0.15</v>
      </c>
      <c r="F355" s="2974">
        <v>0.15</v>
      </c>
      <c r="G355" s="2975">
        <v>0.15</v>
      </c>
    </row>
    <row r="356" spans="1:7">
      <c r="A356" s="2984" t="s">
        <v>307</v>
      </c>
      <c r="B356" s="2973" t="s">
        <v>2966</v>
      </c>
      <c r="C356" s="2974">
        <v>0.15</v>
      </c>
      <c r="D356" s="2974">
        <v>0.15</v>
      </c>
      <c r="E356" s="2974">
        <v>0.15</v>
      </c>
      <c r="F356" s="2974">
        <v>0.15</v>
      </c>
      <c r="G356" s="2975">
        <v>0.15</v>
      </c>
    </row>
    <row r="357" spans="1:7" ht="14.25" thickBot="1">
      <c r="A357" s="2987" t="s">
        <v>307</v>
      </c>
      <c r="B357" s="2977" t="s">
        <v>2971</v>
      </c>
      <c r="C357" s="2978">
        <v>0.126</v>
      </c>
      <c r="D357" s="2978">
        <v>0.127</v>
      </c>
      <c r="E357" s="2978">
        <v>0.14299999999999999</v>
      </c>
      <c r="F357" s="2978">
        <v>0.125</v>
      </c>
      <c r="G357" s="2980">
        <v>0.129</v>
      </c>
    </row>
    <row r="358" spans="1:7">
      <c r="A358" s="2983" t="s">
        <v>2840</v>
      </c>
      <c r="B358" s="2969" t="s">
        <v>2854</v>
      </c>
      <c r="C358" s="2970">
        <v>0.15</v>
      </c>
      <c r="D358" s="2970">
        <v>0.15</v>
      </c>
      <c r="E358" s="2970">
        <v>0.15</v>
      </c>
      <c r="F358" s="2970">
        <v>0.15</v>
      </c>
      <c r="G358" s="2971">
        <v>0.15</v>
      </c>
    </row>
    <row r="359" spans="1:7">
      <c r="A359" s="2984" t="s">
        <v>2840</v>
      </c>
      <c r="B359" s="2973" t="s">
        <v>2860</v>
      </c>
      <c r="C359" s="2974">
        <v>0.1</v>
      </c>
      <c r="D359" s="2974">
        <v>0.1</v>
      </c>
      <c r="E359" s="2974">
        <v>0.1</v>
      </c>
      <c r="F359" s="2974">
        <v>0.1</v>
      </c>
      <c r="G359" s="2975">
        <v>0.1</v>
      </c>
    </row>
    <row r="360" spans="1:7">
      <c r="A360" s="2984" t="s">
        <v>2840</v>
      </c>
      <c r="B360" s="2973" t="s">
        <v>2866</v>
      </c>
      <c r="C360" s="2974">
        <v>0.15</v>
      </c>
      <c r="D360" s="2974">
        <v>0.15</v>
      </c>
      <c r="E360" s="2974">
        <v>0.15</v>
      </c>
      <c r="F360" s="2974">
        <v>0.14899999999999999</v>
      </c>
      <c r="G360" s="2975">
        <v>0.15</v>
      </c>
    </row>
    <row r="361" spans="1:7">
      <c r="A361" s="2984" t="s">
        <v>2840</v>
      </c>
      <c r="B361" s="2973" t="s">
        <v>153</v>
      </c>
      <c r="C361" s="2974">
        <v>0.15</v>
      </c>
      <c r="D361" s="2974">
        <v>0.15</v>
      </c>
      <c r="E361" s="2974">
        <v>0.15</v>
      </c>
      <c r="F361" s="2974">
        <v>0.115</v>
      </c>
      <c r="G361" s="2975">
        <v>0.15</v>
      </c>
    </row>
    <row r="362" spans="1:7">
      <c r="A362" s="2984" t="s">
        <v>2840</v>
      </c>
      <c r="B362" s="2973" t="s">
        <v>2873</v>
      </c>
      <c r="C362" s="2974">
        <v>0.15</v>
      </c>
      <c r="D362" s="2974">
        <v>0.15</v>
      </c>
      <c r="E362" s="2974">
        <v>0.15</v>
      </c>
      <c r="F362" s="2974">
        <v>0.106</v>
      </c>
      <c r="G362" s="2975">
        <v>0.15</v>
      </c>
    </row>
    <row r="363" spans="1:7">
      <c r="A363" s="2984" t="s">
        <v>2840</v>
      </c>
      <c r="B363" s="2973" t="s">
        <v>2878</v>
      </c>
      <c r="C363" s="2974">
        <v>0.15</v>
      </c>
      <c r="D363" s="2974">
        <v>0.15</v>
      </c>
      <c r="E363" s="2974">
        <v>0.15</v>
      </c>
      <c r="F363" s="2974">
        <v>0.14699999999999999</v>
      </c>
      <c r="G363" s="2975">
        <v>0.15</v>
      </c>
    </row>
    <row r="364" spans="1:7">
      <c r="A364" s="2984" t="s">
        <v>2840</v>
      </c>
      <c r="B364" s="2973" t="s">
        <v>2882</v>
      </c>
      <c r="C364" s="2974">
        <v>0.15</v>
      </c>
      <c r="D364" s="2974">
        <v>0.15</v>
      </c>
      <c r="E364" s="2974">
        <v>0.15</v>
      </c>
      <c r="F364" s="2974">
        <v>0.14799999999999999</v>
      </c>
      <c r="G364" s="2975">
        <v>0.15</v>
      </c>
    </row>
    <row r="365" spans="1:7">
      <c r="A365" s="2984" t="s">
        <v>2840</v>
      </c>
      <c r="B365" s="2973" t="s">
        <v>200</v>
      </c>
      <c r="C365" s="2974">
        <v>0.15</v>
      </c>
      <c r="D365" s="2974">
        <v>0.15</v>
      </c>
      <c r="E365" s="2974">
        <v>0.15</v>
      </c>
      <c r="F365" s="2974">
        <v>0.15</v>
      </c>
      <c r="G365" s="2975">
        <v>0.15</v>
      </c>
    </row>
    <row r="366" spans="1:7">
      <c r="A366" s="2984" t="s">
        <v>2840</v>
      </c>
      <c r="B366" s="2973" t="s">
        <v>2885</v>
      </c>
      <c r="C366" s="2974">
        <v>0.15</v>
      </c>
      <c r="D366" s="2974">
        <v>0.15</v>
      </c>
      <c r="E366" s="2974">
        <v>0.15</v>
      </c>
      <c r="F366" s="2974">
        <v>0.15</v>
      </c>
      <c r="G366" s="2975">
        <v>0.15</v>
      </c>
    </row>
    <row r="367" spans="1:7">
      <c r="A367" s="2984" t="s">
        <v>2840</v>
      </c>
      <c r="B367" s="2973" t="s">
        <v>2888</v>
      </c>
      <c r="C367" s="2974">
        <v>0.15</v>
      </c>
      <c r="D367" s="2974">
        <v>0.15</v>
      </c>
      <c r="E367" s="2974">
        <v>0.15</v>
      </c>
      <c r="F367" s="2974">
        <v>0.14699999999999999</v>
      </c>
      <c r="G367" s="2975">
        <v>0.15</v>
      </c>
    </row>
    <row r="368" spans="1:7">
      <c r="A368" s="2984" t="s">
        <v>2840</v>
      </c>
      <c r="B368" s="2973" t="s">
        <v>2893</v>
      </c>
      <c r="C368" s="2974">
        <v>0.15</v>
      </c>
      <c r="D368" s="2974">
        <v>0.15</v>
      </c>
      <c r="E368" s="2974">
        <v>0.15</v>
      </c>
      <c r="F368" s="2974">
        <v>0.13600000000000001</v>
      </c>
      <c r="G368" s="2975">
        <v>0.15</v>
      </c>
    </row>
    <row r="369" spans="1:7">
      <c r="A369" s="2984" t="s">
        <v>2840</v>
      </c>
      <c r="B369" s="2973" t="s">
        <v>214</v>
      </c>
      <c r="C369" s="2974">
        <v>0.15</v>
      </c>
      <c r="D369" s="2974">
        <v>0.15</v>
      </c>
      <c r="E369" s="2974">
        <v>0.15</v>
      </c>
      <c r="F369" s="2974">
        <v>0.14399999999999999</v>
      </c>
      <c r="G369" s="2975">
        <v>0.15</v>
      </c>
    </row>
    <row r="370" spans="1:7">
      <c r="A370" s="2984" t="s">
        <v>2840</v>
      </c>
      <c r="B370" s="2973" t="s">
        <v>221</v>
      </c>
      <c r="C370" s="2974">
        <v>0.15</v>
      </c>
      <c r="D370" s="2974">
        <v>0.15</v>
      </c>
      <c r="E370" s="2974">
        <v>0.15</v>
      </c>
      <c r="F370" s="2974">
        <v>0.14599999999999999</v>
      </c>
      <c r="G370" s="2975">
        <v>0.15</v>
      </c>
    </row>
    <row r="371" spans="1:7">
      <c r="A371" s="2984" t="s">
        <v>2840</v>
      </c>
      <c r="B371" s="2973" t="s">
        <v>229</v>
      </c>
      <c r="C371" s="2974">
        <v>0.15</v>
      </c>
      <c r="D371" s="2974">
        <v>0.15</v>
      </c>
      <c r="E371" s="2974">
        <v>0.15</v>
      </c>
      <c r="F371" s="2974">
        <v>0.12</v>
      </c>
      <c r="G371" s="2975">
        <v>0.15</v>
      </c>
    </row>
    <row r="372" spans="1:7">
      <c r="A372" s="2984" t="s">
        <v>2840</v>
      </c>
      <c r="B372" s="2973" t="s">
        <v>2901</v>
      </c>
      <c r="C372" s="2974">
        <v>0.15</v>
      </c>
      <c r="D372" s="2974">
        <v>0.15</v>
      </c>
      <c r="E372" s="2974">
        <v>0.15</v>
      </c>
      <c r="F372" s="2974">
        <v>0.14299999999999999</v>
      </c>
      <c r="G372" s="2975">
        <v>0.15</v>
      </c>
    </row>
    <row r="373" spans="1:7">
      <c r="A373" s="2984" t="s">
        <v>2840</v>
      </c>
      <c r="B373" s="2973" t="s">
        <v>258</v>
      </c>
      <c r="C373" s="2974">
        <v>0.15</v>
      </c>
      <c r="D373" s="2974">
        <v>0.15</v>
      </c>
      <c r="E373" s="2974">
        <v>0.15</v>
      </c>
      <c r="F373" s="2974">
        <v>0.14599999999999999</v>
      </c>
      <c r="G373" s="2975">
        <v>0.15</v>
      </c>
    </row>
    <row r="374" spans="1:7">
      <c r="A374" s="2984" t="s">
        <v>2840</v>
      </c>
      <c r="B374" s="2973" t="s">
        <v>266</v>
      </c>
      <c r="C374" s="2974">
        <v>0.15</v>
      </c>
      <c r="D374" s="2974">
        <v>0.15</v>
      </c>
      <c r="E374" s="2974">
        <v>0.15</v>
      </c>
      <c r="F374" s="2974">
        <v>0.14399999999999999</v>
      </c>
      <c r="G374" s="2975">
        <v>0.15</v>
      </c>
    </row>
    <row r="375" spans="1:7">
      <c r="A375" s="2984" t="s">
        <v>2840</v>
      </c>
      <c r="B375" s="2973" t="s">
        <v>2909</v>
      </c>
      <c r="C375" s="2974">
        <v>0.15</v>
      </c>
      <c r="D375" s="2974">
        <v>0.15</v>
      </c>
      <c r="E375" s="2974">
        <v>0.15</v>
      </c>
      <c r="F375" s="2974">
        <v>0.13</v>
      </c>
      <c r="G375" s="2975">
        <v>0.15</v>
      </c>
    </row>
    <row r="376" spans="1:7">
      <c r="A376" s="2984" t="s">
        <v>2840</v>
      </c>
      <c r="B376" s="2973" t="s">
        <v>277</v>
      </c>
      <c r="C376" s="2974">
        <v>0.15</v>
      </c>
      <c r="D376" s="2974">
        <v>0.15</v>
      </c>
      <c r="E376" s="2974">
        <v>0.15</v>
      </c>
      <c r="F376" s="2974">
        <v>0.14199999999999999</v>
      </c>
      <c r="G376" s="2975">
        <v>0.15</v>
      </c>
    </row>
    <row r="377" spans="1:7" ht="14.25" thickBot="1">
      <c r="A377" s="2987" t="s">
        <v>2840</v>
      </c>
      <c r="B377" s="2977" t="s">
        <v>2915</v>
      </c>
      <c r="C377" s="2978">
        <v>0.15</v>
      </c>
      <c r="D377" s="2978">
        <v>0.15</v>
      </c>
      <c r="E377" s="2978">
        <v>0.15</v>
      </c>
      <c r="F377" s="2978">
        <v>0.14000000000000001</v>
      </c>
      <c r="G377" s="2980">
        <v>0.15</v>
      </c>
    </row>
    <row r="378" spans="1:7">
      <c r="A378" s="2983" t="s">
        <v>2841</v>
      </c>
      <c r="B378" s="2969" t="s">
        <v>2855</v>
      </c>
      <c r="C378" s="2970">
        <v>0.15</v>
      </c>
      <c r="D378" s="2970">
        <v>0.15</v>
      </c>
      <c r="E378" s="2970">
        <v>0.15</v>
      </c>
      <c r="F378" s="2970">
        <v>0.107</v>
      </c>
      <c r="G378" s="2971">
        <v>0.15</v>
      </c>
    </row>
    <row r="379" spans="1:7">
      <c r="A379" s="2984" t="s">
        <v>2841</v>
      </c>
      <c r="B379" s="2973" t="s">
        <v>2861</v>
      </c>
      <c r="C379" s="2974">
        <v>0.15</v>
      </c>
      <c r="D379" s="2974">
        <v>0.15</v>
      </c>
      <c r="E379" s="2974">
        <v>0.15</v>
      </c>
      <c r="F379" s="2974">
        <v>0.115</v>
      </c>
      <c r="G379" s="2975">
        <v>0.14899999999999999</v>
      </c>
    </row>
    <row r="380" spans="1:7">
      <c r="A380" s="2984" t="s">
        <v>2841</v>
      </c>
      <c r="B380" s="2973" t="s">
        <v>2867</v>
      </c>
      <c r="C380" s="2974">
        <v>0.15</v>
      </c>
      <c r="D380" s="2974">
        <v>0.15</v>
      </c>
      <c r="E380" s="2974">
        <v>0.15</v>
      </c>
      <c r="F380" s="2974">
        <v>0.1</v>
      </c>
      <c r="G380" s="2975">
        <v>0.14799999999999999</v>
      </c>
    </row>
    <row r="381" spans="1:7">
      <c r="A381" s="2984" t="s">
        <v>2841</v>
      </c>
      <c r="B381" s="2973" t="s">
        <v>2870</v>
      </c>
      <c r="C381" s="2974">
        <v>0.15</v>
      </c>
      <c r="D381" s="2974">
        <v>0.15</v>
      </c>
      <c r="E381" s="2974">
        <v>0.15</v>
      </c>
      <c r="F381" s="2974">
        <v>0.126</v>
      </c>
      <c r="G381" s="2975">
        <v>0.15</v>
      </c>
    </row>
    <row r="382" spans="1:7">
      <c r="A382" s="2984" t="s">
        <v>2841</v>
      </c>
      <c r="B382" s="2973" t="s">
        <v>2874</v>
      </c>
      <c r="C382" s="2974">
        <v>0.15</v>
      </c>
      <c r="D382" s="2974">
        <v>0.15</v>
      </c>
      <c r="E382" s="2974">
        <v>0.15</v>
      </c>
      <c r="F382" s="2974">
        <v>0.15</v>
      </c>
      <c r="G382" s="2975">
        <v>0.15</v>
      </c>
    </row>
    <row r="383" spans="1:7">
      <c r="A383" s="2984" t="s">
        <v>2841</v>
      </c>
      <c r="B383" s="2973" t="s">
        <v>2879</v>
      </c>
      <c r="C383" s="2974">
        <v>0.15</v>
      </c>
      <c r="D383" s="2974">
        <v>0.15</v>
      </c>
      <c r="E383" s="2974">
        <v>0.15</v>
      </c>
      <c r="F383" s="2974">
        <v>0.14699999999999999</v>
      </c>
      <c r="G383" s="2975">
        <v>0.15</v>
      </c>
    </row>
    <row r="384" spans="1:7" ht="14.25" thickBot="1">
      <c r="A384" s="2994" t="s">
        <v>2841</v>
      </c>
      <c r="B384" s="2995" t="s">
        <v>2883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F17"/>
  <sheetViews>
    <sheetView workbookViewId="0">
      <selection sqref="A1:XFD1048576"/>
    </sheetView>
  </sheetViews>
  <sheetFormatPr defaultColWidth="13.25" defaultRowHeight="13.5"/>
  <cols>
    <col min="1" max="16384" width="13.25" style="2809"/>
  </cols>
  <sheetData>
    <row r="1" spans="1:6">
      <c r="A1" s="3584" t="s">
        <v>3222</v>
      </c>
      <c r="B1" s="3584"/>
      <c r="C1" s="3584"/>
      <c r="D1" s="3584"/>
      <c r="E1" s="3584"/>
      <c r="F1" s="3585"/>
    </row>
    <row r="2" spans="1:6">
      <c r="A2" s="2998" t="s">
        <v>3223</v>
      </c>
    </row>
    <row r="3" spans="1:6">
      <c r="A3" s="2998" t="s">
        <v>3224</v>
      </c>
      <c r="F3" s="2999" t="s">
        <v>3225</v>
      </c>
    </row>
    <row r="4" spans="1:6">
      <c r="A4" s="3000" t="s">
        <v>672</v>
      </c>
      <c r="B4" s="3000" t="s">
        <v>673</v>
      </c>
      <c r="C4" s="3000" t="s">
        <v>21</v>
      </c>
      <c r="D4" s="3000" t="s">
        <v>674</v>
      </c>
      <c r="E4" s="3000" t="s">
        <v>3</v>
      </c>
      <c r="F4" s="3000" t="s">
        <v>3226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R54"/>
  <sheetViews>
    <sheetView zoomScale="90" zoomScaleNormal="90" workbookViewId="0">
      <selection activeCell="G8" sqref="G8"/>
    </sheetView>
  </sheetViews>
  <sheetFormatPr defaultRowHeight="13.5"/>
  <cols>
    <col min="1" max="1" width="13.875" customWidth="1"/>
    <col min="11" max="17" width="0" hidden="1" customWidth="1"/>
    <col min="25" max="30" width="0" hidden="1" customWidth="1"/>
  </cols>
  <sheetData>
    <row r="1" spans="1:44">
      <c r="A1" s="2933">
        <f>基准地价修正!G23</f>
        <v>45803</v>
      </c>
      <c r="B1" s="2925" t="s">
        <v>3367</v>
      </c>
      <c r="C1" s="2926"/>
      <c r="D1" s="2926"/>
      <c r="E1" s="2926"/>
      <c r="F1" s="2926"/>
      <c r="G1" s="2926"/>
      <c r="H1" s="2926"/>
      <c r="I1" s="2926"/>
      <c r="J1" s="2892"/>
      <c r="K1" s="2926" t="s">
        <v>454</v>
      </c>
      <c r="L1" s="2926"/>
      <c r="M1" s="2926"/>
      <c r="N1" s="2926"/>
      <c r="O1" s="2926"/>
      <c r="P1" s="2926"/>
      <c r="Q1" s="2892"/>
      <c r="R1" s="3586" t="s">
        <v>456</v>
      </c>
      <c r="S1" s="3587"/>
      <c r="T1" s="3587"/>
      <c r="U1" s="3587"/>
      <c r="V1" s="3587"/>
      <c r="W1" s="3587"/>
      <c r="X1" s="2892"/>
      <c r="Y1" s="3586" t="s">
        <v>457</v>
      </c>
      <c r="Z1" s="3587"/>
      <c r="AA1" s="3587"/>
      <c r="AB1" s="3587"/>
      <c r="AC1" s="3587"/>
      <c r="AD1" s="3587"/>
    </row>
    <row r="2" spans="1:44" s="2005" customFormat="1" ht="14.25" thickBot="1">
      <c r="B2" s="2877"/>
      <c r="C2" s="2878"/>
      <c r="D2" s="2006" t="s">
        <v>2800</v>
      </c>
      <c r="E2" s="2007" t="s">
        <v>2801</v>
      </c>
      <c r="F2" s="2007" t="s">
        <v>2802</v>
      </c>
      <c r="G2" s="2007" t="s">
        <v>2803</v>
      </c>
      <c r="H2" s="2007" t="s">
        <v>2804</v>
      </c>
      <c r="I2" s="2007" t="s">
        <v>2621</v>
      </c>
      <c r="J2" s="2879"/>
      <c r="K2" s="2006" t="s">
        <v>2800</v>
      </c>
      <c r="L2" s="2007" t="s">
        <v>2801</v>
      </c>
      <c r="M2" s="2007" t="s">
        <v>2802</v>
      </c>
      <c r="N2" s="2007" t="s">
        <v>2803</v>
      </c>
      <c r="O2" s="2007" t="s">
        <v>2805</v>
      </c>
      <c r="P2" s="2007" t="s">
        <v>2621</v>
      </c>
      <c r="Q2" s="2879"/>
      <c r="R2" s="2006" t="s">
        <v>2800</v>
      </c>
      <c r="S2" s="2007" t="s">
        <v>2801</v>
      </c>
      <c r="T2" s="2007" t="s">
        <v>2802</v>
      </c>
      <c r="U2" s="2007" t="s">
        <v>2806</v>
      </c>
      <c r="V2" s="2007" t="s">
        <v>2807</v>
      </c>
      <c r="W2" s="2007" t="s">
        <v>2621</v>
      </c>
      <c r="X2" s="2879"/>
      <c r="Y2" s="2006" t="s">
        <v>2800</v>
      </c>
      <c r="Z2" s="2007" t="s">
        <v>2801</v>
      </c>
      <c r="AA2" s="2007" t="s">
        <v>2802</v>
      </c>
      <c r="AB2" s="2007" t="s">
        <v>2808</v>
      </c>
      <c r="AC2" s="2007" t="s">
        <v>2807</v>
      </c>
      <c r="AD2" s="2007" t="s">
        <v>2621</v>
      </c>
      <c r="AF2" t="s">
        <v>3394</v>
      </c>
      <c r="AG2" t="s">
        <v>673</v>
      </c>
      <c r="AH2" t="s">
        <v>21</v>
      </c>
      <c r="AI2" t="s">
        <v>3395</v>
      </c>
      <c r="AJ2" t="s">
        <v>3</v>
      </c>
      <c r="AK2" t="s">
        <v>3396</v>
      </c>
      <c r="AM2" t="s">
        <v>3394</v>
      </c>
      <c r="AN2" t="s">
        <v>673</v>
      </c>
      <c r="AO2" t="s">
        <v>21</v>
      </c>
      <c r="AP2" t="s">
        <v>3395</v>
      </c>
      <c r="AQ2" t="s">
        <v>3</v>
      </c>
      <c r="AR2" t="s">
        <v>3396</v>
      </c>
    </row>
    <row r="3" spans="1:44" s="2882" customFormat="1" ht="12.75">
      <c r="A3" s="2880" t="s">
        <v>2809</v>
      </c>
      <c r="B3" s="2881"/>
      <c r="D3" s="2882">
        <f>ROUND(AVERAGEIF(D4:D24,"&lt;&gt;0"),2)</f>
        <v>0.39</v>
      </c>
      <c r="E3" s="2882">
        <f t="shared" ref="E3:H3" si="0">ROUND(AVERAGEIF(E4:E24,"&lt;&gt;0"),2)</f>
        <v>0.21</v>
      </c>
      <c r="F3" s="2882">
        <f t="shared" si="0"/>
        <v>-0.06</v>
      </c>
      <c r="G3" s="2882">
        <f t="shared" si="0"/>
        <v>0.46</v>
      </c>
      <c r="H3" s="2882">
        <f t="shared" si="0"/>
        <v>0.51</v>
      </c>
      <c r="I3" s="2882">
        <f>F3</f>
        <v>-0.06</v>
      </c>
      <c r="J3" s="2883"/>
      <c r="K3" s="2884">
        <f>ROUND(AVERAGEIF(K4:K24,"&lt;&gt;0"),4)</f>
        <v>3.8999999999999998E-3</v>
      </c>
      <c r="L3" s="2885">
        <f t="shared" ref="L3:O3" si="1">ROUND(AVERAGEIF(L4:L24,"&lt;&gt;0"),4)</f>
        <v>2.0999999999999999E-3</v>
      </c>
      <c r="M3" s="2885">
        <f t="shared" si="1"/>
        <v>-5.9999999999999995E-4</v>
      </c>
      <c r="N3" s="2885">
        <f t="shared" si="1"/>
        <v>4.5999999999999999E-3</v>
      </c>
      <c r="O3" s="2885">
        <f t="shared" si="1"/>
        <v>5.1000000000000004E-3</v>
      </c>
      <c r="P3" s="2885">
        <f>M3</f>
        <v>-5.9999999999999995E-4</v>
      </c>
      <c r="Q3" s="2883"/>
      <c r="R3" s="2886">
        <f>ROUND(SUMPRODUCT(PRODUCT(1+K4:K24)),4)</f>
        <v>1.0674999999999999</v>
      </c>
      <c r="S3" s="2887">
        <f t="shared" ref="S3:V3" si="2">ROUND(SUMPRODUCT(PRODUCT(1+L4:L24)),4)</f>
        <v>1.0355000000000001</v>
      </c>
      <c r="T3" s="2887">
        <f t="shared" si="2"/>
        <v>0.98880000000000001</v>
      </c>
      <c r="U3" s="2887">
        <f t="shared" si="2"/>
        <v>1.0798000000000001</v>
      </c>
      <c r="V3" s="2887">
        <f t="shared" si="2"/>
        <v>1.0911</v>
      </c>
      <c r="W3" s="2886">
        <f>T3</f>
        <v>0.98880000000000001</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4" customFormat="1" ht="12.75">
      <c r="B4" s="2020"/>
      <c r="J4" s="2892"/>
      <c r="K4" s="2893"/>
      <c r="L4" s="2894"/>
      <c r="M4" s="2894"/>
      <c r="N4" s="2894"/>
      <c r="O4" s="2894"/>
      <c r="P4" s="2894"/>
      <c r="Q4" s="2892"/>
      <c r="R4" s="2022"/>
      <c r="S4" s="2895"/>
      <c r="T4" s="2896"/>
      <c r="U4" s="2022"/>
      <c r="V4" s="2897"/>
      <c r="W4" s="2022"/>
      <c r="X4" s="2892"/>
      <c r="Y4" s="2023"/>
      <c r="Z4" s="2898"/>
      <c r="AA4" s="2899"/>
      <c r="AB4" s="2023"/>
      <c r="AC4" s="2900"/>
      <c r="AD4" s="2023"/>
    </row>
    <row r="5" spans="1:44" s="2040" customFormat="1">
      <c r="A5" s="2035" t="s">
        <v>3393</v>
      </c>
      <c r="B5" s="2026">
        <v>2025</v>
      </c>
      <c r="C5" s="2037">
        <v>4</v>
      </c>
      <c r="D5" s="2002">
        <v>0</v>
      </c>
      <c r="E5" s="2002">
        <v>0</v>
      </c>
      <c r="F5" s="2002">
        <v>0</v>
      </c>
      <c r="G5" s="2002">
        <v>0</v>
      </c>
      <c r="H5" s="2002">
        <v>0</v>
      </c>
      <c r="I5" s="2003">
        <f t="shared" ref="I5" si="4">F5</f>
        <v>0</v>
      </c>
      <c r="J5" s="2902"/>
      <c r="K5" s="2038">
        <f t="shared" ref="K5" si="5">D5/100</f>
        <v>0</v>
      </c>
      <c r="L5" s="2023">
        <f t="shared" ref="L5" si="6">E5/100</f>
        <v>0</v>
      </c>
      <c r="M5" s="2023">
        <f t="shared" ref="M5" si="7">F5/100</f>
        <v>0</v>
      </c>
      <c r="N5" s="2023">
        <f t="shared" ref="N5" si="8">G5/100</f>
        <v>0</v>
      </c>
      <c r="O5" s="2023">
        <f t="shared" ref="O5" si="9">H5/100</f>
        <v>0</v>
      </c>
      <c r="P5" s="2023">
        <f t="shared" ref="P5:P11" si="10">M5</f>
        <v>0</v>
      </c>
      <c r="Q5" s="2902"/>
      <c r="R5" s="2022">
        <f>ROUND(IF(项目基本情况!$B$8="出让",SUMPRODUCT(PRODUCT(1+K5:$K$24)),SUMPRODUCT(PRODUCT(1+K5:$K$23))),4)</f>
        <v>1.0571999999999999</v>
      </c>
      <c r="S5" s="2022">
        <f>ROUND(IF(项目基本情况!$B$8="出让",SUMPRODUCT(PRODUCT(1+L5:$L$24)),SUMPRODUCT(PRODUCT(1+L5:$L$23))),4)</f>
        <v>1.0339</v>
      </c>
      <c r="T5" s="2022">
        <f>ROUND(IF(项目基本情况!$B$8="出让",SUMPRODUCT(PRODUCT(1+M5:$M$24)),SUMPRODUCT(PRODUCT(1+M5:$M$23))),4)</f>
        <v>0.99129999999999996</v>
      </c>
      <c r="U5" s="2022">
        <f>ROUND(IF(项目基本情况!$B$8="出让",SUMPRODUCT(PRODUCT(1+N5:$N$24)),SUMPRODUCT(PRODUCT(1+N5:$N$23))),4)</f>
        <v>1.0679000000000001</v>
      </c>
      <c r="V5" s="2022">
        <f>ROUND(IF(项目基本情况!$B$8="出让",SUMPRODUCT(PRODUCT(1+O5:$O$24)),SUMPRODUCT(PRODUCT(1+O5:$O$23))),4)</f>
        <v>1.0871999999999999</v>
      </c>
      <c r="W5" s="2022">
        <f t="shared" ref="W5:W11" si="11">T5</f>
        <v>0.99129999999999996</v>
      </c>
      <c r="X5" s="2902"/>
      <c r="Y5" s="2023">
        <f t="shared" ref="Y5:Y11" si="12">IF(D5=0,0,ROUND(AVERAGE(D5:D18)/100,4))</f>
        <v>0</v>
      </c>
      <c r="Z5" s="2023">
        <f t="shared" ref="Z5" si="13">IF(E5=0,0,ROUND(AVERAGE(E5:E18)/100,4))</f>
        <v>0</v>
      </c>
      <c r="AA5" s="2023">
        <f t="shared" ref="AA5" si="14">IF(F5=0,0,ROUND(AVERAGE(F5:F18)/100,4))</f>
        <v>0</v>
      </c>
      <c r="AB5" s="2023">
        <f t="shared" ref="AB5" si="15">IF(G5=0,0,ROUND(AVERAGE(G5:G18)/100,4))</f>
        <v>0</v>
      </c>
      <c r="AC5" s="2023">
        <f t="shared" ref="AC5" si="16">IF(H5=0,0,ROUND(AVERAGE(H5:H18)/100,4))</f>
        <v>0</v>
      </c>
      <c r="AD5" s="2023">
        <f t="shared" ref="AD5" si="17">AA5</f>
        <v>0</v>
      </c>
      <c r="AF5" s="3148">
        <f>$AF$24*R5</f>
        <v>105.72</v>
      </c>
      <c r="AG5" s="3148">
        <f t="shared" ref="AG5:AK5" si="18">$AF$24*S5</f>
        <v>103.39</v>
      </c>
      <c r="AH5" s="3148">
        <f t="shared" si="18"/>
        <v>99.13</v>
      </c>
      <c r="AI5" s="3148">
        <f t="shared" si="18"/>
        <v>106.79</v>
      </c>
      <c r="AJ5" s="3148">
        <f t="shared" si="18"/>
        <v>108.72</v>
      </c>
      <c r="AK5" s="3148">
        <f t="shared" si="18"/>
        <v>99.13</v>
      </c>
      <c r="AM5" s="3154">
        <v>100</v>
      </c>
      <c r="AN5" s="3154">
        <v>100</v>
      </c>
      <c r="AO5" s="3154">
        <v>100</v>
      </c>
      <c r="AP5" s="3154">
        <v>100</v>
      </c>
      <c r="AQ5" s="3154">
        <v>100</v>
      </c>
      <c r="AR5" s="3154">
        <v>100</v>
      </c>
    </row>
    <row r="6" spans="1:44" s="2040" customFormat="1" ht="12.75">
      <c r="A6" s="2035" t="s">
        <v>3392</v>
      </c>
      <c r="B6" s="2026">
        <v>2025</v>
      </c>
      <c r="C6" s="2037">
        <v>3</v>
      </c>
      <c r="D6" s="2002">
        <v>0</v>
      </c>
      <c r="E6" s="2002">
        <v>0</v>
      </c>
      <c r="F6" s="2002">
        <v>0</v>
      </c>
      <c r="G6" s="2002">
        <v>0</v>
      </c>
      <c r="H6" s="2002">
        <v>0</v>
      </c>
      <c r="I6" s="2003">
        <f t="shared" ref="I6" si="19">F6</f>
        <v>0</v>
      </c>
      <c r="J6" s="2902"/>
      <c r="K6" s="2038">
        <f t="shared" ref="K6" si="20">D6/100</f>
        <v>0</v>
      </c>
      <c r="L6" s="2023">
        <f t="shared" ref="L6" si="21">E6/100</f>
        <v>0</v>
      </c>
      <c r="M6" s="2023">
        <f t="shared" ref="M6" si="22">F6/100</f>
        <v>0</v>
      </c>
      <c r="N6" s="2023">
        <f t="shared" ref="N6" si="23">G6/100</f>
        <v>0</v>
      </c>
      <c r="O6" s="2023">
        <f t="shared" ref="O6" si="24">H6/100</f>
        <v>0</v>
      </c>
      <c r="P6" s="2023">
        <f t="shared" si="10"/>
        <v>0</v>
      </c>
      <c r="Q6" s="2902"/>
      <c r="R6" s="2022">
        <f>ROUND(IF(项目基本情况!$B$8="出让",SUMPRODUCT(PRODUCT(1+K6:$K$24)),SUMPRODUCT(PRODUCT(1+K6:$K$23))),4)</f>
        <v>1.0571999999999999</v>
      </c>
      <c r="S6" s="2022">
        <f>ROUND(IF(项目基本情况!$B$8="出让",SUMPRODUCT(PRODUCT(1+L6:$L$24)),SUMPRODUCT(PRODUCT(1+L6:$L$23))),4)</f>
        <v>1.0339</v>
      </c>
      <c r="T6" s="2022">
        <f>ROUND(IF(项目基本情况!$B$8="出让",SUMPRODUCT(PRODUCT(1+M6:$M$24)),SUMPRODUCT(PRODUCT(1+M6:$M$23))),4)</f>
        <v>0.99129999999999996</v>
      </c>
      <c r="U6" s="2022">
        <f>ROUND(IF(项目基本情况!$B$8="出让",SUMPRODUCT(PRODUCT(1+N6:$N$24)),SUMPRODUCT(PRODUCT(1+N6:$N$23))),4)</f>
        <v>1.0679000000000001</v>
      </c>
      <c r="V6" s="2022">
        <f>ROUND(IF(项目基本情况!$B$8="出让",SUMPRODUCT(PRODUCT(1+O6:$O$24)),SUMPRODUCT(PRODUCT(1+O6:$O$23))),4)</f>
        <v>1.0871999999999999</v>
      </c>
      <c r="W6" s="2022">
        <f t="shared" si="11"/>
        <v>0.99129999999999996</v>
      </c>
      <c r="X6" s="2902"/>
      <c r="Y6" s="2023">
        <f t="shared" si="12"/>
        <v>0</v>
      </c>
      <c r="Z6" s="2023">
        <f t="shared" ref="Z6" si="25">IF(E6=0,0,ROUND(AVERAGE(E6:E19)/100,4))</f>
        <v>0</v>
      </c>
      <c r="AA6" s="2023">
        <f t="shared" ref="AA6" si="26">IF(F6=0,0,ROUND(AVERAGE(F6:F19)/100,4))</f>
        <v>0</v>
      </c>
      <c r="AB6" s="2023">
        <f t="shared" ref="AB6" si="27">IF(G6=0,0,ROUND(AVERAGE(G6:G19)/100,4))</f>
        <v>0</v>
      </c>
      <c r="AC6" s="2023">
        <f t="shared" ref="AC6" si="28">IF(H6=0,0,ROUND(AVERAGE(H6:H19)/100,4))</f>
        <v>0</v>
      </c>
      <c r="AD6" s="2023">
        <f t="shared" ref="AD6" si="29">AA6</f>
        <v>0</v>
      </c>
      <c r="AF6" s="3148">
        <f t="shared" ref="AF6:AF23" si="30">$AF$24*R6</f>
        <v>105.72</v>
      </c>
      <c r="AG6" s="3148">
        <f t="shared" ref="AG6:AG23" si="31">$AF$24*S6</f>
        <v>103.39</v>
      </c>
      <c r="AH6" s="3148">
        <f t="shared" ref="AH6:AH23" si="32">$AF$24*T6</f>
        <v>99.13</v>
      </c>
      <c r="AI6" s="3148">
        <f t="shared" ref="AI6:AI23" si="33">$AF$24*U6</f>
        <v>106.79</v>
      </c>
      <c r="AJ6" s="3148">
        <f t="shared" ref="AJ6:AJ23" si="34">$AF$24*V6</f>
        <v>108.72</v>
      </c>
      <c r="AK6" s="3148">
        <f t="shared" ref="AK6:AK23" si="35">$AF$24*W6</f>
        <v>99.13</v>
      </c>
      <c r="AM6" s="3148">
        <f>AM5/(1+D5/100)</f>
        <v>100</v>
      </c>
      <c r="AN6" s="3148">
        <f t="shared" ref="AN6:AR6" si="36">AN5/(1+E5/100)</f>
        <v>100</v>
      </c>
      <c r="AO6" s="3148">
        <f t="shared" si="36"/>
        <v>100</v>
      </c>
      <c r="AP6" s="3148">
        <f t="shared" si="36"/>
        <v>100</v>
      </c>
      <c r="AQ6" s="3148">
        <f t="shared" si="36"/>
        <v>100</v>
      </c>
      <c r="AR6" s="3148">
        <f t="shared" si="36"/>
        <v>100</v>
      </c>
    </row>
    <row r="7" spans="1:44" s="2912" customFormat="1" ht="12.75">
      <c r="A7" s="2903" t="s">
        <v>3391</v>
      </c>
      <c r="B7" s="2904">
        <v>2025</v>
      </c>
      <c r="C7" s="2905">
        <v>2</v>
      </c>
      <c r="D7" s="2906">
        <v>0</v>
      </c>
      <c r="E7" s="2906">
        <v>0</v>
      </c>
      <c r="F7" s="2906">
        <v>0</v>
      </c>
      <c r="G7" s="2906">
        <v>0</v>
      </c>
      <c r="H7" s="2907">
        <v>0</v>
      </c>
      <c r="I7" s="2908">
        <f t="shared" ref="I7" si="37">F7</f>
        <v>0</v>
      </c>
      <c r="J7" s="2909"/>
      <c r="K7" s="2910">
        <f t="shared" ref="K7" si="38">D7/100</f>
        <v>0</v>
      </c>
      <c r="L7" s="2911">
        <f t="shared" ref="L7" si="39">E7/100</f>
        <v>0</v>
      </c>
      <c r="M7" s="2911">
        <f t="shared" ref="M7" si="40">F7/100</f>
        <v>0</v>
      </c>
      <c r="N7" s="2911">
        <f t="shared" ref="N7" si="41">G7/100</f>
        <v>0</v>
      </c>
      <c r="O7" s="2911">
        <f t="shared" ref="O7" si="42">H7/100</f>
        <v>0</v>
      </c>
      <c r="P7" s="2911">
        <f t="shared" si="10"/>
        <v>0</v>
      </c>
      <c r="Q7" s="2909"/>
      <c r="R7" s="2909">
        <f>ROUND(IF(项目基本情况!$B$8="出让",SUMPRODUCT(PRODUCT(1+K7:$K$24)),SUMPRODUCT(PRODUCT(1+K7:$K$23))),4)</f>
        <v>1.0571999999999999</v>
      </c>
      <c r="S7" s="2909">
        <f>ROUND(IF(项目基本情况!$B$8="出让",SUMPRODUCT(PRODUCT(1+L7:$L$24)),SUMPRODUCT(PRODUCT(1+L7:$L$23))),4)</f>
        <v>1.0339</v>
      </c>
      <c r="T7" s="2909">
        <f>ROUND(IF(项目基本情况!$B$8="出让",SUMPRODUCT(PRODUCT(1+M7:$M$24)),SUMPRODUCT(PRODUCT(1+M7:$M$23))),4)</f>
        <v>0.99129999999999996</v>
      </c>
      <c r="U7" s="2909">
        <f>ROUND(IF(项目基本情况!$B$8="出让",SUMPRODUCT(PRODUCT(1+N7:$N$24)),SUMPRODUCT(PRODUCT(1+N7:$N$23))),4)</f>
        <v>1.0679000000000001</v>
      </c>
      <c r="V7" s="2909">
        <f>ROUND(IF(项目基本情况!$B$8="出让",SUMPRODUCT(PRODUCT(1+O7:$O$24)),SUMPRODUCT(PRODUCT(1+O7:$O$23))),4)</f>
        <v>1.0871999999999999</v>
      </c>
      <c r="W7" s="2909">
        <f t="shared" si="11"/>
        <v>0.99129999999999996</v>
      </c>
      <c r="X7" s="2909"/>
      <c r="Y7" s="2911">
        <f t="shared" si="12"/>
        <v>0</v>
      </c>
      <c r="Z7" s="2911">
        <f t="shared" ref="Z7" si="43">IF(E7=0,0,ROUND(AVERAGE(E7:E20)/100,4))</f>
        <v>0</v>
      </c>
      <c r="AA7" s="2911">
        <f t="shared" ref="AA7" si="44">IF(F7=0,0,ROUND(AVERAGE(F7:F20)/100,4))</f>
        <v>0</v>
      </c>
      <c r="AB7" s="2911">
        <f t="shared" ref="AB7" si="45">IF(G7=0,0,ROUND(AVERAGE(G7:G20)/100,4))</f>
        <v>0</v>
      </c>
      <c r="AC7" s="2911">
        <f t="shared" ref="AC7" si="46">IF(H7=0,0,ROUND(AVERAGE(H7:H20)/100,4))</f>
        <v>0</v>
      </c>
      <c r="AD7" s="2911">
        <f t="shared" ref="AD7" si="47">AA7</f>
        <v>0</v>
      </c>
      <c r="AF7" s="3149">
        <f t="shared" si="30"/>
        <v>105.72</v>
      </c>
      <c r="AG7" s="3149">
        <f t="shared" si="31"/>
        <v>103.39</v>
      </c>
      <c r="AH7" s="3149">
        <f t="shared" si="32"/>
        <v>99.13</v>
      </c>
      <c r="AI7" s="3149">
        <f t="shared" si="33"/>
        <v>106.79</v>
      </c>
      <c r="AJ7" s="3149">
        <f t="shared" si="34"/>
        <v>108.72</v>
      </c>
      <c r="AK7" s="3149">
        <f t="shared" si="35"/>
        <v>99.13</v>
      </c>
      <c r="AM7" s="3149">
        <f t="shared" ref="AM7:AM24" si="48">AM6/(1+D6/100)</f>
        <v>100</v>
      </c>
      <c r="AN7" s="3149">
        <f t="shared" ref="AN7:AN24" si="49">AN6/(1+E6/100)</f>
        <v>100</v>
      </c>
      <c r="AO7" s="3149">
        <f t="shared" ref="AO7:AO24" si="50">AO6/(1+F6/100)</f>
        <v>100</v>
      </c>
      <c r="AP7" s="3149">
        <f t="shared" ref="AP7:AP24" si="51">AP6/(1+G6/100)</f>
        <v>100</v>
      </c>
      <c r="AQ7" s="3149">
        <f t="shared" ref="AQ7:AQ24" si="52">AQ6/(1+H6/100)</f>
        <v>100</v>
      </c>
      <c r="AR7" s="3149">
        <f t="shared" ref="AR7:AR24" si="53">AR6/(1+I6/100)</f>
        <v>100</v>
      </c>
    </row>
    <row r="8" spans="1:44" s="2040" customFormat="1" ht="12.75">
      <c r="A8" s="2035" t="s">
        <v>3399</v>
      </c>
      <c r="B8" s="2026">
        <v>2025</v>
      </c>
      <c r="C8" s="2037">
        <v>1</v>
      </c>
      <c r="D8" s="2002">
        <v>0.56999999999999995</v>
      </c>
      <c r="E8" s="2002">
        <v>-0.56999999999999995</v>
      </c>
      <c r="F8" s="2002">
        <v>-0.9</v>
      </c>
      <c r="G8" s="2002">
        <v>1.1200000000000001</v>
      </c>
      <c r="H8" s="2002">
        <v>0.42</v>
      </c>
      <c r="I8" s="2003">
        <f t="shared" ref="I8" si="54">F8</f>
        <v>-0.9</v>
      </c>
      <c r="J8" s="2902"/>
      <c r="K8" s="2038">
        <f t="shared" ref="K8" si="55">D8/100</f>
        <v>5.6999999999999993E-3</v>
      </c>
      <c r="L8" s="2023">
        <f t="shared" ref="L8" si="56">E8/100</f>
        <v>-5.6999999999999993E-3</v>
      </c>
      <c r="M8" s="2023">
        <f t="shared" ref="M8" si="57">F8/100</f>
        <v>-9.0000000000000011E-3</v>
      </c>
      <c r="N8" s="2023">
        <f t="shared" ref="N8" si="58">G8/100</f>
        <v>1.1200000000000002E-2</v>
      </c>
      <c r="O8" s="2023">
        <f t="shared" ref="O8" si="59">H8/100</f>
        <v>4.1999999999999997E-3</v>
      </c>
      <c r="P8" s="2023">
        <f t="shared" si="10"/>
        <v>-9.0000000000000011E-3</v>
      </c>
      <c r="Q8" s="2902"/>
      <c r="R8" s="2022">
        <f>ROUND(IF(项目基本情况!$B$8="出让",SUMPRODUCT(PRODUCT(1+K8:$K$24)),SUMPRODUCT(PRODUCT(1+K8:$K$23))),4)</f>
        <v>1.0571999999999999</v>
      </c>
      <c r="S8" s="2022">
        <f>ROUND(IF(项目基本情况!$B$8="出让",SUMPRODUCT(PRODUCT(1+L8:$L$24)),SUMPRODUCT(PRODUCT(1+L8:$L$23))),4)</f>
        <v>1.0339</v>
      </c>
      <c r="T8" s="2022">
        <f>ROUND(IF(项目基本情况!$B$8="出让",SUMPRODUCT(PRODUCT(1+M8:$M$24)),SUMPRODUCT(PRODUCT(1+M8:$M$23))),4)</f>
        <v>0.99129999999999996</v>
      </c>
      <c r="U8" s="2022">
        <f>ROUND(IF(项目基本情况!$B$8="出让",SUMPRODUCT(PRODUCT(1+N8:$N$24)),SUMPRODUCT(PRODUCT(1+N8:$N$23))),4)</f>
        <v>1.0679000000000001</v>
      </c>
      <c r="V8" s="2022">
        <f>ROUND(IF(项目基本情况!$B$8="出让",SUMPRODUCT(PRODUCT(1+O8:$O$24)),SUMPRODUCT(PRODUCT(1+O8:$O$23))),4)</f>
        <v>1.0871999999999999</v>
      </c>
      <c r="W8" s="2022">
        <f t="shared" si="11"/>
        <v>0.99129999999999996</v>
      </c>
      <c r="X8" s="2902"/>
      <c r="Y8" s="2023">
        <f t="shared" si="12"/>
        <v>3.0000000000000001E-3</v>
      </c>
      <c r="Z8" s="2023">
        <f t="shared" ref="Z8" si="60">IF(E8=0,0,ROUND(AVERAGE(E8:E21)/100,4))</f>
        <v>1.6000000000000001E-3</v>
      </c>
      <c r="AA8" s="2023">
        <f t="shared" ref="AA8" si="61">IF(F8=0,0,ROUND(AVERAGE(F8:F21)/100,4))</f>
        <v>-1.1000000000000001E-3</v>
      </c>
      <c r="AB8" s="2023">
        <f t="shared" ref="AB8" si="62">IF(G8=0,0,ROUND(AVERAGE(G8:G21)/100,4))</f>
        <v>3.7000000000000002E-3</v>
      </c>
      <c r="AC8" s="2023">
        <f t="shared" ref="AC8" si="63">IF(H8=0,0,ROUND(AVERAGE(H8:H21)/100,4))</f>
        <v>4.8999999999999998E-3</v>
      </c>
      <c r="AD8" s="2023">
        <f t="shared" ref="AD8" si="64">AA8</f>
        <v>-1.1000000000000001E-3</v>
      </c>
      <c r="AF8" s="3148">
        <f t="shared" si="30"/>
        <v>105.72</v>
      </c>
      <c r="AG8" s="3148">
        <f t="shared" si="31"/>
        <v>103.39</v>
      </c>
      <c r="AH8" s="3148">
        <f t="shared" si="32"/>
        <v>99.13</v>
      </c>
      <c r="AI8" s="3148">
        <f t="shared" si="33"/>
        <v>106.79</v>
      </c>
      <c r="AJ8" s="3148">
        <f t="shared" si="34"/>
        <v>108.72</v>
      </c>
      <c r="AK8" s="3148">
        <f t="shared" si="35"/>
        <v>99.13</v>
      </c>
      <c r="AM8" s="3148">
        <f t="shared" si="48"/>
        <v>100</v>
      </c>
      <c r="AN8" s="3148">
        <f t="shared" si="49"/>
        <v>100</v>
      </c>
      <c r="AO8" s="3148">
        <f t="shared" si="50"/>
        <v>100</v>
      </c>
      <c r="AP8" s="3148">
        <f t="shared" si="51"/>
        <v>100</v>
      </c>
      <c r="AQ8" s="3148">
        <f t="shared" si="52"/>
        <v>100</v>
      </c>
      <c r="AR8" s="3148">
        <f t="shared" si="53"/>
        <v>100</v>
      </c>
    </row>
    <row r="9" spans="1:44" s="2040" customFormat="1" ht="12.75">
      <c r="A9" s="2035" t="s">
        <v>3398</v>
      </c>
      <c r="B9" s="2026">
        <v>2024</v>
      </c>
      <c r="C9" s="2037">
        <v>4</v>
      </c>
      <c r="D9" s="2002">
        <v>-1.02</v>
      </c>
      <c r="E9" s="2002">
        <v>-0.48</v>
      </c>
      <c r="F9" s="2002">
        <v>-0.75</v>
      </c>
      <c r="G9" s="2002">
        <v>-1.05</v>
      </c>
      <c r="H9" s="2002">
        <v>0.08</v>
      </c>
      <c r="I9" s="2003">
        <f t="shared" ref="I9" si="65">F9</f>
        <v>-0.75</v>
      </c>
      <c r="J9" s="2902"/>
      <c r="K9" s="2038">
        <f t="shared" ref="K9" si="66">D9/100</f>
        <v>-1.0200000000000001E-2</v>
      </c>
      <c r="L9" s="2023">
        <f t="shared" ref="L9" si="67">E9/100</f>
        <v>-4.7999999999999996E-3</v>
      </c>
      <c r="M9" s="2023">
        <f t="shared" ref="M9" si="68">F9/100</f>
        <v>-7.4999999999999997E-3</v>
      </c>
      <c r="N9" s="2023">
        <f t="shared" ref="N9" si="69">G9/100</f>
        <v>-1.0500000000000001E-2</v>
      </c>
      <c r="O9" s="2023">
        <f t="shared" ref="O9" si="70">H9/100</f>
        <v>8.0000000000000004E-4</v>
      </c>
      <c r="P9" s="2023">
        <f t="shared" si="10"/>
        <v>-7.4999999999999997E-3</v>
      </c>
      <c r="Q9" s="2902"/>
      <c r="R9" s="2022">
        <f>ROUND(IF(项目基本情况!$B$8="出让",SUMPRODUCT(PRODUCT(1+K9:$K$24)),SUMPRODUCT(PRODUCT(1+K9:$K$23))),4)</f>
        <v>1.0511999999999999</v>
      </c>
      <c r="S9" s="2022">
        <f>ROUND(IF(项目基本情况!$B$8="出让",SUMPRODUCT(PRODUCT(1+L9:$L$24)),SUMPRODUCT(PRODUCT(1+L9:$L$23))),4)</f>
        <v>1.0398000000000001</v>
      </c>
      <c r="T9" s="2022">
        <f>ROUND(IF(项目基本情况!$B$8="出让",SUMPRODUCT(PRODUCT(1+M9:$M$24)),SUMPRODUCT(PRODUCT(1+M9:$M$23))),4)</f>
        <v>1.0003</v>
      </c>
      <c r="U9" s="2022">
        <f>ROUND(IF(项目基本情况!$B$8="出让",SUMPRODUCT(PRODUCT(1+N9:$N$24)),SUMPRODUCT(PRODUCT(1+N9:$N$23))),4)</f>
        <v>1.0561</v>
      </c>
      <c r="V9" s="2022">
        <f>ROUND(IF(项目基本情况!$B$8="出让",SUMPRODUCT(PRODUCT(1+O9:$O$24)),SUMPRODUCT(PRODUCT(1+O9:$O$23))),4)</f>
        <v>1.0827</v>
      </c>
      <c r="W9" s="2022">
        <f t="shared" si="11"/>
        <v>1.0003</v>
      </c>
      <c r="X9" s="2902"/>
      <c r="Y9" s="2023">
        <f t="shared" si="12"/>
        <v>2.8999999999999998E-3</v>
      </c>
      <c r="Z9" s="2023">
        <f t="shared" ref="Z9" si="71">IF(E9=0,0,ROUND(AVERAGE(E9:E22)/100,4))</f>
        <v>2.3E-3</v>
      </c>
      <c r="AA9" s="2023">
        <f t="shared" ref="AA9" si="72">IF(F9=0,0,ROUND(AVERAGE(F9:F22)/100,4))</f>
        <v>-2.9999999999999997E-4</v>
      </c>
      <c r="AB9" s="2023">
        <f t="shared" ref="AB9" si="73">IF(G9=0,0,ROUND(AVERAGE(G9:G22)/100,4))</f>
        <v>3.3E-3</v>
      </c>
      <c r="AC9" s="2023">
        <f t="shared" ref="AC9" si="74">IF(H9=0,0,ROUND(AVERAGE(H9:H22)/100,4))</f>
        <v>5.0000000000000001E-3</v>
      </c>
      <c r="AD9" s="2023">
        <f t="shared" ref="AD9" si="75">AA9</f>
        <v>-2.9999999999999997E-4</v>
      </c>
      <c r="AF9" s="3148">
        <f t="shared" si="30"/>
        <v>105.11999999999999</v>
      </c>
      <c r="AG9" s="3148">
        <f t="shared" si="31"/>
        <v>103.98</v>
      </c>
      <c r="AH9" s="3148">
        <f t="shared" si="32"/>
        <v>100.03</v>
      </c>
      <c r="AI9" s="3148">
        <f t="shared" si="33"/>
        <v>105.61</v>
      </c>
      <c r="AJ9" s="3148">
        <f t="shared" si="34"/>
        <v>108.27</v>
      </c>
      <c r="AK9" s="3148">
        <f t="shared" si="35"/>
        <v>100.03</v>
      </c>
      <c r="AM9" s="3148">
        <f t="shared" si="48"/>
        <v>99.433230585661718</v>
      </c>
      <c r="AN9" s="3148">
        <f t="shared" si="49"/>
        <v>100.57326762546515</v>
      </c>
      <c r="AO9" s="3148">
        <f t="shared" si="50"/>
        <v>100.90817356205852</v>
      </c>
      <c r="AP9" s="3148">
        <f t="shared" si="51"/>
        <v>98.892405063291136</v>
      </c>
      <c r="AQ9" s="3148">
        <f t="shared" si="52"/>
        <v>99.581756622186816</v>
      </c>
      <c r="AR9" s="3148">
        <f t="shared" si="53"/>
        <v>100.90817356205852</v>
      </c>
    </row>
    <row r="10" spans="1:44" s="2040" customFormat="1" ht="12.75">
      <c r="A10" s="2035" t="s">
        <v>3371</v>
      </c>
      <c r="B10" s="2026">
        <v>2024</v>
      </c>
      <c r="C10" s="2037">
        <v>3</v>
      </c>
      <c r="D10" s="2002">
        <v>-1.19</v>
      </c>
      <c r="E10" s="2002">
        <v>-0.47</v>
      </c>
      <c r="F10" s="2002">
        <v>-0.28999999999999998</v>
      </c>
      <c r="G10" s="2002">
        <v>-0.74</v>
      </c>
      <c r="H10" s="2002">
        <v>-0.21</v>
      </c>
      <c r="I10" s="2003">
        <f t="shared" ref="I10" si="76">F10</f>
        <v>-0.28999999999999998</v>
      </c>
      <c r="J10" s="2902"/>
      <c r="K10" s="2038">
        <f t="shared" ref="K10" si="77">D10/100</f>
        <v>-1.1899999999999999E-2</v>
      </c>
      <c r="L10" s="2023">
        <f t="shared" ref="L10" si="78">E10/100</f>
        <v>-4.6999999999999993E-3</v>
      </c>
      <c r="M10" s="2023">
        <f t="shared" ref="M10" si="79">F10/100</f>
        <v>-2.8999999999999998E-3</v>
      </c>
      <c r="N10" s="2023">
        <f t="shared" ref="N10" si="80">G10/100</f>
        <v>-7.4000000000000003E-3</v>
      </c>
      <c r="O10" s="2023">
        <f t="shared" ref="O10" si="81">H10/100</f>
        <v>-2.0999999999999999E-3</v>
      </c>
      <c r="P10" s="2023">
        <f t="shared" si="10"/>
        <v>-2.8999999999999998E-3</v>
      </c>
      <c r="Q10" s="2902"/>
      <c r="R10" s="2022">
        <f>ROUND(IF(项目基本情况!$B$8="出让",SUMPRODUCT(PRODUCT(1+K10:$K$24)),SUMPRODUCT(PRODUCT(1+K10:$K$23))),4)</f>
        <v>1.0620000000000001</v>
      </c>
      <c r="S10" s="2022">
        <f>ROUND(IF(项目基本情况!$B$8="出让",SUMPRODUCT(PRODUCT(1+L10:$L$24)),SUMPRODUCT(PRODUCT(1+L10:$L$23))),4)</f>
        <v>1.0448</v>
      </c>
      <c r="T10" s="2022">
        <f>ROUND(IF(项目基本情况!$B$8="出让",SUMPRODUCT(PRODUCT(1+M10:$M$24)),SUMPRODUCT(PRODUCT(1+M10:$M$23))),4)</f>
        <v>1.0079</v>
      </c>
      <c r="U10" s="2022">
        <f>ROUND(IF(项目基本情况!$B$8="出让",SUMPRODUCT(PRODUCT(1+N10:$N$24)),SUMPRODUCT(PRODUCT(1+N10:$N$23))),4)</f>
        <v>1.0672999999999999</v>
      </c>
      <c r="V10" s="2022">
        <f>ROUND(IF(项目基本情况!$B$8="出让",SUMPRODUCT(PRODUCT(1+O10:$O$24)),SUMPRODUCT(PRODUCT(1+O10:$O$23))),4)</f>
        <v>1.0818000000000001</v>
      </c>
      <c r="W10" s="2022">
        <f t="shared" si="11"/>
        <v>1.0079</v>
      </c>
      <c r="X10" s="2902"/>
      <c r="Y10" s="2023">
        <f t="shared" si="12"/>
        <v>4.3E-3</v>
      </c>
      <c r="Z10" s="2023">
        <f t="shared" ref="Z10" si="82">IF(E10=0,0,ROUND(AVERAGE(E10:E23)/100,4))</f>
        <v>3.0999999999999999E-3</v>
      </c>
      <c r="AA10" s="2023">
        <f t="shared" ref="AA10" si="83">IF(F10=0,0,ROUND(AVERAGE(F10:F23)/100,4))</f>
        <v>5.9999999999999995E-4</v>
      </c>
      <c r="AB10" s="2023">
        <f t="shared" ref="AB10" si="84">IF(G10=0,0,ROUND(AVERAGE(G10:G23)/100,4))</f>
        <v>4.7000000000000002E-3</v>
      </c>
      <c r="AC10" s="2023">
        <f t="shared" ref="AC10" si="85">IF(H10=0,0,ROUND(AVERAGE(H10:H23)/100,4))</f>
        <v>5.5999999999999999E-3</v>
      </c>
      <c r="AD10" s="2023">
        <f t="shared" ref="AD10" si="86">AA10</f>
        <v>5.9999999999999995E-4</v>
      </c>
      <c r="AF10" s="3148">
        <f t="shared" si="30"/>
        <v>106.2</v>
      </c>
      <c r="AG10" s="3148">
        <f t="shared" si="31"/>
        <v>104.47999999999999</v>
      </c>
      <c r="AH10" s="3148">
        <f t="shared" si="32"/>
        <v>100.79</v>
      </c>
      <c r="AI10" s="3148">
        <f t="shared" si="33"/>
        <v>106.72999999999999</v>
      </c>
      <c r="AJ10" s="3148">
        <f t="shared" si="34"/>
        <v>108.18</v>
      </c>
      <c r="AK10" s="3148">
        <f t="shared" si="35"/>
        <v>100.79</v>
      </c>
      <c r="AM10" s="3148">
        <f t="shared" si="48"/>
        <v>100.45790117767399</v>
      </c>
      <c r="AN10" s="3148">
        <f t="shared" si="49"/>
        <v>101.05834769439826</v>
      </c>
      <c r="AO10" s="3148">
        <f t="shared" si="50"/>
        <v>101.670703840865</v>
      </c>
      <c r="AP10" s="3148">
        <f t="shared" si="51"/>
        <v>99.941793899233076</v>
      </c>
      <c r="AQ10" s="3148">
        <f t="shared" si="52"/>
        <v>99.502154898268216</v>
      </c>
      <c r="AR10" s="3148">
        <f t="shared" si="53"/>
        <v>101.670703840865</v>
      </c>
    </row>
    <row r="11" spans="1:44" s="2040" customFormat="1" ht="12.75">
      <c r="A11" s="2901" t="s">
        <v>3365</v>
      </c>
      <c r="B11" s="2026">
        <v>2024</v>
      </c>
      <c r="C11" s="2037">
        <v>2</v>
      </c>
      <c r="D11" s="2002">
        <v>-0.59</v>
      </c>
      <c r="E11" s="2002">
        <v>-0.21</v>
      </c>
      <c r="F11" s="2002">
        <v>-1.38</v>
      </c>
      <c r="G11" s="2002">
        <v>-1.24</v>
      </c>
      <c r="H11" s="2913">
        <v>0.34</v>
      </c>
      <c r="I11" s="2003">
        <f t="shared" ref="I11:I24" si="87">F11</f>
        <v>-1.38</v>
      </c>
      <c r="J11" s="2902"/>
      <c r="K11" s="2038">
        <f t="shared" ref="K11:O24" si="88">D11/100</f>
        <v>-5.8999999999999999E-3</v>
      </c>
      <c r="L11" s="2023">
        <f t="shared" si="88"/>
        <v>-2.0999999999999999E-3</v>
      </c>
      <c r="M11" s="2023">
        <f t="shared" si="88"/>
        <v>-1.38E-2</v>
      </c>
      <c r="N11" s="2023">
        <f t="shared" si="88"/>
        <v>-1.24E-2</v>
      </c>
      <c r="O11" s="2023">
        <f t="shared" si="88"/>
        <v>3.4000000000000002E-3</v>
      </c>
      <c r="P11" s="2023">
        <f t="shared" si="10"/>
        <v>-1.38E-2</v>
      </c>
      <c r="Q11" s="2902"/>
      <c r="R11" s="2022">
        <f>ROUND(IF(项目基本情况!$B$8="出让",SUMPRODUCT(PRODUCT(1+K11:$K$24)),SUMPRODUCT(PRODUCT(1+K11:$K$23))),4)</f>
        <v>1.0748</v>
      </c>
      <c r="S11" s="2022">
        <f>ROUND(IF(项目基本情况!$B$8="出让",SUMPRODUCT(PRODUCT(1+L11:$L$24)),SUMPRODUCT(PRODUCT(1+L11:$L$23))),4)</f>
        <v>1.0498000000000001</v>
      </c>
      <c r="T11" s="2022">
        <f>ROUND(IF(项目基本情况!$B$8="出让",SUMPRODUCT(PRODUCT(1+M11:$M$24)),SUMPRODUCT(PRODUCT(1+M11:$M$23))),4)</f>
        <v>1.0107999999999999</v>
      </c>
      <c r="U11" s="2022">
        <f>ROUND(IF(项目基本情况!$B$8="出让",SUMPRODUCT(PRODUCT(1+N11:$N$24)),SUMPRODUCT(PRODUCT(1+N11:$N$23))),4)</f>
        <v>1.0752999999999999</v>
      </c>
      <c r="V11" s="2022">
        <f>ROUND(IF(项目基本情况!$B$8="出让",SUMPRODUCT(PRODUCT(1+O11:$O$24)),SUMPRODUCT(PRODUCT(1+O11:$O$23))),4)</f>
        <v>1.0841000000000001</v>
      </c>
      <c r="W11" s="2022">
        <f t="shared" si="11"/>
        <v>1.0107999999999999</v>
      </c>
      <c r="X11" s="2902"/>
      <c r="Y11" s="2023">
        <f t="shared" si="12"/>
        <v>5.8999999999999999E-3</v>
      </c>
      <c r="Z11" s="2023">
        <f t="shared" ref="Z11:AC11" si="89">IF(E11=0,0,ROUND(AVERAGE(E11:E24)/100,4))</f>
        <v>3.5999999999999999E-3</v>
      </c>
      <c r="AA11" s="2023">
        <f t="shared" si="89"/>
        <v>5.9999999999999995E-4</v>
      </c>
      <c r="AB11" s="2023">
        <f t="shared" si="89"/>
        <v>6.0000000000000001E-3</v>
      </c>
      <c r="AC11" s="2023">
        <f t="shared" si="89"/>
        <v>6.0000000000000001E-3</v>
      </c>
      <c r="AD11" s="2023">
        <f t="shared" ref="AD11:AD23" si="90">AA11</f>
        <v>5.9999999999999995E-4</v>
      </c>
      <c r="AF11" s="3148">
        <f t="shared" si="30"/>
        <v>107.48</v>
      </c>
      <c r="AG11" s="3148">
        <f t="shared" si="31"/>
        <v>104.98</v>
      </c>
      <c r="AH11" s="3148">
        <f t="shared" si="32"/>
        <v>101.08</v>
      </c>
      <c r="AI11" s="3148">
        <f t="shared" si="33"/>
        <v>107.52999999999999</v>
      </c>
      <c r="AJ11" s="3148">
        <f t="shared" si="34"/>
        <v>108.41000000000001</v>
      </c>
      <c r="AK11" s="3148">
        <f t="shared" si="35"/>
        <v>101.08</v>
      </c>
      <c r="AM11" s="3148">
        <f t="shared" si="48"/>
        <v>101.66774737139357</v>
      </c>
      <c r="AN11" s="3148">
        <f t="shared" si="49"/>
        <v>101.53556484918946</v>
      </c>
      <c r="AO11" s="3148">
        <f t="shared" si="50"/>
        <v>101.9664064194815</v>
      </c>
      <c r="AP11" s="3148">
        <f t="shared" si="51"/>
        <v>100.68687678746028</v>
      </c>
      <c r="AQ11" s="3148">
        <f t="shared" si="52"/>
        <v>99.711549151486338</v>
      </c>
      <c r="AR11" s="3148">
        <f t="shared" si="53"/>
        <v>101.9664064194815</v>
      </c>
    </row>
    <row r="12" spans="1:44" s="2040" customFormat="1" ht="12.75">
      <c r="A12" s="2901" t="s">
        <v>3364</v>
      </c>
      <c r="B12" s="2026">
        <v>2024</v>
      </c>
      <c r="C12" s="2037">
        <v>1</v>
      </c>
      <c r="D12" s="2002">
        <v>0.08</v>
      </c>
      <c r="E12" s="2002">
        <v>0.46</v>
      </c>
      <c r="F12" s="2002">
        <v>-0.16</v>
      </c>
      <c r="G12" s="2002">
        <v>0.26</v>
      </c>
      <c r="H12" s="2913">
        <v>0.59</v>
      </c>
      <c r="I12" s="2003">
        <f t="shared" si="87"/>
        <v>-0.16</v>
      </c>
      <c r="J12" s="2902"/>
      <c r="K12" s="2038">
        <f t="shared" ref="K12" si="91">D12/100</f>
        <v>8.0000000000000004E-4</v>
      </c>
      <c r="L12" s="2023">
        <f t="shared" ref="L12" si="92">E12/100</f>
        <v>4.5999999999999999E-3</v>
      </c>
      <c r="M12" s="2023">
        <f t="shared" ref="M12" si="93">F12/100</f>
        <v>-1.6000000000000001E-3</v>
      </c>
      <c r="N12" s="2023">
        <f t="shared" ref="N12" si="94">G12/100</f>
        <v>2.5999999999999999E-3</v>
      </c>
      <c r="O12" s="2023">
        <f t="shared" ref="O12" si="95">H12/100</f>
        <v>5.8999999999999999E-3</v>
      </c>
      <c r="P12" s="2023">
        <f t="shared" ref="P12" si="96">M12</f>
        <v>-1.6000000000000001E-3</v>
      </c>
      <c r="Q12" s="2902"/>
      <c r="R12" s="2022">
        <f>ROUND(IF(项目基本情况!$B$8="出让",SUMPRODUCT(PRODUCT(1+K12:$K$24)),SUMPRODUCT(PRODUCT(1+K12:$K$23))),4)</f>
        <v>1.0811999999999999</v>
      </c>
      <c r="S12" s="2022">
        <f>ROUND(IF(项目基本情况!$B$8="出让",SUMPRODUCT(PRODUCT(1+L12:$L$24)),SUMPRODUCT(PRODUCT(1+L12:$L$23))),4)</f>
        <v>1.052</v>
      </c>
      <c r="T12" s="2022">
        <f>ROUND(IF(项目基本情况!$B$8="出让",SUMPRODUCT(PRODUCT(1+M12:$M$24)),SUMPRODUCT(PRODUCT(1+M12:$M$23))),4)</f>
        <v>1.0249999999999999</v>
      </c>
      <c r="U12" s="2022">
        <f>ROUND(IF(项目基本情况!$B$8="出让",SUMPRODUCT(PRODUCT(1+N12:$N$24)),SUMPRODUCT(PRODUCT(1+N12:$N$23))),4)</f>
        <v>1.0888</v>
      </c>
      <c r="V12" s="2022">
        <f>ROUND(IF(项目基本情况!$B$8="出让",SUMPRODUCT(PRODUCT(1+O12:$O$24)),SUMPRODUCT(PRODUCT(1+O12:$O$23))),4)</f>
        <v>1.0804</v>
      </c>
      <c r="W12" s="2022">
        <f t="shared" ref="W12" si="97">T12</f>
        <v>1.0249999999999999</v>
      </c>
      <c r="X12" s="2902"/>
      <c r="Y12" s="2023"/>
      <c r="Z12" s="2023"/>
      <c r="AA12" s="2023"/>
      <c r="AB12" s="2023"/>
      <c r="AC12" s="2023"/>
      <c r="AD12" s="2023"/>
      <c r="AF12" s="3148">
        <f t="shared" si="30"/>
        <v>108.11999999999999</v>
      </c>
      <c r="AG12" s="3148">
        <f t="shared" si="31"/>
        <v>105.2</v>
      </c>
      <c r="AH12" s="3148">
        <f t="shared" si="32"/>
        <v>102.49999999999999</v>
      </c>
      <c r="AI12" s="3148">
        <f t="shared" si="33"/>
        <v>108.88</v>
      </c>
      <c r="AJ12" s="3148">
        <f t="shared" si="34"/>
        <v>108.04</v>
      </c>
      <c r="AK12" s="3148">
        <f t="shared" si="35"/>
        <v>102.49999999999999</v>
      </c>
      <c r="AM12" s="3148">
        <f t="shared" si="48"/>
        <v>102.27114713951673</v>
      </c>
      <c r="AN12" s="3148">
        <f t="shared" si="49"/>
        <v>101.74923824951344</v>
      </c>
      <c r="AO12" s="3148">
        <f t="shared" si="50"/>
        <v>103.3932330353696</v>
      </c>
      <c r="AP12" s="3148">
        <f t="shared" si="51"/>
        <v>101.95107005615662</v>
      </c>
      <c r="AQ12" s="3148">
        <f t="shared" si="52"/>
        <v>99.373678644096401</v>
      </c>
      <c r="AR12" s="3148">
        <f t="shared" si="53"/>
        <v>103.3932330353696</v>
      </c>
    </row>
    <row r="13" spans="1:44" s="2040" customFormat="1" ht="12.75">
      <c r="A13" s="2901" t="s">
        <v>3360</v>
      </c>
      <c r="B13" s="2026">
        <v>2023</v>
      </c>
      <c r="C13" s="2037">
        <v>4</v>
      </c>
      <c r="D13" s="2002">
        <v>0.19</v>
      </c>
      <c r="E13" s="2002">
        <v>0.24</v>
      </c>
      <c r="F13" s="2002">
        <v>-0.16</v>
      </c>
      <c r="G13" s="2002">
        <v>0.17</v>
      </c>
      <c r="H13" s="2913">
        <v>0.61</v>
      </c>
      <c r="I13" s="2003">
        <f>F13</f>
        <v>-0.16</v>
      </c>
      <c r="J13" s="2902"/>
      <c r="K13" s="2038">
        <f t="shared" si="88"/>
        <v>1.9E-3</v>
      </c>
      <c r="L13" s="2023">
        <f t="shared" si="88"/>
        <v>2.3999999999999998E-3</v>
      </c>
      <c r="M13" s="2023">
        <f t="shared" si="88"/>
        <v>-1.6000000000000001E-3</v>
      </c>
      <c r="N13" s="2023">
        <f t="shared" si="88"/>
        <v>1.7000000000000001E-3</v>
      </c>
      <c r="O13" s="2023">
        <f t="shared" si="88"/>
        <v>6.0999999999999995E-3</v>
      </c>
      <c r="P13" s="2023">
        <f t="shared" ref="P13" si="98">M13</f>
        <v>-1.6000000000000001E-3</v>
      </c>
      <c r="Q13" s="2902"/>
      <c r="R13" s="2022">
        <f>ROUND(IF(项目基本情况!$B$8="出让",SUMPRODUCT(PRODUCT(1+K13:$K$24)),SUMPRODUCT(PRODUCT(1+K13:$K$23))),4)</f>
        <v>1.0804</v>
      </c>
      <c r="S13" s="2022">
        <f>ROUND(IF(项目基本情况!$B$8="出让",SUMPRODUCT(PRODUCT(1+L13:$L$24)),SUMPRODUCT(PRODUCT(1+L13:$L$23))),4)</f>
        <v>1.0471999999999999</v>
      </c>
      <c r="T13" s="2022">
        <f>ROUND(IF(项目基本情况!$B$8="出让",SUMPRODUCT(PRODUCT(1+M13:$M$24)),SUMPRODUCT(PRODUCT(1+M13:$M$23))),4)</f>
        <v>1.0266</v>
      </c>
      <c r="U13" s="2022">
        <f>ROUND(IF(项目基本情况!$B$8="出让",SUMPRODUCT(PRODUCT(1+N13:$N$24)),SUMPRODUCT(PRODUCT(1+N13:$N$23))),4)</f>
        <v>1.0859000000000001</v>
      </c>
      <c r="V13" s="2022">
        <f>ROUND(IF(项目基本情况!$B$8="出让",SUMPRODUCT(PRODUCT(1+O13:$O$24)),SUMPRODUCT(PRODUCT(1+O13:$O$23))),4)</f>
        <v>1.0741000000000001</v>
      </c>
      <c r="W13" s="2022">
        <f t="shared" ref="W13" si="99">T13</f>
        <v>1.0266</v>
      </c>
      <c r="X13" s="2902"/>
      <c r="Y13" s="2023"/>
      <c r="Z13" s="2023"/>
      <c r="AA13" s="2023"/>
      <c r="AB13" s="2023"/>
      <c r="AC13" s="2023"/>
      <c r="AD13" s="2023"/>
      <c r="AF13" s="3148">
        <f t="shared" si="30"/>
        <v>108.04</v>
      </c>
      <c r="AG13" s="3148">
        <f t="shared" si="31"/>
        <v>104.71999999999998</v>
      </c>
      <c r="AH13" s="3148">
        <f t="shared" si="32"/>
        <v>102.66</v>
      </c>
      <c r="AI13" s="3148">
        <f t="shared" si="33"/>
        <v>108.59</v>
      </c>
      <c r="AJ13" s="3148">
        <f t="shared" si="34"/>
        <v>107.41000000000001</v>
      </c>
      <c r="AK13" s="3148">
        <f t="shared" si="35"/>
        <v>102.66</v>
      </c>
      <c r="AM13" s="3148">
        <f t="shared" si="48"/>
        <v>102.18939562301833</v>
      </c>
      <c r="AN13" s="3148">
        <f t="shared" si="49"/>
        <v>101.28333490893236</v>
      </c>
      <c r="AO13" s="3148">
        <f t="shared" si="50"/>
        <v>103.55892731908014</v>
      </c>
      <c r="AP13" s="3148">
        <f t="shared" si="51"/>
        <v>101.68668467599903</v>
      </c>
      <c r="AQ13" s="3148">
        <f t="shared" si="52"/>
        <v>98.79081284829148</v>
      </c>
      <c r="AR13" s="3148">
        <f t="shared" si="53"/>
        <v>103.55892731908014</v>
      </c>
    </row>
    <row r="14" spans="1:44" s="2040" customFormat="1" ht="12.75">
      <c r="A14" s="2901" t="s">
        <v>3359</v>
      </c>
      <c r="B14" s="2026">
        <v>2023</v>
      </c>
      <c r="C14" s="2037">
        <v>3</v>
      </c>
      <c r="D14" s="2002">
        <v>0.25</v>
      </c>
      <c r="E14" s="2002">
        <v>0.5</v>
      </c>
      <c r="F14" s="2002">
        <v>0.31</v>
      </c>
      <c r="G14" s="2002">
        <v>0.21</v>
      </c>
      <c r="H14" s="2913">
        <v>0.43</v>
      </c>
      <c r="I14" s="2003">
        <f t="shared" si="87"/>
        <v>0.31</v>
      </c>
      <c r="J14" s="2902"/>
      <c r="K14" s="2038">
        <f t="shared" ref="K14:K16" si="100">D14/100</f>
        <v>2.5000000000000001E-3</v>
      </c>
      <c r="L14" s="2023">
        <f t="shared" ref="L14:L16" si="101">E14/100</f>
        <v>5.0000000000000001E-3</v>
      </c>
      <c r="M14" s="2023">
        <f t="shared" ref="M14:M16" si="102">F14/100</f>
        <v>3.0999999999999999E-3</v>
      </c>
      <c r="N14" s="2023">
        <f t="shared" ref="N14:N16" si="103">G14/100</f>
        <v>2.0999999999999999E-3</v>
      </c>
      <c r="O14" s="2023">
        <f t="shared" ref="O14:O16" si="104">H14/100</f>
        <v>4.3E-3</v>
      </c>
      <c r="P14" s="2023">
        <f t="shared" ref="P14:P16" si="105">M14</f>
        <v>3.0999999999999999E-3</v>
      </c>
      <c r="Q14" s="2902"/>
      <c r="R14" s="2022">
        <f>ROUND(IF(项目基本情况!$B$8="出让",SUMPRODUCT(PRODUCT(1+K14:$K$24)),SUMPRODUCT(PRODUCT(1+K14:$K$23))),4)</f>
        <v>1.0783</v>
      </c>
      <c r="S14" s="2022">
        <f>ROUND(IF(项目基本情况!$B$8="出让",SUMPRODUCT(PRODUCT(1+L14:$L$24)),SUMPRODUCT(PRODUCT(1+L14:$L$23))),4)</f>
        <v>1.0447</v>
      </c>
      <c r="T14" s="2022">
        <f>ROUND(IF(项目基本情况!$B$8="出让",SUMPRODUCT(PRODUCT(1+M14:$M$24)),SUMPRODUCT(PRODUCT(1+M14:$M$23))),4)</f>
        <v>1.0282</v>
      </c>
      <c r="U14" s="2022">
        <f>ROUND(IF(项目基本情况!$B$8="出让",SUMPRODUCT(PRODUCT(1+N14:$N$24)),SUMPRODUCT(PRODUCT(1+N14:$N$23))),4)</f>
        <v>1.0841000000000001</v>
      </c>
      <c r="V14" s="2022">
        <f>ROUND(IF(项目基本情况!$B$8="出让",SUMPRODUCT(PRODUCT(1+O14:$O$24)),SUMPRODUCT(PRODUCT(1+O14:$O$23))),4)</f>
        <v>1.0674999999999999</v>
      </c>
      <c r="W14" s="2022">
        <f t="shared" ref="W14:W15" si="106">T14</f>
        <v>1.0282</v>
      </c>
      <c r="X14" s="2902"/>
      <c r="Y14" s="2023"/>
      <c r="Z14" s="2023"/>
      <c r="AA14" s="2023"/>
      <c r="AB14" s="2023"/>
      <c r="AC14" s="2023"/>
      <c r="AD14" s="2023"/>
      <c r="AF14" s="3148">
        <f t="shared" si="30"/>
        <v>107.83</v>
      </c>
      <c r="AG14" s="3148">
        <f t="shared" si="31"/>
        <v>104.47</v>
      </c>
      <c r="AH14" s="3148">
        <f t="shared" si="32"/>
        <v>102.82</v>
      </c>
      <c r="AI14" s="3148">
        <f t="shared" si="33"/>
        <v>108.41000000000001</v>
      </c>
      <c r="AJ14" s="3148">
        <f t="shared" si="34"/>
        <v>106.74999999999999</v>
      </c>
      <c r="AK14" s="3148">
        <f t="shared" si="35"/>
        <v>102.82</v>
      </c>
      <c r="AM14" s="3148">
        <f t="shared" si="48"/>
        <v>101.99560397546495</v>
      </c>
      <c r="AN14" s="3148">
        <f t="shared" si="49"/>
        <v>101.04083690037147</v>
      </c>
      <c r="AO14" s="3148">
        <f t="shared" si="50"/>
        <v>103.72488713850174</v>
      </c>
      <c r="AP14" s="3148">
        <f t="shared" si="51"/>
        <v>101.51411068782971</v>
      </c>
      <c r="AQ14" s="3148">
        <f t="shared" si="52"/>
        <v>98.191842608380355</v>
      </c>
      <c r="AR14" s="3148">
        <f t="shared" si="53"/>
        <v>103.72488713850174</v>
      </c>
    </row>
    <row r="15" spans="1:44" s="2040" customFormat="1" ht="12.75">
      <c r="A15" s="2901" t="s">
        <v>3357</v>
      </c>
      <c r="B15" s="2026">
        <v>2023</v>
      </c>
      <c r="C15" s="2037">
        <v>2</v>
      </c>
      <c r="D15" s="2002">
        <v>0.91</v>
      </c>
      <c r="E15" s="2002">
        <v>0.66</v>
      </c>
      <c r="F15" s="2002">
        <v>0.47</v>
      </c>
      <c r="G15" s="2002">
        <v>0.96</v>
      </c>
      <c r="H15" s="2913">
        <v>0.71</v>
      </c>
      <c r="I15" s="2003">
        <f t="shared" si="87"/>
        <v>0.47</v>
      </c>
      <c r="J15" s="2902"/>
      <c r="K15" s="2038">
        <f t="shared" si="100"/>
        <v>9.1000000000000004E-3</v>
      </c>
      <c r="L15" s="2023">
        <f t="shared" si="101"/>
        <v>6.6E-3</v>
      </c>
      <c r="M15" s="2023">
        <f t="shared" si="102"/>
        <v>4.6999999999999993E-3</v>
      </c>
      <c r="N15" s="2023">
        <f t="shared" si="103"/>
        <v>9.5999999999999992E-3</v>
      </c>
      <c r="O15" s="2023">
        <f t="shared" si="104"/>
        <v>7.0999999999999995E-3</v>
      </c>
      <c r="P15" s="2023">
        <f t="shared" si="105"/>
        <v>4.6999999999999993E-3</v>
      </c>
      <c r="Q15" s="2902"/>
      <c r="R15" s="2022">
        <f>ROUND(IF(项目基本情况!$B$8="出让",SUMPRODUCT(PRODUCT(1+K15:$K$24)),SUMPRODUCT(PRODUCT(1+K15:$K$23))),4)</f>
        <v>1.0755999999999999</v>
      </c>
      <c r="S15" s="2022">
        <f>ROUND(IF(项目基本情况!$B$8="出让",SUMPRODUCT(PRODUCT(1+L15:$L$24)),SUMPRODUCT(PRODUCT(1+L15:$L$23))),4)</f>
        <v>1.0395000000000001</v>
      </c>
      <c r="T15" s="2022">
        <f>ROUND(IF(项目基本情况!$B$8="出让",SUMPRODUCT(PRODUCT(1+M15:$M$24)),SUMPRODUCT(PRODUCT(1+M15:$M$23))),4)</f>
        <v>1.0250999999999999</v>
      </c>
      <c r="U15" s="2022">
        <f>ROUND(IF(项目基本情况!$B$8="出让",SUMPRODUCT(PRODUCT(1+N15:$N$24)),SUMPRODUCT(PRODUCT(1+N15:$N$23))),4)</f>
        <v>1.0818000000000001</v>
      </c>
      <c r="V15" s="2022">
        <f>ROUND(IF(项目基本情况!$B$8="出让",SUMPRODUCT(PRODUCT(1+O15:$O$24)),SUMPRODUCT(PRODUCT(1+O15:$O$23))),4)</f>
        <v>1.0629999999999999</v>
      </c>
      <c r="W15" s="2022">
        <f t="shared" si="106"/>
        <v>1.0250999999999999</v>
      </c>
      <c r="X15" s="2902"/>
      <c r="Y15" s="2023"/>
      <c r="Z15" s="2023"/>
      <c r="AA15" s="2023"/>
      <c r="AB15" s="2023"/>
      <c r="AC15" s="2023"/>
      <c r="AD15" s="2023"/>
      <c r="AF15" s="3148">
        <f t="shared" si="30"/>
        <v>107.55999999999999</v>
      </c>
      <c r="AG15" s="3148">
        <f t="shared" si="31"/>
        <v>103.95</v>
      </c>
      <c r="AH15" s="3148">
        <f t="shared" si="32"/>
        <v>102.50999999999999</v>
      </c>
      <c r="AI15" s="3148">
        <f t="shared" si="33"/>
        <v>108.18</v>
      </c>
      <c r="AJ15" s="3148">
        <f t="shared" si="34"/>
        <v>106.3</v>
      </c>
      <c r="AK15" s="3148">
        <f t="shared" si="35"/>
        <v>102.50999999999999</v>
      </c>
      <c r="AM15" s="3148">
        <f t="shared" si="48"/>
        <v>101.74125084834409</v>
      </c>
      <c r="AN15" s="3148">
        <f t="shared" si="49"/>
        <v>100.53814616952387</v>
      </c>
      <c r="AO15" s="3148">
        <f t="shared" si="50"/>
        <v>103.40433370401927</v>
      </c>
      <c r="AP15" s="3148">
        <f t="shared" si="51"/>
        <v>101.30137779446135</v>
      </c>
      <c r="AQ15" s="3148">
        <f t="shared" si="52"/>
        <v>97.771425478821428</v>
      </c>
      <c r="AR15" s="3148">
        <f t="shared" si="53"/>
        <v>103.40433370401927</v>
      </c>
    </row>
    <row r="16" spans="1:44" s="2040" customFormat="1" ht="12.75">
      <c r="A16" s="2901" t="s">
        <v>3356</v>
      </c>
      <c r="B16" s="2026">
        <v>2023</v>
      </c>
      <c r="C16" s="2037">
        <v>1</v>
      </c>
      <c r="D16" s="2002">
        <v>0.89</v>
      </c>
      <c r="E16" s="2002">
        <v>0.74</v>
      </c>
      <c r="F16" s="2002">
        <v>0.56999999999999995</v>
      </c>
      <c r="G16" s="2002">
        <v>0.92</v>
      </c>
      <c r="H16" s="2913">
        <v>0.5</v>
      </c>
      <c r="I16" s="2003">
        <f t="shared" si="87"/>
        <v>0.56999999999999995</v>
      </c>
      <c r="J16" s="2902"/>
      <c r="K16" s="2038">
        <f t="shared" si="100"/>
        <v>8.8999999999999999E-3</v>
      </c>
      <c r="L16" s="2023">
        <f t="shared" si="101"/>
        <v>7.4000000000000003E-3</v>
      </c>
      <c r="M16" s="2023">
        <f t="shared" si="102"/>
        <v>5.6999999999999993E-3</v>
      </c>
      <c r="N16" s="2023">
        <f t="shared" si="103"/>
        <v>9.1999999999999998E-3</v>
      </c>
      <c r="O16" s="2023">
        <f t="shared" si="104"/>
        <v>5.0000000000000001E-3</v>
      </c>
      <c r="P16" s="2023">
        <f t="shared" si="105"/>
        <v>5.6999999999999993E-3</v>
      </c>
      <c r="Q16" s="2902"/>
      <c r="R16" s="2022">
        <f>ROUND(IF(项目基本情况!$B$8="出让",SUMPRODUCT(PRODUCT(1+K16:$K$24)),SUMPRODUCT(PRODUCT(1+K16:$K$23))),4)</f>
        <v>1.0659000000000001</v>
      </c>
      <c r="S16" s="2022">
        <f>ROUND(IF(项目基本情况!$B$8="出让",SUMPRODUCT(PRODUCT(1+L16:$L$24)),SUMPRODUCT(PRODUCT(1+L16:$L$23))),4)</f>
        <v>1.0326</v>
      </c>
      <c r="T16" s="2022">
        <f>ROUND(IF(项目基本情况!$B$8="出让",SUMPRODUCT(PRODUCT(1+M16:$M$24)),SUMPRODUCT(PRODUCT(1+M16:$M$23))),4)</f>
        <v>1.0203</v>
      </c>
      <c r="U16" s="2022">
        <f>ROUND(IF(项目基本情况!$B$8="出让",SUMPRODUCT(PRODUCT(1+N16:$N$24)),SUMPRODUCT(PRODUCT(1+N16:$N$23))),4)</f>
        <v>1.0714999999999999</v>
      </c>
      <c r="V16" s="2022">
        <f>ROUND(IF(项目基本情况!$B$8="出让",SUMPRODUCT(PRODUCT(1+O16:$O$24)),SUMPRODUCT(PRODUCT(1+O16:$O$23))),4)</f>
        <v>1.0555000000000001</v>
      </c>
      <c r="W16" s="2022">
        <f t="shared" ref="W16:W23" si="107">T16</f>
        <v>1.0203</v>
      </c>
      <c r="X16" s="2902"/>
      <c r="Y16" s="2023"/>
      <c r="Z16" s="2023"/>
      <c r="AA16" s="2023"/>
      <c r="AB16" s="2023"/>
      <c r="AC16" s="2023"/>
      <c r="AD16" s="2023"/>
      <c r="AF16" s="3148">
        <f t="shared" si="30"/>
        <v>106.59</v>
      </c>
      <c r="AG16" s="3148">
        <f t="shared" si="31"/>
        <v>103.25999999999999</v>
      </c>
      <c r="AH16" s="3148">
        <f t="shared" si="32"/>
        <v>102.03</v>
      </c>
      <c r="AI16" s="3148">
        <f t="shared" si="33"/>
        <v>107.14999999999999</v>
      </c>
      <c r="AJ16" s="3148">
        <f t="shared" si="34"/>
        <v>105.55000000000001</v>
      </c>
      <c r="AK16" s="3148">
        <f t="shared" si="35"/>
        <v>102.03</v>
      </c>
      <c r="AM16" s="3148">
        <f t="shared" si="48"/>
        <v>100.82375468074926</v>
      </c>
      <c r="AN16" s="3148">
        <f t="shared" si="49"/>
        <v>99.878945131654959</v>
      </c>
      <c r="AO16" s="3148">
        <f t="shared" si="50"/>
        <v>102.92060685181573</v>
      </c>
      <c r="AP16" s="3148">
        <f t="shared" si="51"/>
        <v>100.33813172985474</v>
      </c>
      <c r="AQ16" s="3148">
        <f t="shared" si="52"/>
        <v>97.082142268713554</v>
      </c>
      <c r="AR16" s="3148">
        <f t="shared" si="53"/>
        <v>102.92060685181573</v>
      </c>
    </row>
    <row r="17" spans="1:44" s="2040" customFormat="1" ht="12.75">
      <c r="A17" s="2901" t="s">
        <v>3355</v>
      </c>
      <c r="B17" s="2026">
        <v>2022</v>
      </c>
      <c r="C17" s="2037">
        <v>4</v>
      </c>
      <c r="D17" s="2002">
        <v>0.62</v>
      </c>
      <c r="E17" s="2002">
        <v>0.2</v>
      </c>
      <c r="F17" s="2002">
        <v>0.11</v>
      </c>
      <c r="G17" s="2002">
        <v>0.69</v>
      </c>
      <c r="H17" s="2913">
        <v>0.53</v>
      </c>
      <c r="I17" s="2003">
        <f t="shared" si="87"/>
        <v>0.11</v>
      </c>
      <c r="J17" s="2902"/>
      <c r="K17" s="2038">
        <f t="shared" si="88"/>
        <v>6.1999999999999998E-3</v>
      </c>
      <c r="L17" s="2023">
        <f t="shared" si="88"/>
        <v>2E-3</v>
      </c>
      <c r="M17" s="2023">
        <f t="shared" si="88"/>
        <v>1.1000000000000001E-3</v>
      </c>
      <c r="N17" s="2023">
        <f t="shared" si="88"/>
        <v>6.8999999999999999E-3</v>
      </c>
      <c r="O17" s="2023">
        <f t="shared" si="88"/>
        <v>5.3E-3</v>
      </c>
      <c r="P17" s="2023">
        <f t="shared" ref="P17:P24" si="108">M17</f>
        <v>1.1000000000000001E-3</v>
      </c>
      <c r="Q17" s="2902"/>
      <c r="R17" s="2022">
        <f>ROUND(IF(项目基本情况!$B$8="出让",SUMPRODUCT(PRODUCT(1+K17:$K$24)),SUMPRODUCT(PRODUCT(1+K17:$K$23))),4)</f>
        <v>1.0565</v>
      </c>
      <c r="S17" s="2022">
        <f>ROUND(IF(项目基本情况!$B$8="出让",SUMPRODUCT(PRODUCT(1+L17:$L$24)),SUMPRODUCT(PRODUCT(1+L17:$L$23))),4)</f>
        <v>1.0250999999999999</v>
      </c>
      <c r="T17" s="2022">
        <f>ROUND(IF(项目基本情况!$B$8="出让",SUMPRODUCT(PRODUCT(1+M17:$M$24)),SUMPRODUCT(PRODUCT(1+M17:$M$23))),4)</f>
        <v>1.0145</v>
      </c>
      <c r="U17" s="2022">
        <f>ROUND(IF(项目基本情况!$B$8="出让",SUMPRODUCT(PRODUCT(1+N17:$N$24)),SUMPRODUCT(PRODUCT(1+N17:$N$23))),4)</f>
        <v>1.0618000000000001</v>
      </c>
      <c r="V17" s="2022">
        <f>ROUND(IF(项目基本情况!$B$8="出让",SUMPRODUCT(PRODUCT(1+O17:$O$24)),SUMPRODUCT(PRODUCT(1+O17:$O$23))),4)</f>
        <v>1.0502</v>
      </c>
      <c r="W17" s="2022">
        <f t="shared" si="107"/>
        <v>1.0145</v>
      </c>
      <c r="X17" s="2902"/>
      <c r="Y17" s="2023">
        <f>IF(D17=0,0,ROUND(AVERAGE(D17:D25)/100,4))</f>
        <v>8.0999999999999996E-3</v>
      </c>
      <c r="Z17" s="2023">
        <f t="shared" ref="Z17:AC17" si="109">IF(E17=0,0,ROUND(AVERAGE(E17:E24)/100,4))</f>
        <v>3.3E-3</v>
      </c>
      <c r="AA17" s="2023">
        <f t="shared" si="109"/>
        <v>1.5E-3</v>
      </c>
      <c r="AB17" s="2023">
        <f t="shared" si="109"/>
        <v>8.8999999999999999E-3</v>
      </c>
      <c r="AC17" s="2023">
        <f t="shared" si="109"/>
        <v>6.6E-3</v>
      </c>
      <c r="AD17" s="2023">
        <f t="shared" si="90"/>
        <v>1.5E-3</v>
      </c>
      <c r="AF17" s="3148">
        <f t="shared" si="30"/>
        <v>105.65</v>
      </c>
      <c r="AG17" s="3148">
        <f t="shared" si="31"/>
        <v>102.50999999999999</v>
      </c>
      <c r="AH17" s="3148">
        <f t="shared" si="32"/>
        <v>101.44999999999999</v>
      </c>
      <c r="AI17" s="3148">
        <f t="shared" si="33"/>
        <v>106.18</v>
      </c>
      <c r="AJ17" s="3148">
        <f t="shared" si="34"/>
        <v>105.02</v>
      </c>
      <c r="AK17" s="3148">
        <f t="shared" si="35"/>
        <v>101.44999999999999</v>
      </c>
      <c r="AM17" s="3148">
        <f t="shared" si="48"/>
        <v>99.934339063087791</v>
      </c>
      <c r="AN17" s="3148">
        <f t="shared" si="49"/>
        <v>99.145270132673176</v>
      </c>
      <c r="AO17" s="3148">
        <f t="shared" si="50"/>
        <v>102.3372843311283</v>
      </c>
      <c r="AP17" s="3148">
        <f t="shared" si="51"/>
        <v>99.423436117573061</v>
      </c>
      <c r="AQ17" s="3148">
        <f t="shared" si="52"/>
        <v>96.599146536033402</v>
      </c>
      <c r="AR17" s="3148">
        <f t="shared" si="53"/>
        <v>102.3372843311283</v>
      </c>
    </row>
    <row r="18" spans="1:44" s="2040" customFormat="1" ht="12.75">
      <c r="A18" s="2901" t="s">
        <v>3353</v>
      </c>
      <c r="B18" s="2026">
        <v>2022</v>
      </c>
      <c r="C18" s="2037">
        <v>3</v>
      </c>
      <c r="D18" s="2002">
        <v>0.66</v>
      </c>
      <c r="E18" s="2002">
        <v>0.32</v>
      </c>
      <c r="F18" s="2002">
        <v>0.23</v>
      </c>
      <c r="G18" s="2002">
        <v>0.72</v>
      </c>
      <c r="H18" s="2913">
        <v>0.63</v>
      </c>
      <c r="I18" s="2003">
        <f t="shared" si="87"/>
        <v>0.23</v>
      </c>
      <c r="J18" s="2902"/>
      <c r="K18" s="2038">
        <f t="shared" si="88"/>
        <v>6.6E-3</v>
      </c>
      <c r="L18" s="2023">
        <f t="shared" si="88"/>
        <v>3.2000000000000002E-3</v>
      </c>
      <c r="M18" s="2023">
        <f t="shared" si="88"/>
        <v>2.3E-3</v>
      </c>
      <c r="N18" s="2023">
        <f t="shared" si="88"/>
        <v>7.1999999999999998E-3</v>
      </c>
      <c r="O18" s="2023">
        <f t="shared" si="88"/>
        <v>6.3E-3</v>
      </c>
      <c r="P18" s="2023">
        <f t="shared" si="108"/>
        <v>2.3E-3</v>
      </c>
      <c r="Q18" s="2902"/>
      <c r="R18" s="2022">
        <f>ROUND(IF(项目基本情况!$B$8="出让",SUMPRODUCT(PRODUCT(1+K18:$K$24)),SUMPRODUCT(PRODUCT(1+K18:$K$23))),4)</f>
        <v>1.05</v>
      </c>
      <c r="S18" s="2022">
        <f>ROUND(IF(项目基本情况!$B$8="出让",SUMPRODUCT(PRODUCT(1+L18:$L$24)),SUMPRODUCT(PRODUCT(1+L18:$L$23))),4)</f>
        <v>1.0229999999999999</v>
      </c>
      <c r="T18" s="2022">
        <f>ROUND(IF(项目基本情况!$B$8="出让",SUMPRODUCT(PRODUCT(1+M18:$M$24)),SUMPRODUCT(PRODUCT(1+M18:$M$23))),4)</f>
        <v>1.0134000000000001</v>
      </c>
      <c r="U18" s="2022">
        <f>ROUND(IF(项目基本情况!$B$8="出让",SUMPRODUCT(PRODUCT(1+N18:$N$24)),SUMPRODUCT(PRODUCT(1+N18:$N$23))),4)</f>
        <v>1.0545</v>
      </c>
      <c r="V18" s="2022">
        <f>ROUND(IF(项目基本情况!$B$8="出让",SUMPRODUCT(PRODUCT(1+O18:$O$24)),SUMPRODUCT(PRODUCT(1+O18:$O$23))),4)</f>
        <v>1.0447</v>
      </c>
      <c r="W18" s="2022">
        <f t="shared" si="107"/>
        <v>1.0134000000000001</v>
      </c>
      <c r="X18" s="2902"/>
      <c r="Y18" s="2023">
        <f>IF(D18=0,0,ROUND(AVERAGE(D18:D24)/100,4))</f>
        <v>8.3999999999999995E-3</v>
      </c>
      <c r="Z18" s="2023">
        <f t="shared" ref="Z18:AC18" si="110">IF(E18=0,0,ROUND(AVERAGE(E18:E24)/100,4))</f>
        <v>3.5000000000000001E-3</v>
      </c>
      <c r="AA18" s="2023">
        <f t="shared" si="110"/>
        <v>1.5E-3</v>
      </c>
      <c r="AB18" s="2023">
        <f t="shared" si="110"/>
        <v>9.1999999999999998E-3</v>
      </c>
      <c r="AC18" s="2023">
        <f t="shared" si="110"/>
        <v>6.7999999999999996E-3</v>
      </c>
      <c r="AD18" s="2023">
        <f t="shared" si="90"/>
        <v>1.5E-3</v>
      </c>
      <c r="AF18" s="3148">
        <f t="shared" si="30"/>
        <v>105</v>
      </c>
      <c r="AG18" s="3148">
        <f t="shared" si="31"/>
        <v>102.3</v>
      </c>
      <c r="AH18" s="3148">
        <f t="shared" si="32"/>
        <v>101.34</v>
      </c>
      <c r="AI18" s="3148">
        <f t="shared" si="33"/>
        <v>105.45</v>
      </c>
      <c r="AJ18" s="3148">
        <f t="shared" si="34"/>
        <v>104.47</v>
      </c>
      <c r="AK18" s="3148">
        <f t="shared" si="35"/>
        <v>101.34</v>
      </c>
      <c r="AM18" s="3148">
        <f t="shared" si="48"/>
        <v>99.318563966495518</v>
      </c>
      <c r="AN18" s="3148">
        <f t="shared" si="49"/>
        <v>98.947375381909353</v>
      </c>
      <c r="AO18" s="3148">
        <f t="shared" si="50"/>
        <v>102.22483701041683</v>
      </c>
      <c r="AP18" s="3148">
        <f t="shared" si="51"/>
        <v>98.742115520481747</v>
      </c>
      <c r="AQ18" s="3148">
        <f t="shared" si="52"/>
        <v>96.089870223847001</v>
      </c>
      <c r="AR18" s="3148">
        <f t="shared" si="53"/>
        <v>102.22483701041683</v>
      </c>
    </row>
    <row r="19" spans="1:44" s="2040" customFormat="1" ht="12.75">
      <c r="A19" s="2901" t="s">
        <v>3344</v>
      </c>
      <c r="B19" s="2026">
        <v>2022</v>
      </c>
      <c r="C19" s="2037">
        <v>2</v>
      </c>
      <c r="D19" s="2002">
        <v>0.93</v>
      </c>
      <c r="E19" s="2002">
        <v>0.15</v>
      </c>
      <c r="F19" s="2002">
        <v>0.01</v>
      </c>
      <c r="G19" s="2002">
        <v>1.05</v>
      </c>
      <c r="H19" s="2913">
        <v>1.08</v>
      </c>
      <c r="I19" s="2003">
        <f t="shared" si="87"/>
        <v>0.01</v>
      </c>
      <c r="J19" s="2902"/>
      <c r="K19" s="2038">
        <f t="shared" si="88"/>
        <v>9.300000000000001E-3</v>
      </c>
      <c r="L19" s="2023">
        <f t="shared" si="88"/>
        <v>1.5E-3</v>
      </c>
      <c r="M19" s="2023">
        <f t="shared" si="88"/>
        <v>1E-4</v>
      </c>
      <c r="N19" s="2023">
        <f t="shared" si="88"/>
        <v>1.0500000000000001E-2</v>
      </c>
      <c r="O19" s="2023">
        <f t="shared" si="88"/>
        <v>1.0800000000000001E-2</v>
      </c>
      <c r="P19" s="2023">
        <f t="shared" si="108"/>
        <v>1E-4</v>
      </c>
      <c r="Q19" s="2902"/>
      <c r="R19" s="2022">
        <f>ROUND(IF(项目基本情况!$B$8="出让",SUMPRODUCT(PRODUCT(1+K19:$K$24)),SUMPRODUCT(PRODUCT(1+K19:$K$23))),4)</f>
        <v>1.0430999999999999</v>
      </c>
      <c r="S19" s="2022">
        <f>ROUND(IF(项目基本情况!$B$8="出让",SUMPRODUCT(PRODUCT(1+L19:$L$24)),SUMPRODUCT(PRODUCT(1+L19:$L$23))),4)</f>
        <v>1.0197000000000001</v>
      </c>
      <c r="T19" s="2022">
        <f>ROUND(IF(项目基本情况!$B$8="出让",SUMPRODUCT(PRODUCT(1+M19:$M$24)),SUMPRODUCT(PRODUCT(1+M19:$M$23))),4)</f>
        <v>1.0109999999999999</v>
      </c>
      <c r="U19" s="2022">
        <f>ROUND(IF(项目基本情况!$B$8="出让",SUMPRODUCT(PRODUCT(1+N19:$N$24)),SUMPRODUCT(PRODUCT(1+N19:$N$23))),4)</f>
        <v>1.0468999999999999</v>
      </c>
      <c r="V19" s="2022">
        <f>ROUND(IF(项目基本情况!$B$8="出让",SUMPRODUCT(PRODUCT(1+O19:$O$24)),SUMPRODUCT(PRODUCT(1+O19:$O$23))),4)</f>
        <v>1.0382</v>
      </c>
      <c r="W19" s="2022">
        <f t="shared" si="107"/>
        <v>1.0109999999999999</v>
      </c>
      <c r="X19" s="2902"/>
      <c r="Y19" s="2023">
        <f>IF(D19=0,0,ROUND(AVERAGE(D19:D24)/100,4))</f>
        <v>8.6999999999999994E-3</v>
      </c>
      <c r="Z19" s="2023">
        <f t="shared" ref="Z19:AC19" si="111">IF(E19=0,0,ROUND(AVERAGE(E19:E24)/100,4))</f>
        <v>3.5000000000000001E-3</v>
      </c>
      <c r="AA19" s="2023">
        <f t="shared" si="111"/>
        <v>1.4E-3</v>
      </c>
      <c r="AB19" s="2023">
        <f t="shared" si="111"/>
        <v>9.4999999999999998E-3</v>
      </c>
      <c r="AC19" s="2023">
        <f t="shared" si="111"/>
        <v>6.8999999999999999E-3</v>
      </c>
      <c r="AD19" s="2023">
        <f t="shared" si="90"/>
        <v>1.4E-3</v>
      </c>
      <c r="AF19" s="3148">
        <f t="shared" si="30"/>
        <v>104.30999999999999</v>
      </c>
      <c r="AG19" s="3148">
        <f t="shared" si="31"/>
        <v>101.97</v>
      </c>
      <c r="AH19" s="3148">
        <f t="shared" si="32"/>
        <v>101.1</v>
      </c>
      <c r="AI19" s="3148">
        <f t="shared" si="33"/>
        <v>104.69</v>
      </c>
      <c r="AJ19" s="3148">
        <f t="shared" si="34"/>
        <v>103.82000000000001</v>
      </c>
      <c r="AK19" s="3148">
        <f t="shared" si="35"/>
        <v>101.1</v>
      </c>
      <c r="AM19" s="3148">
        <f t="shared" si="48"/>
        <v>98.667359394491882</v>
      </c>
      <c r="AN19" s="3148">
        <f t="shared" si="49"/>
        <v>98.631753769845844</v>
      </c>
      <c r="AO19" s="3148">
        <f t="shared" si="50"/>
        <v>101.99025941376517</v>
      </c>
      <c r="AP19" s="3148">
        <f t="shared" si="51"/>
        <v>98.036254488166932</v>
      </c>
      <c r="AQ19" s="3148">
        <f t="shared" si="52"/>
        <v>95.488293971824504</v>
      </c>
      <c r="AR19" s="3148">
        <f t="shared" si="53"/>
        <v>101.99025941376517</v>
      </c>
    </row>
    <row r="20" spans="1:44" s="2040" customFormat="1" ht="12.75">
      <c r="A20" s="2901" t="s">
        <v>2810</v>
      </c>
      <c r="B20" s="2026">
        <v>2022</v>
      </c>
      <c r="C20" s="2037">
        <v>1</v>
      </c>
      <c r="D20" s="2002">
        <v>0.89</v>
      </c>
      <c r="E20" s="2002">
        <v>0.44</v>
      </c>
      <c r="F20" s="2002">
        <v>0.37</v>
      </c>
      <c r="G20" s="2002">
        <v>0.96</v>
      </c>
      <c r="H20" s="2913">
        <v>0.64</v>
      </c>
      <c r="I20" s="2003">
        <f t="shared" si="87"/>
        <v>0.37</v>
      </c>
      <c r="J20" s="2902"/>
      <c r="K20" s="2038">
        <f t="shared" si="88"/>
        <v>8.8999999999999999E-3</v>
      </c>
      <c r="L20" s="2023">
        <f t="shared" si="88"/>
        <v>4.4000000000000003E-3</v>
      </c>
      <c r="M20" s="2023">
        <f t="shared" si="88"/>
        <v>3.7000000000000002E-3</v>
      </c>
      <c r="N20" s="2023">
        <f t="shared" si="88"/>
        <v>9.5999999999999992E-3</v>
      </c>
      <c r="O20" s="2023">
        <f t="shared" si="88"/>
        <v>6.4000000000000003E-3</v>
      </c>
      <c r="P20" s="2023">
        <f t="shared" si="108"/>
        <v>3.7000000000000002E-3</v>
      </c>
      <c r="Q20" s="2902"/>
      <c r="R20" s="2022">
        <f>ROUND(IF(项目基本情况!$B$8="出让",SUMPRODUCT(PRODUCT(1+K20:$K$24)),SUMPRODUCT(PRODUCT(1+K20:$K$23))),4)</f>
        <v>1.0335000000000001</v>
      </c>
      <c r="S20" s="2022">
        <f>ROUND(IF(项目基本情况!$B$8="出让",SUMPRODUCT(PRODUCT(1+L20:$L$24)),SUMPRODUCT(PRODUCT(1+L20:$L$23))),4)</f>
        <v>1.0182</v>
      </c>
      <c r="T20" s="2022">
        <f>ROUND(IF(项目基本情况!$B$8="出让",SUMPRODUCT(PRODUCT(1+M20:$M$24)),SUMPRODUCT(PRODUCT(1+M20:$M$23))),4)</f>
        <v>1.0108999999999999</v>
      </c>
      <c r="U20" s="2022">
        <f>ROUND(IF(项目基本情况!$B$8="出让",SUMPRODUCT(PRODUCT(1+N20:$N$24)),SUMPRODUCT(PRODUCT(1+N20:$N$23))),4)</f>
        <v>1.0361</v>
      </c>
      <c r="V20" s="2022">
        <f>ROUND(IF(项目基本情况!$B$8="出让",SUMPRODUCT(PRODUCT(1+O20:$O$24)),SUMPRODUCT(PRODUCT(1+O20:$O$23))),4)</f>
        <v>1.0270999999999999</v>
      </c>
      <c r="W20" s="2022">
        <f t="shared" si="107"/>
        <v>1.0108999999999999</v>
      </c>
      <c r="X20" s="2902"/>
      <c r="Y20" s="2023">
        <f>IF(D20=0,0,ROUND(AVERAGE(D20:D24)/100,4))</f>
        <v>8.6E-3</v>
      </c>
      <c r="Z20" s="2023">
        <f t="shared" ref="Z20:AC20" si="112">IF(E20=0,0,ROUND(AVERAGE(E20:E24)/100,4))</f>
        <v>3.8999999999999998E-3</v>
      </c>
      <c r="AA20" s="2023">
        <f t="shared" si="112"/>
        <v>1.6999999999999999E-3</v>
      </c>
      <c r="AB20" s="2023">
        <f t="shared" si="112"/>
        <v>9.2999999999999992E-3</v>
      </c>
      <c r="AC20" s="2023">
        <f t="shared" si="112"/>
        <v>6.1000000000000004E-3</v>
      </c>
      <c r="AD20" s="2023">
        <f t="shared" si="90"/>
        <v>1.6999999999999999E-3</v>
      </c>
      <c r="AF20" s="3148">
        <f t="shared" si="30"/>
        <v>103.35000000000001</v>
      </c>
      <c r="AG20" s="3148">
        <f t="shared" si="31"/>
        <v>101.82</v>
      </c>
      <c r="AH20" s="3148">
        <f t="shared" si="32"/>
        <v>101.08999999999999</v>
      </c>
      <c r="AI20" s="3148">
        <f t="shared" si="33"/>
        <v>103.61</v>
      </c>
      <c r="AJ20" s="3148">
        <f t="shared" si="34"/>
        <v>102.71</v>
      </c>
      <c r="AK20" s="3148">
        <f t="shared" si="35"/>
        <v>101.08999999999999</v>
      </c>
      <c r="AM20" s="3148">
        <f t="shared" si="48"/>
        <v>97.758208059538163</v>
      </c>
      <c r="AN20" s="3148">
        <f t="shared" si="49"/>
        <v>98.484027728253452</v>
      </c>
      <c r="AO20" s="3148">
        <f t="shared" si="50"/>
        <v>101.98006140762442</v>
      </c>
      <c r="AP20" s="3148">
        <f t="shared" si="51"/>
        <v>97.017570003134026</v>
      </c>
      <c r="AQ20" s="3148">
        <f t="shared" si="52"/>
        <v>94.468039149015155</v>
      </c>
      <c r="AR20" s="3148">
        <f t="shared" si="53"/>
        <v>101.98006140762442</v>
      </c>
    </row>
    <row r="21" spans="1:44" s="2040" customFormat="1" ht="12.75">
      <c r="A21" s="2901" t="s">
        <v>2811</v>
      </c>
      <c r="B21" s="2026">
        <v>2021</v>
      </c>
      <c r="C21" s="2037">
        <v>4</v>
      </c>
      <c r="D21" s="2002">
        <v>1.03</v>
      </c>
      <c r="E21" s="2002">
        <v>0.24</v>
      </c>
      <c r="F21" s="2002">
        <v>7.0000000000000007E-2</v>
      </c>
      <c r="G21" s="2002">
        <v>1.17</v>
      </c>
      <c r="H21" s="2913">
        <v>0.55000000000000004</v>
      </c>
      <c r="I21" s="2003">
        <f t="shared" si="87"/>
        <v>7.0000000000000007E-2</v>
      </c>
      <c r="J21" s="2902"/>
      <c r="K21" s="2038">
        <f t="shared" si="88"/>
        <v>1.03E-2</v>
      </c>
      <c r="L21" s="2023">
        <f t="shared" si="88"/>
        <v>2.3999999999999998E-3</v>
      </c>
      <c r="M21" s="2023">
        <f t="shared" si="88"/>
        <v>7.000000000000001E-4</v>
      </c>
      <c r="N21" s="2023">
        <f t="shared" si="88"/>
        <v>1.1699999999999999E-2</v>
      </c>
      <c r="O21" s="2023">
        <f t="shared" si="88"/>
        <v>5.5000000000000005E-3</v>
      </c>
      <c r="P21" s="2023">
        <f t="shared" si="108"/>
        <v>7.000000000000001E-4</v>
      </c>
      <c r="Q21" s="2902"/>
      <c r="R21" s="2022">
        <f>ROUND(IF(项目基本情况!$B$8="出让",SUMPRODUCT(PRODUCT(1+K21:$K$24)),SUMPRODUCT(PRODUCT(1+K21:$K$23))),4)</f>
        <v>1.0244</v>
      </c>
      <c r="S21" s="2022">
        <f>ROUND(IF(项目基本情况!$B$8="出让",SUMPRODUCT(PRODUCT(1+L21:$L$24)),SUMPRODUCT(PRODUCT(1+L21:$L$23))),4)</f>
        <v>1.0138</v>
      </c>
      <c r="T21" s="2022">
        <f>ROUND(IF(项目基本情况!$B$8="出让",SUMPRODUCT(PRODUCT(1+M21:$M$24)),SUMPRODUCT(PRODUCT(1+M21:$M$23))),4)</f>
        <v>1.0072000000000001</v>
      </c>
      <c r="U21" s="2022">
        <f>ROUND(IF(项目基本情况!$B$8="出让",SUMPRODUCT(PRODUCT(1+N21:$N$24)),SUMPRODUCT(PRODUCT(1+N21:$N$23))),4)</f>
        <v>1.0262</v>
      </c>
      <c r="V21" s="2022">
        <f>ROUND(IF(项目基本情况!$B$8="出让",SUMPRODUCT(PRODUCT(1+O21:$O$24)),SUMPRODUCT(PRODUCT(1+O21:$O$23))),4)</f>
        <v>1.0205</v>
      </c>
      <c r="W21" s="2022">
        <f t="shared" si="107"/>
        <v>1.0072000000000001</v>
      </c>
      <c r="X21" s="2902"/>
      <c r="Y21" s="2023">
        <f>IF(D21=0,0,ROUND(AVERAGE(D21:D24)/100,4))</f>
        <v>8.5000000000000006E-3</v>
      </c>
      <c r="Z21" s="2023">
        <f t="shared" ref="Z21:AC21" si="113">IF(E21=0,0,ROUND(AVERAGE(E21:E24)/100,4))</f>
        <v>3.8E-3</v>
      </c>
      <c r="AA21" s="2023">
        <f t="shared" si="113"/>
        <v>1.1999999999999999E-3</v>
      </c>
      <c r="AB21" s="2023">
        <f t="shared" si="113"/>
        <v>9.2999999999999992E-3</v>
      </c>
      <c r="AC21" s="2023">
        <f t="shared" si="113"/>
        <v>6.0000000000000001E-3</v>
      </c>
      <c r="AD21" s="2023">
        <f t="shared" si="90"/>
        <v>1.1999999999999999E-3</v>
      </c>
      <c r="AF21" s="3148">
        <f t="shared" si="30"/>
        <v>102.44</v>
      </c>
      <c r="AG21" s="3148">
        <f t="shared" si="31"/>
        <v>101.38000000000001</v>
      </c>
      <c r="AH21" s="3148">
        <f t="shared" si="32"/>
        <v>100.72000000000001</v>
      </c>
      <c r="AI21" s="3148">
        <f t="shared" si="33"/>
        <v>102.62</v>
      </c>
      <c r="AJ21" s="3148">
        <f t="shared" si="34"/>
        <v>102.05</v>
      </c>
      <c r="AK21" s="3148">
        <f t="shared" si="35"/>
        <v>100.72000000000001</v>
      </c>
      <c r="AM21" s="3148">
        <f t="shared" si="48"/>
        <v>96.895835126908679</v>
      </c>
      <c r="AN21" s="3148">
        <f t="shared" si="49"/>
        <v>98.0525963045136</v>
      </c>
      <c r="AO21" s="3148">
        <f t="shared" si="50"/>
        <v>101.60412614090308</v>
      </c>
      <c r="AP21" s="3148">
        <f t="shared" si="51"/>
        <v>96.095057451598677</v>
      </c>
      <c r="AQ21" s="3148">
        <f t="shared" si="52"/>
        <v>93.867288502598527</v>
      </c>
      <c r="AR21" s="3148">
        <f t="shared" si="53"/>
        <v>101.60412614090308</v>
      </c>
    </row>
    <row r="22" spans="1:44" s="2040" customFormat="1" ht="12.75">
      <c r="A22" s="2901" t="s">
        <v>2812</v>
      </c>
      <c r="B22" s="2026">
        <v>2021</v>
      </c>
      <c r="C22" s="2037">
        <v>3</v>
      </c>
      <c r="D22" s="2002">
        <v>0.47</v>
      </c>
      <c r="E22" s="2002">
        <v>0.41</v>
      </c>
      <c r="F22" s="2002">
        <v>0.24</v>
      </c>
      <c r="G22" s="2002">
        <v>0.48</v>
      </c>
      <c r="H22" s="2913">
        <v>0.48</v>
      </c>
      <c r="I22" s="2003">
        <f t="shared" si="87"/>
        <v>0.24</v>
      </c>
      <c r="J22" s="2902"/>
      <c r="K22" s="2038">
        <f t="shared" si="88"/>
        <v>4.6999999999999993E-3</v>
      </c>
      <c r="L22" s="2023">
        <f t="shared" si="88"/>
        <v>4.0999999999999995E-3</v>
      </c>
      <c r="M22" s="2023">
        <f t="shared" si="88"/>
        <v>2.3999999999999998E-3</v>
      </c>
      <c r="N22" s="2023">
        <f t="shared" si="88"/>
        <v>4.7999999999999996E-3</v>
      </c>
      <c r="O22" s="2023">
        <f t="shared" si="88"/>
        <v>4.7999999999999996E-3</v>
      </c>
      <c r="P22" s="2023">
        <f t="shared" si="108"/>
        <v>2.3999999999999998E-3</v>
      </c>
      <c r="Q22" s="2902"/>
      <c r="R22" s="2022">
        <f>ROUND(IF(项目基本情况!$B$8="出让",SUMPRODUCT(PRODUCT(1+K22:$K$24)),SUMPRODUCT(PRODUCT(1+K22:$K$23))),4)</f>
        <v>1.0139</v>
      </c>
      <c r="S22" s="2022">
        <f>ROUND(IF(项目基本情况!$B$8="出让",SUMPRODUCT(PRODUCT(1+L22:$L$24)),SUMPRODUCT(PRODUCT(1+L22:$L$23))),4)</f>
        <v>1.0113000000000001</v>
      </c>
      <c r="T22" s="2022">
        <f>ROUND(IF(项目基本情况!$B$8="出让",SUMPRODUCT(PRODUCT(1+M22:$M$24)),SUMPRODUCT(PRODUCT(1+M22:$M$23))),4)</f>
        <v>1.0065</v>
      </c>
      <c r="U22" s="2022">
        <f>ROUND(IF(项目基本情况!$B$8="出让",SUMPRODUCT(PRODUCT(1+N22:$N$24)),SUMPRODUCT(PRODUCT(1+N22:$N$23))),4)</f>
        <v>1.0143</v>
      </c>
      <c r="V22" s="2022">
        <f>ROUND(IF(项目基本情况!$B$8="出让",SUMPRODUCT(PRODUCT(1+O22:$O$24)),SUMPRODUCT(PRODUCT(1+O22:$O$23))),4)</f>
        <v>1.0148999999999999</v>
      </c>
      <c r="W22" s="2022">
        <f t="shared" si="107"/>
        <v>1.0065</v>
      </c>
      <c r="X22" s="2902"/>
      <c r="Y22" s="2023">
        <f>IF(D22=0,0,ROUND(AVERAGE(D22:D24)/100,4))</f>
        <v>7.9000000000000008E-3</v>
      </c>
      <c r="Z22" s="2023">
        <f>IF(E22=0,0,ROUND(AVERAGE(E22:E24)/100,4))</f>
        <v>4.3E-3</v>
      </c>
      <c r="AA22" s="2023">
        <f>IF(F22=0,0,ROUND(AVERAGE(F22:F24)/100,4))</f>
        <v>1.2999999999999999E-3</v>
      </c>
      <c r="AB22" s="2023">
        <f>IF(G22=0,0,ROUND(AVERAGE(G22:G24)/100,4))</f>
        <v>8.5000000000000006E-3</v>
      </c>
      <c r="AC22" s="2023">
        <f>IF(H22=0,0,ROUND(AVERAGE(H22:H24)/100,4))</f>
        <v>6.1999999999999998E-3</v>
      </c>
      <c r="AD22" s="2023">
        <f t="shared" si="90"/>
        <v>1.2999999999999999E-3</v>
      </c>
      <c r="AF22" s="3148">
        <f t="shared" si="30"/>
        <v>101.39</v>
      </c>
      <c r="AG22" s="3148">
        <f t="shared" si="31"/>
        <v>101.13000000000001</v>
      </c>
      <c r="AH22" s="3148">
        <f t="shared" si="32"/>
        <v>100.64999999999999</v>
      </c>
      <c r="AI22" s="3148">
        <f t="shared" si="33"/>
        <v>101.42999999999999</v>
      </c>
      <c r="AJ22" s="3148">
        <f t="shared" si="34"/>
        <v>101.49</v>
      </c>
      <c r="AK22" s="3148">
        <f t="shared" si="35"/>
        <v>100.64999999999999</v>
      </c>
      <c r="AM22" s="3148">
        <f t="shared" si="48"/>
        <v>95.907982903007706</v>
      </c>
      <c r="AN22" s="3148">
        <f t="shared" si="49"/>
        <v>97.81783350410376</v>
      </c>
      <c r="AO22" s="3148">
        <f t="shared" si="50"/>
        <v>101.53305300380042</v>
      </c>
      <c r="AP22" s="3148">
        <f t="shared" si="51"/>
        <v>94.983747604624568</v>
      </c>
      <c r="AQ22" s="3148">
        <f t="shared" si="52"/>
        <v>93.353842369565911</v>
      </c>
      <c r="AR22" s="3148">
        <f t="shared" si="53"/>
        <v>101.53305300380042</v>
      </c>
    </row>
    <row r="23" spans="1:44" s="2040" customFormat="1" ht="12.75">
      <c r="A23" s="2901" t="s">
        <v>2813</v>
      </c>
      <c r="B23" s="2026">
        <v>2021</v>
      </c>
      <c r="C23" s="2037">
        <v>2</v>
      </c>
      <c r="D23" s="2002">
        <v>0.92</v>
      </c>
      <c r="E23" s="2002">
        <v>0.72</v>
      </c>
      <c r="F23" s="2002">
        <v>0.41</v>
      </c>
      <c r="G23" s="2002">
        <v>0.95</v>
      </c>
      <c r="H23" s="2913">
        <v>1.01</v>
      </c>
      <c r="I23" s="2003">
        <f t="shared" si="87"/>
        <v>0.41</v>
      </c>
      <c r="J23" s="2902"/>
      <c r="K23" s="2038">
        <f t="shared" si="88"/>
        <v>9.1999999999999998E-3</v>
      </c>
      <c r="L23" s="2023">
        <f t="shared" si="88"/>
        <v>7.1999999999999998E-3</v>
      </c>
      <c r="M23" s="2023">
        <f t="shared" si="88"/>
        <v>4.0999999999999995E-3</v>
      </c>
      <c r="N23" s="2023">
        <f t="shared" si="88"/>
        <v>9.4999999999999998E-3</v>
      </c>
      <c r="O23" s="2023">
        <f t="shared" si="88"/>
        <v>1.01E-2</v>
      </c>
      <c r="P23" s="2023">
        <f t="shared" si="108"/>
        <v>4.0999999999999995E-3</v>
      </c>
      <c r="Q23" s="2902"/>
      <c r="R23" s="2022">
        <f>ROUND(IF(项目基本情况!$B$8="出让",SUMPRODUCT(PRODUCT(1+K23:$K$24)),SUMPRODUCT(PRODUCT(1+K23:$K$23))),4)</f>
        <v>1.0092000000000001</v>
      </c>
      <c r="S23" s="2022">
        <f>ROUND(IF(项目基本情况!$B$8="出让",SUMPRODUCT(PRODUCT(1+L23:$L$24)),SUMPRODUCT(PRODUCT(1+L23:$L$23))),4)</f>
        <v>1.0072000000000001</v>
      </c>
      <c r="T23" s="2022">
        <f>ROUND(IF(项目基本情况!$B$8="出让",SUMPRODUCT(PRODUCT(1+M23:$M$24)),SUMPRODUCT(PRODUCT(1+M23:$M$23))),4)</f>
        <v>1.0041</v>
      </c>
      <c r="U23" s="2022">
        <f>ROUND(IF(项目基本情况!$B$8="出让",SUMPRODUCT(PRODUCT(1+N23:$N$24)),SUMPRODUCT(PRODUCT(1+N23:$N$23))),4)</f>
        <v>1.0095000000000001</v>
      </c>
      <c r="V23" s="2022">
        <f>ROUND(IF(项目基本情况!$B$8="出让",SUMPRODUCT(PRODUCT(1+O23:$O$24)),SUMPRODUCT(PRODUCT(1+O23:$O$23))),4)</f>
        <v>1.0101</v>
      </c>
      <c r="W23" s="2022">
        <f t="shared" si="107"/>
        <v>1.0041</v>
      </c>
      <c r="X23" s="2902"/>
      <c r="Y23" s="2023">
        <f>IF(D23=0,0,ROUND(AVERAGE(D23:D24)/100,4))</f>
        <v>9.4999999999999998E-3</v>
      </c>
      <c r="Z23" s="2023">
        <f>IF(E23=0,0,ROUND(AVERAGE(E23:E24)/100,4))</f>
        <v>4.4000000000000003E-3</v>
      </c>
      <c r="AA23" s="2023">
        <f>IF(F23=0,0,ROUND(AVERAGE(F23:F24)/100,4))</f>
        <v>8.0000000000000004E-4</v>
      </c>
      <c r="AB23" s="2023">
        <f>IF(G23=0,0,ROUND(AVERAGE(G23:G24)/100,4))</f>
        <v>1.03E-2</v>
      </c>
      <c r="AC23" s="2023">
        <f>IF(H23=0,0,ROUND(AVERAGE(H23:H24)/100,4))</f>
        <v>6.8999999999999999E-3</v>
      </c>
      <c r="AD23" s="2023">
        <f t="shared" si="90"/>
        <v>8.0000000000000004E-4</v>
      </c>
      <c r="AF23" s="3148">
        <f t="shared" si="30"/>
        <v>100.92000000000002</v>
      </c>
      <c r="AG23" s="3148">
        <f t="shared" si="31"/>
        <v>100.72000000000001</v>
      </c>
      <c r="AH23" s="3148">
        <f t="shared" si="32"/>
        <v>100.41</v>
      </c>
      <c r="AI23" s="3148">
        <f t="shared" si="33"/>
        <v>100.95</v>
      </c>
      <c r="AJ23" s="3148">
        <f t="shared" si="34"/>
        <v>101.01</v>
      </c>
      <c r="AK23" s="3148">
        <f t="shared" si="35"/>
        <v>100.41</v>
      </c>
      <c r="AM23" s="3148">
        <f t="shared" si="48"/>
        <v>95.459324079832498</v>
      </c>
      <c r="AN23" s="3148">
        <f t="shared" si="49"/>
        <v>97.418417990343357</v>
      </c>
      <c r="AO23" s="3148">
        <f t="shared" si="50"/>
        <v>101.28995710674424</v>
      </c>
      <c r="AP23" s="3148">
        <f t="shared" si="51"/>
        <v>94.530003587405034</v>
      </c>
      <c r="AQ23" s="3148">
        <f t="shared" si="52"/>
        <v>92.907884523851436</v>
      </c>
      <c r="AR23" s="3148">
        <f t="shared" si="53"/>
        <v>101.28995710674424</v>
      </c>
    </row>
    <row r="24" spans="1:44" s="2924" customFormat="1" ht="14.25" thickBot="1">
      <c r="A24" s="2914" t="s">
        <v>2814</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6">
        <v>100</v>
      </c>
      <c r="AG24" s="3156">
        <v>100</v>
      </c>
      <c r="AH24" s="3156">
        <v>100</v>
      </c>
      <c r="AI24" s="3156">
        <v>100</v>
      </c>
      <c r="AJ24" s="3156">
        <v>100</v>
      </c>
      <c r="AK24" s="3156">
        <v>100</v>
      </c>
      <c r="AM24" s="3155">
        <f t="shared" si="48"/>
        <v>94.589104320087685</v>
      </c>
      <c r="AN24" s="3155">
        <f t="shared" si="49"/>
        <v>96.722019450301175</v>
      </c>
      <c r="AO24" s="3155">
        <f t="shared" si="50"/>
        <v>100.87636401428567</v>
      </c>
      <c r="AP24" s="3155">
        <f t="shared" si="51"/>
        <v>93.640419601193685</v>
      </c>
      <c r="AQ24" s="3155">
        <f t="shared" si="52"/>
        <v>91.978897657510586</v>
      </c>
      <c r="AR24" s="3155">
        <f t="shared" si="53"/>
        <v>100.87636401428567</v>
      </c>
    </row>
    <row r="25" spans="1:44" ht="14.25" thickTop="1"/>
    <row r="26" spans="1:44">
      <c r="A26" s="3138" t="s">
        <v>3370</v>
      </c>
    </row>
    <row r="27" spans="1:44">
      <c r="I27" s="1402" t="s">
        <v>2815</v>
      </c>
    </row>
    <row r="29" spans="1:44" s="2004" customFormat="1" ht="12.75">
      <c r="B29" s="2925" t="s">
        <v>3368</v>
      </c>
      <c r="C29" s="2926"/>
      <c r="D29" s="2926"/>
      <c r="E29" s="2926"/>
      <c r="F29" s="2926"/>
      <c r="G29" s="2926"/>
      <c r="H29" s="2926"/>
      <c r="I29" s="2926"/>
      <c r="J29" s="2892"/>
      <c r="K29" s="2926" t="s">
        <v>2816</v>
      </c>
      <c r="L29" s="2926"/>
      <c r="M29" s="2926"/>
      <c r="N29" s="2926"/>
      <c r="O29" s="2926"/>
      <c r="P29" s="2926"/>
      <c r="Q29" s="2892"/>
      <c r="R29" s="3586" t="s">
        <v>2817</v>
      </c>
      <c r="S29" s="3587"/>
      <c r="T29" s="3587"/>
      <c r="U29" s="3587"/>
      <c r="V29" s="3587"/>
      <c r="W29" s="3587"/>
      <c r="X29" s="2892"/>
      <c r="Y29" s="3586" t="s">
        <v>2818</v>
      </c>
      <c r="Z29" s="3587"/>
      <c r="AA29" s="3587"/>
      <c r="AB29" s="3587"/>
      <c r="AC29" s="3587"/>
      <c r="AD29" s="3587"/>
    </row>
    <row r="30" spans="1:44" s="2005" customFormat="1" ht="14.25" thickBot="1">
      <c r="B30" s="2877"/>
      <c r="C30" s="2878"/>
      <c r="D30" s="2006" t="s">
        <v>2819</v>
      </c>
      <c r="E30" s="2007" t="s">
        <v>2820</v>
      </c>
      <c r="F30" s="2007" t="s">
        <v>2821</v>
      </c>
      <c r="G30" s="2007" t="s">
        <v>2822</v>
      </c>
      <c r="H30" s="2007"/>
      <c r="I30" s="2007" t="s">
        <v>2823</v>
      </c>
      <c r="J30" s="2879"/>
      <c r="K30" s="2006" t="s">
        <v>2819</v>
      </c>
      <c r="L30" s="2007" t="s">
        <v>2820</v>
      </c>
      <c r="M30" s="2007" t="s">
        <v>2821</v>
      </c>
      <c r="N30" s="2007" t="s">
        <v>2822</v>
      </c>
      <c r="O30" s="2007"/>
      <c r="P30" s="2007" t="s">
        <v>2823</v>
      </c>
      <c r="Q30" s="2879"/>
      <c r="R30" s="2006" t="s">
        <v>2819</v>
      </c>
      <c r="S30" s="2007" t="s">
        <v>2820</v>
      </c>
      <c r="T30" s="2007" t="s">
        <v>2821</v>
      </c>
      <c r="U30" s="2007" t="s">
        <v>2822</v>
      </c>
      <c r="V30" s="2007"/>
      <c r="W30" s="2007" t="s">
        <v>2823</v>
      </c>
      <c r="X30" s="2879"/>
      <c r="Y30" s="2006" t="s">
        <v>2819</v>
      </c>
      <c r="Z30" s="2007" t="s">
        <v>2820</v>
      </c>
      <c r="AA30" s="2007" t="s">
        <v>2821</v>
      </c>
      <c r="AB30" s="2007" t="s">
        <v>2822</v>
      </c>
      <c r="AC30" s="2007"/>
      <c r="AD30" s="2007" t="s">
        <v>2823</v>
      </c>
      <c r="AG30" t="s">
        <v>673</v>
      </c>
      <c r="AH30" t="s">
        <v>21</v>
      </c>
      <c r="AI30" t="s">
        <v>3395</v>
      </c>
      <c r="AJ30"/>
      <c r="AK30" t="s">
        <v>3396</v>
      </c>
      <c r="AN30" t="s">
        <v>673</v>
      </c>
      <c r="AO30" t="s">
        <v>21</v>
      </c>
      <c r="AP30" t="s">
        <v>3395</v>
      </c>
      <c r="AQ30"/>
      <c r="AR30" t="s">
        <v>3396</v>
      </c>
    </row>
    <row r="31" spans="1:44" s="2882" customFormat="1" ht="12.75">
      <c r="A31" s="2880" t="s">
        <v>2824</v>
      </c>
      <c r="B31" s="2881"/>
      <c r="E31" s="2882">
        <f t="shared" ref="E31:G31" si="115">ROUND(AVERAGEIF(E32:E52,"&lt;&gt;0"),2)</f>
        <v>0.11</v>
      </c>
      <c r="F31" s="2882">
        <f t="shared" si="115"/>
        <v>7.0000000000000007E-2</v>
      </c>
      <c r="G31" s="2882">
        <f t="shared" si="115"/>
        <v>0.26</v>
      </c>
      <c r="I31" s="2882">
        <f>F31</f>
        <v>7.0000000000000007E-2</v>
      </c>
      <c r="J31" s="2883"/>
      <c r="K31" s="2884"/>
      <c r="L31" s="2885">
        <f t="shared" ref="L31:N31" si="116">ROUND(AVERAGEIF(L32:L52,"&lt;&gt;0"),4)</f>
        <v>1.1000000000000001E-3</v>
      </c>
      <c r="M31" s="2885">
        <f t="shared" si="116"/>
        <v>6.9999999999999999E-4</v>
      </c>
      <c r="N31" s="2885">
        <f t="shared" si="116"/>
        <v>2.5999999999999999E-3</v>
      </c>
      <c r="O31" s="2885"/>
      <c r="P31" s="2885">
        <f>M31</f>
        <v>6.9999999999999999E-4</v>
      </c>
      <c r="Q31" s="2883"/>
      <c r="R31" s="2886"/>
      <c r="S31" s="2887">
        <f>ROUND(SUMPRODUCT(PRODUCT(1+L32:L52)),4)</f>
        <v>1.0185</v>
      </c>
      <c r="T31" s="2887">
        <f t="shared" ref="T31:U31" si="117">ROUND(SUMPRODUCT(PRODUCT(1+M32:M52)),4)</f>
        <v>1.012</v>
      </c>
      <c r="U31" s="2887">
        <f t="shared" si="117"/>
        <v>1.0436000000000001</v>
      </c>
      <c r="V31" s="2887"/>
      <c r="W31" s="2886">
        <f>T31</f>
        <v>1.012</v>
      </c>
      <c r="X31" s="2883"/>
      <c r="Y31" s="2888"/>
      <c r="Z31" s="2889">
        <f t="shared" ref="Z31:AB31" si="118">ROUND(AVERAGEIF(Z32:Z52,"&lt;&gt;0"),4)</f>
        <v>3.5999999999999999E-3</v>
      </c>
      <c r="AA31" s="2890">
        <f t="shared" si="118"/>
        <v>3.0000000000000001E-3</v>
      </c>
      <c r="AB31" s="2888">
        <f t="shared" si="118"/>
        <v>7.0000000000000001E-3</v>
      </c>
      <c r="AC31" s="2891"/>
      <c r="AD31" s="2888">
        <f>AA31</f>
        <v>3.0000000000000001E-3</v>
      </c>
    </row>
    <row r="32" spans="1:44" s="2004" customFormat="1" ht="12.75">
      <c r="B32" s="2020"/>
      <c r="J32" s="2892"/>
      <c r="K32" s="2893"/>
      <c r="L32" s="2894"/>
      <c r="M32" s="2894"/>
      <c r="N32" s="2894"/>
      <c r="O32" s="2894"/>
      <c r="P32" s="2894"/>
      <c r="Q32" s="2892"/>
      <c r="R32" s="2022"/>
      <c r="S32" s="2895"/>
      <c r="T32" s="2896"/>
      <c r="U32" s="2022"/>
      <c r="V32" s="2897"/>
      <c r="W32" s="2022"/>
      <c r="X32" s="2892"/>
      <c r="Y32" s="2023"/>
      <c r="Z32" s="2898"/>
      <c r="AA32" s="2899"/>
      <c r="AB32" s="2023"/>
      <c r="AC32" s="2900"/>
      <c r="AD32" s="2023"/>
    </row>
    <row r="33" spans="1:44" s="2040" customFormat="1">
      <c r="A33" s="2035" t="s">
        <v>3393</v>
      </c>
      <c r="B33" s="2026">
        <v>2025</v>
      </c>
      <c r="C33" s="2037">
        <v>4</v>
      </c>
      <c r="D33" s="2002"/>
      <c r="E33" s="2002">
        <v>0</v>
      </c>
      <c r="F33" s="2002">
        <v>0</v>
      </c>
      <c r="G33" s="2002">
        <v>0</v>
      </c>
      <c r="H33" s="2002"/>
      <c r="I33" s="2003">
        <f t="shared" ref="I33" si="119">F33</f>
        <v>0</v>
      </c>
      <c r="J33" s="2902"/>
      <c r="K33" s="2038"/>
      <c r="L33" s="2023">
        <f t="shared" ref="L33" si="120">E33/100</f>
        <v>0</v>
      </c>
      <c r="M33" s="2023">
        <f t="shared" ref="M33" si="121">F33/100</f>
        <v>0</v>
      </c>
      <c r="N33" s="2023">
        <f t="shared" ref="N33" si="122">G33/100</f>
        <v>0</v>
      </c>
      <c r="O33" s="2023"/>
      <c r="P33" s="2023">
        <f t="shared" ref="P33:P39" si="123">M33</f>
        <v>0</v>
      </c>
      <c r="Q33" s="2902"/>
      <c r="R33" s="2022"/>
      <c r="S33" s="2022">
        <f>ROUND(IF(项目基本情况!$B$8="出让",SUMPRODUCT(PRODUCT(1+L33:L$52)),SUMPRODUCT(PRODUCT(1+L33:L$51))),4)</f>
        <v>1.0148999999999999</v>
      </c>
      <c r="T33" s="2022">
        <f>ROUND(IF(项目基本情况!$B$8="出让",SUMPRODUCT(PRODUCT(1+M33:M$52)),SUMPRODUCT(PRODUCT(1+M33:M$51))),4)</f>
        <v>1.0072000000000001</v>
      </c>
      <c r="U33" s="2022">
        <f>ROUND(IF(项目基本情况!$B$8="出让",SUMPRODUCT(PRODUCT(1+N33:N$52)),SUMPRODUCT(PRODUCT(1+N33:N$51))),4)</f>
        <v>1.0335000000000001</v>
      </c>
      <c r="V33" s="2022"/>
      <c r="W33" s="2022">
        <f t="shared" ref="W33:W39" si="124">T33</f>
        <v>1.0072000000000001</v>
      </c>
      <c r="X33" s="2902"/>
      <c r="Y33" s="2023"/>
      <c r="Z33" s="2898">
        <f t="shared" ref="Z33" si="125">IF(E33=0,0,ROUND(AVERAGE(E33:E46)/100,4))</f>
        <v>0</v>
      </c>
      <c r="AA33" s="2898">
        <f t="shared" ref="AA33" si="126">IF(F33=0,0,ROUND(AVERAGE(F33:F46)/100,4))</f>
        <v>0</v>
      </c>
      <c r="AB33" s="2898">
        <f t="shared" ref="AB33" si="127">IF(G33=0,0,ROUND(AVERAGE(G33:G46)/100,4))</f>
        <v>0</v>
      </c>
      <c r="AC33" s="2900"/>
      <c r="AD33" s="2023">
        <f t="shared" ref="AD33:AD39" si="128">IF(I33=0,0,ROUND(AVERAGE(I33:I46)/100,4))</f>
        <v>0</v>
      </c>
      <c r="AG33" s="3148">
        <f t="shared" ref="AG33:AG50" si="129">$AG$52*S33</f>
        <v>101.49</v>
      </c>
      <c r="AH33" s="3148">
        <f t="shared" ref="AH33:AH50" si="130">$AG$52*T33</f>
        <v>100.72000000000001</v>
      </c>
      <c r="AI33" s="3148">
        <f t="shared" ref="AI33:AI50" si="131">$AG$52*U33</f>
        <v>103.35000000000001</v>
      </c>
      <c r="AJ33" s="3150"/>
      <c r="AK33" s="3148">
        <f t="shared" ref="AK33:AK50" si="132">$AG$52*W33</f>
        <v>100.72000000000001</v>
      </c>
      <c r="AN33" s="3153">
        <v>100</v>
      </c>
      <c r="AO33" s="3153">
        <v>100</v>
      </c>
      <c r="AP33" s="3153">
        <v>100</v>
      </c>
      <c r="AQ33" s="3153"/>
      <c r="AR33" s="3153">
        <v>100</v>
      </c>
    </row>
    <row r="34" spans="1:44" s="2040" customFormat="1" ht="12.75">
      <c r="A34" s="2035" t="s">
        <v>3392</v>
      </c>
      <c r="B34" s="2026">
        <v>2025</v>
      </c>
      <c r="C34" s="2037">
        <v>3</v>
      </c>
      <c r="D34" s="2002"/>
      <c r="E34" s="2002">
        <v>0</v>
      </c>
      <c r="F34" s="2002">
        <v>0</v>
      </c>
      <c r="G34" s="2002">
        <v>0</v>
      </c>
      <c r="H34" s="2002"/>
      <c r="I34" s="2003">
        <f t="shared" ref="I34" si="133">F34</f>
        <v>0</v>
      </c>
      <c r="J34" s="2902"/>
      <c r="K34" s="2038"/>
      <c r="L34" s="2023">
        <f t="shared" ref="L34" si="134">E34/100</f>
        <v>0</v>
      </c>
      <c r="M34" s="2023">
        <f t="shared" ref="M34" si="135">F34/100</f>
        <v>0</v>
      </c>
      <c r="N34" s="2023">
        <f t="shared" ref="N34" si="136">G34/100</f>
        <v>0</v>
      </c>
      <c r="O34" s="2023"/>
      <c r="P34" s="2023">
        <f t="shared" si="123"/>
        <v>0</v>
      </c>
      <c r="Q34" s="2902"/>
      <c r="R34" s="2022"/>
      <c r="S34" s="2022">
        <f>ROUND(IF(项目基本情况!$B$8="出让",SUMPRODUCT(PRODUCT(1+L34:L$52)),SUMPRODUCT(PRODUCT(1+L34:L$51))),4)</f>
        <v>1.0148999999999999</v>
      </c>
      <c r="T34" s="2022">
        <f>ROUND(IF(项目基本情况!$B$8="出让",SUMPRODUCT(PRODUCT(1+M34:M$52)),SUMPRODUCT(PRODUCT(1+M34:M$51))),4)</f>
        <v>1.0072000000000001</v>
      </c>
      <c r="U34" s="2022">
        <f>ROUND(IF(项目基本情况!$B$8="出让",SUMPRODUCT(PRODUCT(1+N34:N$52)),SUMPRODUCT(PRODUCT(1+N34:N$51))),4)</f>
        <v>1.0335000000000001</v>
      </c>
      <c r="V34" s="2022"/>
      <c r="W34" s="2022">
        <f t="shared" si="124"/>
        <v>1.0072000000000001</v>
      </c>
      <c r="X34" s="2902"/>
      <c r="Y34" s="2023"/>
      <c r="Z34" s="2898">
        <f t="shared" ref="Z34" si="137">IF(E34=0,0,ROUND(AVERAGE(E34:E47)/100,4))</f>
        <v>0</v>
      </c>
      <c r="AA34" s="2898">
        <f t="shared" ref="AA34" si="138">IF(F34=0,0,ROUND(AVERAGE(F34:F47)/100,4))</f>
        <v>0</v>
      </c>
      <c r="AB34" s="2898">
        <f t="shared" ref="AB34" si="139">IF(G34=0,0,ROUND(AVERAGE(G34:G47)/100,4))</f>
        <v>0</v>
      </c>
      <c r="AC34" s="2900"/>
      <c r="AD34" s="2023">
        <f t="shared" si="128"/>
        <v>0</v>
      </c>
      <c r="AG34" s="3148">
        <f t="shared" si="129"/>
        <v>101.49</v>
      </c>
      <c r="AH34" s="3148">
        <f t="shared" si="130"/>
        <v>100.72000000000001</v>
      </c>
      <c r="AI34" s="3148">
        <f t="shared" si="131"/>
        <v>103.35000000000001</v>
      </c>
      <c r="AJ34" s="3150"/>
      <c r="AK34" s="3148">
        <f t="shared" si="132"/>
        <v>100.72000000000001</v>
      </c>
      <c r="AN34" s="3148">
        <f>AN33/(1+E33/100)</f>
        <v>100</v>
      </c>
      <c r="AO34" s="3148">
        <f t="shared" ref="AO34:AR34" si="140">AO33/(1+F33/100)</f>
        <v>100</v>
      </c>
      <c r="AP34" s="3148">
        <f t="shared" si="140"/>
        <v>100</v>
      </c>
      <c r="AQ34" s="3148"/>
      <c r="AR34" s="3148">
        <f t="shared" si="140"/>
        <v>100</v>
      </c>
    </row>
    <row r="35" spans="1:44" s="2912" customFormat="1" ht="12.75">
      <c r="A35" s="2903" t="s">
        <v>3400</v>
      </c>
      <c r="B35" s="2904">
        <v>2025</v>
      </c>
      <c r="C35" s="2905">
        <v>2</v>
      </c>
      <c r="D35" s="2906"/>
      <c r="E35" s="2906">
        <v>0</v>
      </c>
      <c r="F35" s="2906">
        <v>0</v>
      </c>
      <c r="G35" s="2906">
        <v>0</v>
      </c>
      <c r="H35" s="2907"/>
      <c r="I35" s="2908">
        <f t="shared" ref="I35" si="141">F35</f>
        <v>0</v>
      </c>
      <c r="J35" s="2909"/>
      <c r="K35" s="2910"/>
      <c r="L35" s="2911">
        <f t="shared" ref="L35" si="142">E35/100</f>
        <v>0</v>
      </c>
      <c r="M35" s="2911">
        <f t="shared" ref="M35" si="143">F35/100</f>
        <v>0</v>
      </c>
      <c r="N35" s="2911">
        <f t="shared" ref="N35" si="144">G35/100</f>
        <v>0</v>
      </c>
      <c r="O35" s="2911"/>
      <c r="P35" s="2911">
        <f t="shared" si="123"/>
        <v>0</v>
      </c>
      <c r="Q35" s="2909"/>
      <c r="R35" s="2909"/>
      <c r="S35" s="2909">
        <f>ROUND(IF(项目基本情况!$B$8="出让",SUMPRODUCT(PRODUCT(1+L35:L$52)),SUMPRODUCT(PRODUCT(1+L35:L$51))),4)</f>
        <v>1.0148999999999999</v>
      </c>
      <c r="T35" s="2909">
        <f>ROUND(IF(项目基本情况!$B$8="出让",SUMPRODUCT(PRODUCT(1+M35:M$52)),SUMPRODUCT(PRODUCT(1+M35:M$51))),4)</f>
        <v>1.0072000000000001</v>
      </c>
      <c r="U35" s="2909">
        <f>ROUND(IF(项目基本情况!$B$8="出让",SUMPRODUCT(PRODUCT(1+N35:N$52)),SUMPRODUCT(PRODUCT(1+N35:N$51))),4)</f>
        <v>1.0335000000000001</v>
      </c>
      <c r="V35" s="2909"/>
      <c r="W35" s="2909">
        <f t="shared" si="124"/>
        <v>1.0072000000000001</v>
      </c>
      <c r="X35" s="2909"/>
      <c r="Y35" s="2911"/>
      <c r="Z35" s="2927">
        <f t="shared" ref="Z35" si="145">IF(E35=0,0,ROUND(AVERAGE(E35:E48)/100,4))</f>
        <v>0</v>
      </c>
      <c r="AA35" s="2928">
        <f t="shared" ref="AA35" si="146">IF(F35=0,0,ROUND(AVERAGE(F35:F48)/100,4))</f>
        <v>0</v>
      </c>
      <c r="AB35" s="2911">
        <f t="shared" ref="AB35" si="147">IF(G35=0,0,ROUND(AVERAGE(G35:G48)/100,4))</f>
        <v>0</v>
      </c>
      <c r="AC35" s="2929"/>
      <c r="AD35" s="2911">
        <f t="shared" si="128"/>
        <v>0</v>
      </c>
      <c r="AG35" s="3149">
        <f t="shared" si="129"/>
        <v>101.49</v>
      </c>
      <c r="AH35" s="3149">
        <f t="shared" si="130"/>
        <v>100.72000000000001</v>
      </c>
      <c r="AI35" s="3149">
        <f t="shared" si="131"/>
        <v>103.35000000000001</v>
      </c>
      <c r="AJ35" s="3151"/>
      <c r="AK35" s="3149">
        <f t="shared" si="132"/>
        <v>100.72000000000001</v>
      </c>
      <c r="AN35" s="3149">
        <f t="shared" ref="AN35:AN52" si="148">AN34/(1+E34/100)</f>
        <v>100</v>
      </c>
      <c r="AO35" s="3149">
        <f t="shared" ref="AO35" si="149">AO34/(1+F34/100)</f>
        <v>100</v>
      </c>
      <c r="AP35" s="3149">
        <f t="shared" ref="AP35" si="150">AP34/(1+G34/100)</f>
        <v>100</v>
      </c>
      <c r="AQ35" s="3149"/>
      <c r="AR35" s="3149">
        <f t="shared" ref="AR35" si="151">AR34/(1+I34/100)</f>
        <v>100</v>
      </c>
    </row>
    <row r="36" spans="1:44" s="2040" customFormat="1" ht="12.75">
      <c r="A36" s="2035" t="s">
        <v>3397</v>
      </c>
      <c r="B36" s="2026">
        <v>2025</v>
      </c>
      <c r="C36" s="2037">
        <v>1</v>
      </c>
      <c r="D36" s="2002"/>
      <c r="E36" s="2002">
        <v>-1.47</v>
      </c>
      <c r="F36" s="2002">
        <v>-0.98</v>
      </c>
      <c r="G36" s="2002">
        <v>-0.51</v>
      </c>
      <c r="H36" s="2002"/>
      <c r="I36" s="2003">
        <f t="shared" ref="I36" si="152">F36</f>
        <v>-0.98</v>
      </c>
      <c r="J36" s="2902"/>
      <c r="K36" s="2038"/>
      <c r="L36" s="2023">
        <f t="shared" ref="L36" si="153">E36/100</f>
        <v>-1.47E-2</v>
      </c>
      <c r="M36" s="2023">
        <f t="shared" ref="M36" si="154">F36/100</f>
        <v>-9.7999999999999997E-3</v>
      </c>
      <c r="N36" s="2023">
        <f t="shared" ref="N36" si="155">G36/100</f>
        <v>-5.1000000000000004E-3</v>
      </c>
      <c r="O36" s="2023"/>
      <c r="P36" s="2023">
        <f t="shared" si="123"/>
        <v>-9.7999999999999997E-3</v>
      </c>
      <c r="Q36" s="2902"/>
      <c r="R36" s="2022"/>
      <c r="S36" s="2022">
        <f>ROUND(IF(项目基本情况!$B$8="出让",SUMPRODUCT(PRODUCT(1+L36:L$52)),SUMPRODUCT(PRODUCT(1+L36:L$51))),4)</f>
        <v>1.0148999999999999</v>
      </c>
      <c r="T36" s="2022">
        <f>ROUND(IF(项目基本情况!$B$8="出让",SUMPRODUCT(PRODUCT(1+M36:M$52)),SUMPRODUCT(PRODUCT(1+M36:M$51))),4)</f>
        <v>1.0072000000000001</v>
      </c>
      <c r="U36" s="2022">
        <f>ROUND(IF(项目基本情况!$B$8="出让",SUMPRODUCT(PRODUCT(1+N36:N$52)),SUMPRODUCT(PRODUCT(1+N36:N$51))),4)</f>
        <v>1.0335000000000001</v>
      </c>
      <c r="V36" s="2022"/>
      <c r="W36" s="2022">
        <f t="shared" si="124"/>
        <v>1.0072000000000001</v>
      </c>
      <c r="X36" s="2902"/>
      <c r="Y36" s="2023"/>
      <c r="Z36" s="2898">
        <f t="shared" ref="Z36" si="156">IF(E36=0,0,ROUND(AVERAGE(E36:E49)/100,4))</f>
        <v>4.0000000000000002E-4</v>
      </c>
      <c r="AA36" s="2898">
        <f t="shared" ref="AA36" si="157">IF(F36=0,0,ROUND(AVERAGE(F36:F49)/100,4))</f>
        <v>0</v>
      </c>
      <c r="AB36" s="2898">
        <f t="shared" ref="AB36" si="158">IF(G36=0,0,ROUND(AVERAGE(G36:G49)/100,4))</f>
        <v>1E-3</v>
      </c>
      <c r="AC36" s="2900"/>
      <c r="AD36" s="2023">
        <f t="shared" si="128"/>
        <v>0</v>
      </c>
      <c r="AG36" s="3148">
        <f t="shared" si="129"/>
        <v>101.49</v>
      </c>
      <c r="AH36" s="3148">
        <f t="shared" si="130"/>
        <v>100.72000000000001</v>
      </c>
      <c r="AI36" s="3148">
        <f t="shared" si="131"/>
        <v>103.35000000000001</v>
      </c>
      <c r="AJ36" s="3150"/>
      <c r="AK36" s="3148">
        <f t="shared" si="132"/>
        <v>100.72000000000001</v>
      </c>
      <c r="AN36" s="3148">
        <f t="shared" si="148"/>
        <v>100</v>
      </c>
      <c r="AO36" s="3148">
        <f t="shared" ref="AO36:AO52" si="159">AO35/(1+F35/100)</f>
        <v>100</v>
      </c>
      <c r="AP36" s="3148">
        <f t="shared" ref="AP36:AP52" si="160">AP35/(1+G35/100)</f>
        <v>100</v>
      </c>
      <c r="AQ36" s="3148"/>
      <c r="AR36" s="3148">
        <f t="shared" ref="AR36:AR52" si="161">AR35/(1+I35/100)</f>
        <v>100</v>
      </c>
    </row>
    <row r="37" spans="1:44" s="2040" customFormat="1" ht="12.75">
      <c r="A37" s="2035" t="s">
        <v>3398</v>
      </c>
      <c r="B37" s="2026">
        <v>2024</v>
      </c>
      <c r="C37" s="2037">
        <v>4</v>
      </c>
      <c r="D37" s="2002"/>
      <c r="E37" s="2002">
        <v>-0.61</v>
      </c>
      <c r="F37" s="2002">
        <v>-0.71</v>
      </c>
      <c r="G37" s="2002">
        <v>-0.88</v>
      </c>
      <c r="H37" s="2002"/>
      <c r="I37" s="2003">
        <f t="shared" ref="I37" si="162">F37</f>
        <v>-0.71</v>
      </c>
      <c r="J37" s="2902"/>
      <c r="K37" s="2038"/>
      <c r="L37" s="2023">
        <f t="shared" ref="L37" si="163">E37/100</f>
        <v>-6.0999999999999995E-3</v>
      </c>
      <c r="M37" s="2023">
        <f t="shared" ref="M37" si="164">F37/100</f>
        <v>-7.0999999999999995E-3</v>
      </c>
      <c r="N37" s="2023">
        <f t="shared" ref="N37" si="165">G37/100</f>
        <v>-8.8000000000000005E-3</v>
      </c>
      <c r="O37" s="2023"/>
      <c r="P37" s="2023">
        <f t="shared" si="123"/>
        <v>-7.0999999999999995E-3</v>
      </c>
      <c r="Q37" s="2902"/>
      <c r="R37" s="2022"/>
      <c r="S37" s="2022">
        <f>ROUND(IF(项目基本情况!$B$8="出让",SUMPRODUCT(PRODUCT(1+L37:L$52)),SUMPRODUCT(PRODUCT(1+L37:L$51))),4)</f>
        <v>1.0301</v>
      </c>
      <c r="T37" s="2022">
        <f>ROUND(IF(项目基本情况!$B$8="出让",SUMPRODUCT(PRODUCT(1+M37:M$52)),SUMPRODUCT(PRODUCT(1+M37:M$51))),4)</f>
        <v>1.0170999999999999</v>
      </c>
      <c r="U37" s="2022">
        <f>ROUND(IF(项目基本情况!$B$8="出让",SUMPRODUCT(PRODUCT(1+N37:N$52)),SUMPRODUCT(PRODUCT(1+N37:N$51))),4)</f>
        <v>1.0387999999999999</v>
      </c>
      <c r="V37" s="2022"/>
      <c r="W37" s="2022">
        <f t="shared" si="124"/>
        <v>1.0170999999999999</v>
      </c>
      <c r="X37" s="2902"/>
      <c r="Y37" s="2023"/>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3">
        <f t="shared" si="128"/>
        <v>8.9999999999999998E-4</v>
      </c>
      <c r="AG37" s="3148">
        <f t="shared" si="129"/>
        <v>103.01</v>
      </c>
      <c r="AH37" s="3148">
        <f t="shared" si="130"/>
        <v>101.71</v>
      </c>
      <c r="AI37" s="3148">
        <f t="shared" si="131"/>
        <v>103.88</v>
      </c>
      <c r="AJ37" s="3150"/>
      <c r="AK37" s="3148">
        <f t="shared" si="132"/>
        <v>101.71</v>
      </c>
      <c r="AN37" s="3148">
        <f t="shared" si="148"/>
        <v>101.49193139145439</v>
      </c>
      <c r="AO37" s="3148">
        <f t="shared" si="159"/>
        <v>100.98969905069683</v>
      </c>
      <c r="AP37" s="3148">
        <f t="shared" si="160"/>
        <v>100.51261433309881</v>
      </c>
      <c r="AQ37" s="3148"/>
      <c r="AR37" s="3148">
        <f t="shared" si="161"/>
        <v>100.98969905069683</v>
      </c>
    </row>
    <row r="38" spans="1:44" s="2040" customFormat="1" ht="12.75">
      <c r="A38" s="2035" t="s">
        <v>3362</v>
      </c>
      <c r="B38" s="2026">
        <v>2024</v>
      </c>
      <c r="C38" s="2037">
        <v>3</v>
      </c>
      <c r="D38" s="2002"/>
      <c r="E38" s="2002">
        <v>-0.66</v>
      </c>
      <c r="F38" s="2002">
        <v>-0.52</v>
      </c>
      <c r="G38" s="2002">
        <v>-2.87</v>
      </c>
      <c r="H38" s="2002"/>
      <c r="I38" s="2003">
        <f t="shared" ref="I38" si="169">F38</f>
        <v>-0.52</v>
      </c>
      <c r="J38" s="2902"/>
      <c r="K38" s="2038"/>
      <c r="L38" s="2023">
        <f t="shared" ref="L38" si="170">E38/100</f>
        <v>-6.6E-3</v>
      </c>
      <c r="M38" s="2023">
        <f t="shared" ref="M38" si="171">F38/100</f>
        <v>-5.1999999999999998E-3</v>
      </c>
      <c r="N38" s="2023">
        <f t="shared" ref="N38" si="172">G38/100</f>
        <v>-2.87E-2</v>
      </c>
      <c r="O38" s="2023"/>
      <c r="P38" s="2023">
        <f t="shared" si="123"/>
        <v>-5.1999999999999998E-3</v>
      </c>
      <c r="Q38" s="2902"/>
      <c r="R38" s="2022"/>
      <c r="S38" s="2022">
        <f>ROUND(IF(项目基本情况!$B$8="出让",SUMPRODUCT(PRODUCT(1+L38:L$52)),SUMPRODUCT(PRODUCT(1+L38:L$51))),4)</f>
        <v>1.0364</v>
      </c>
      <c r="T38" s="2022">
        <f>ROUND(IF(项目基本情况!$B$8="出让",SUMPRODUCT(PRODUCT(1+M38:M$52)),SUMPRODUCT(PRODUCT(1+M38:M$51))),4)</f>
        <v>1.0244</v>
      </c>
      <c r="U38" s="2022">
        <f>ROUND(IF(项目基本情况!$B$8="出让",SUMPRODUCT(PRODUCT(1+N38:N$52)),SUMPRODUCT(PRODUCT(1+N38:N$51))),4)</f>
        <v>1.048</v>
      </c>
      <c r="V38" s="2022"/>
      <c r="W38" s="2022">
        <f t="shared" si="124"/>
        <v>1.0244</v>
      </c>
      <c r="X38" s="2902"/>
      <c r="Y38" s="2023"/>
      <c r="Z38" s="2898">
        <f t="shared" ref="Z38:AB39" si="173">IF(E38=0,0,ROUND(AVERAGE(E38:E51)/100,4))</f>
        <v>2.5999999999999999E-3</v>
      </c>
      <c r="AA38" s="2898">
        <f t="shared" si="173"/>
        <v>1.6999999999999999E-3</v>
      </c>
      <c r="AB38" s="2898">
        <f t="shared" si="173"/>
        <v>3.3999999999999998E-3</v>
      </c>
      <c r="AC38" s="2900"/>
      <c r="AD38" s="2023">
        <f t="shared" si="128"/>
        <v>1.6999999999999999E-3</v>
      </c>
      <c r="AG38" s="3148">
        <f t="shared" si="129"/>
        <v>103.64</v>
      </c>
      <c r="AH38" s="3148">
        <f t="shared" si="130"/>
        <v>102.44</v>
      </c>
      <c r="AI38" s="3148">
        <f t="shared" si="131"/>
        <v>104.80000000000001</v>
      </c>
      <c r="AJ38" s="3150"/>
      <c r="AK38" s="3148">
        <f t="shared" si="132"/>
        <v>102.44</v>
      </c>
      <c r="AN38" s="3148">
        <f t="shared" si="148"/>
        <v>102.11483186583598</v>
      </c>
      <c r="AO38" s="3148">
        <f t="shared" si="159"/>
        <v>101.71185320847701</v>
      </c>
      <c r="AP38" s="3148">
        <f t="shared" si="160"/>
        <v>101.4049781407373</v>
      </c>
      <c r="AQ38" s="3148"/>
      <c r="AR38" s="3148">
        <f t="shared" si="161"/>
        <v>101.71185320847701</v>
      </c>
    </row>
    <row r="39" spans="1:44" s="2040" customFormat="1" ht="12.75">
      <c r="A39" s="2901" t="s">
        <v>3366</v>
      </c>
      <c r="B39" s="2026">
        <v>2024</v>
      </c>
      <c r="C39" s="2037">
        <v>2</v>
      </c>
      <c r="D39" s="2002"/>
      <c r="E39" s="2002">
        <v>-0.31</v>
      </c>
      <c r="F39" s="2002">
        <v>-0.39</v>
      </c>
      <c r="G39" s="2002">
        <v>1.23</v>
      </c>
      <c r="H39" s="2913"/>
      <c r="I39" s="2003">
        <f t="shared" ref="I39:I52" si="174">F39</f>
        <v>-0.39</v>
      </c>
      <c r="J39" s="2902"/>
      <c r="K39" s="2038"/>
      <c r="L39" s="2023">
        <f t="shared" ref="L39:N52" si="175">E39/100</f>
        <v>-3.0999999999999999E-3</v>
      </c>
      <c r="M39" s="2023">
        <f t="shared" si="175"/>
        <v>-3.9000000000000003E-3</v>
      </c>
      <c r="N39" s="2023">
        <f t="shared" si="175"/>
        <v>1.23E-2</v>
      </c>
      <c r="O39" s="2023"/>
      <c r="P39" s="2023">
        <f t="shared" si="123"/>
        <v>-3.9000000000000003E-3</v>
      </c>
      <c r="Q39" s="2902"/>
      <c r="R39" s="2022"/>
      <c r="S39" s="2022">
        <f>ROUND(IF(项目基本情况!$B$8="出让",SUMPRODUCT(PRODUCT(1+L39:L$52)),SUMPRODUCT(PRODUCT(1+L39:L$51))),4)</f>
        <v>1.0432999999999999</v>
      </c>
      <c r="T39" s="2022">
        <f>ROUND(IF(项目基本情况!$B$8="出让",SUMPRODUCT(PRODUCT(1+M39:M$52)),SUMPRODUCT(PRODUCT(1+M39:M$51))),4)</f>
        <v>1.0298</v>
      </c>
      <c r="U39" s="2022">
        <f>ROUND(IF(项目基本情况!$B$8="出让",SUMPRODUCT(PRODUCT(1+N39:N$52)),SUMPRODUCT(PRODUCT(1+N39:N$51))),4)</f>
        <v>1.079</v>
      </c>
      <c r="V39" s="2022"/>
      <c r="W39" s="2022">
        <f t="shared" si="124"/>
        <v>1.0298</v>
      </c>
      <c r="X39" s="2902"/>
      <c r="Y39" s="2023"/>
      <c r="Z39" s="2898">
        <f t="shared" si="173"/>
        <v>3.3E-3</v>
      </c>
      <c r="AA39" s="2899">
        <f t="shared" si="173"/>
        <v>2.3999999999999998E-3</v>
      </c>
      <c r="AB39" s="2023">
        <f t="shared" si="173"/>
        <v>6.1999999999999998E-3</v>
      </c>
      <c r="AC39" s="2900"/>
      <c r="AD39" s="2023">
        <f t="shared" si="128"/>
        <v>2.3999999999999998E-3</v>
      </c>
      <c r="AG39" s="3148">
        <f t="shared" si="129"/>
        <v>104.32999999999998</v>
      </c>
      <c r="AH39" s="3148">
        <f t="shared" si="130"/>
        <v>102.98</v>
      </c>
      <c r="AI39" s="3148">
        <f t="shared" si="131"/>
        <v>107.89999999999999</v>
      </c>
      <c r="AJ39" s="3150"/>
      <c r="AK39" s="3148">
        <f t="shared" si="132"/>
        <v>102.98</v>
      </c>
      <c r="AN39" s="3148">
        <f t="shared" si="148"/>
        <v>102.79326743087979</v>
      </c>
      <c r="AO39" s="3148">
        <f t="shared" si="159"/>
        <v>102.24351950992863</v>
      </c>
      <c r="AP39" s="3148">
        <f t="shared" si="160"/>
        <v>104.40129531631555</v>
      </c>
      <c r="AQ39" s="3148"/>
      <c r="AR39" s="3148">
        <f t="shared" si="161"/>
        <v>102.24351950992863</v>
      </c>
    </row>
    <row r="40" spans="1:44" s="2040" customFormat="1" ht="12.75">
      <c r="A40" s="2901" t="s">
        <v>3363</v>
      </c>
      <c r="B40" s="2026">
        <v>2024</v>
      </c>
      <c r="C40" s="2037">
        <v>1</v>
      </c>
      <c r="D40" s="2002"/>
      <c r="E40" s="2002">
        <v>0.25</v>
      </c>
      <c r="F40" s="2002">
        <v>0.4</v>
      </c>
      <c r="G40" s="2002">
        <v>-0.63</v>
      </c>
      <c r="H40" s="2913"/>
      <c r="I40" s="2003">
        <f t="shared" ref="I40:I41" si="176">F40</f>
        <v>0.4</v>
      </c>
      <c r="J40" s="2902"/>
      <c r="K40" s="2038"/>
      <c r="L40" s="2023">
        <f t="shared" ref="L40" si="177">E40/100</f>
        <v>2.5000000000000001E-3</v>
      </c>
      <c r="M40" s="2023">
        <f t="shared" ref="M40" si="178">F40/100</f>
        <v>4.0000000000000001E-3</v>
      </c>
      <c r="N40" s="2023">
        <f t="shared" ref="N40" si="179">G40/100</f>
        <v>-6.3E-3</v>
      </c>
      <c r="O40" s="2023"/>
      <c r="P40" s="2023">
        <f t="shared" ref="P40" si="180">M40</f>
        <v>4.0000000000000001E-3</v>
      </c>
      <c r="Q40" s="2902"/>
      <c r="R40" s="2022"/>
      <c r="S40" s="2022">
        <f>ROUND(IF(项目基本情况!$B$8="出让",SUMPRODUCT(PRODUCT(1+L40:L$52)),SUMPRODUCT(PRODUCT(1+L40:L$51))),4)</f>
        <v>1.0465</v>
      </c>
      <c r="T40" s="2022">
        <f>ROUND(IF(项目基本情况!$B$8="出让",SUMPRODUCT(PRODUCT(1+M40:M$52)),SUMPRODUCT(PRODUCT(1+M40:M$51))),4)</f>
        <v>1.0338000000000001</v>
      </c>
      <c r="U40" s="2022">
        <f>ROUND(IF(项目基本情况!$B$8="出让",SUMPRODUCT(PRODUCT(1+N40:N$52)),SUMPRODUCT(PRODUCT(1+N40:N$51))),4)</f>
        <v>1.0659000000000001</v>
      </c>
      <c r="V40" s="2022"/>
      <c r="W40" s="2022">
        <f t="shared" ref="W40" si="181">T40</f>
        <v>1.0338000000000001</v>
      </c>
      <c r="X40" s="2902"/>
      <c r="Y40" s="2023"/>
      <c r="Z40" s="2898"/>
      <c r="AA40" s="2899"/>
      <c r="AB40" s="2023"/>
      <c r="AC40" s="2900"/>
      <c r="AD40" s="2023"/>
      <c r="AG40" s="3148">
        <f t="shared" si="129"/>
        <v>104.65</v>
      </c>
      <c r="AH40" s="3148">
        <f t="shared" si="130"/>
        <v>103.38000000000001</v>
      </c>
      <c r="AI40" s="3148">
        <f t="shared" si="131"/>
        <v>106.59</v>
      </c>
      <c r="AJ40" s="3150"/>
      <c r="AK40" s="3148">
        <f t="shared" si="132"/>
        <v>103.38000000000001</v>
      </c>
      <c r="AN40" s="3148">
        <f t="shared" si="148"/>
        <v>103.11291747505246</v>
      </c>
      <c r="AO40" s="3148">
        <f t="shared" si="159"/>
        <v>102.64383044867849</v>
      </c>
      <c r="AP40" s="3148">
        <f t="shared" si="160"/>
        <v>103.13276233953923</v>
      </c>
      <c r="AQ40" s="3148"/>
      <c r="AR40" s="3148">
        <f t="shared" si="161"/>
        <v>102.64383044867849</v>
      </c>
    </row>
    <row r="41" spans="1:44" s="2040" customFormat="1" ht="12.75">
      <c r="A41" s="2901" t="s">
        <v>3361</v>
      </c>
      <c r="B41" s="2026">
        <v>2023</v>
      </c>
      <c r="C41" s="2037">
        <v>4</v>
      </c>
      <c r="D41" s="2002"/>
      <c r="E41" s="2002">
        <v>7.0000000000000007E-2</v>
      </c>
      <c r="F41" s="2002">
        <v>0.09</v>
      </c>
      <c r="G41" s="2002">
        <v>0.03</v>
      </c>
      <c r="H41" s="2913"/>
      <c r="I41" s="2003">
        <f t="shared" si="176"/>
        <v>0.09</v>
      </c>
      <c r="J41" s="2902"/>
      <c r="K41" s="2038"/>
      <c r="L41" s="2023">
        <f t="shared" si="175"/>
        <v>7.000000000000001E-4</v>
      </c>
      <c r="M41" s="2023">
        <f t="shared" si="175"/>
        <v>8.9999999999999998E-4</v>
      </c>
      <c r="N41" s="2023">
        <f t="shared" si="175"/>
        <v>2.9999999999999997E-4</v>
      </c>
      <c r="O41" s="2023"/>
      <c r="P41" s="2023">
        <f t="shared" ref="P41" si="182">M41</f>
        <v>8.9999999999999998E-4</v>
      </c>
      <c r="Q41" s="2902"/>
      <c r="R41" s="2022"/>
      <c r="S41" s="2022">
        <f>ROUND(IF(项目基本情况!$B$8="出让",SUMPRODUCT(PRODUCT(1+L41:L$52)),SUMPRODUCT(PRODUCT(1+L41:L$51))),4)</f>
        <v>1.0439000000000001</v>
      </c>
      <c r="T41" s="2022">
        <f>ROUND(IF(项目基本情况!$B$8="出让",SUMPRODUCT(PRODUCT(1+M41:M$52)),SUMPRODUCT(PRODUCT(1+M41:M$51))),4)</f>
        <v>1.0297000000000001</v>
      </c>
      <c r="U41" s="2022">
        <f>ROUND(IF(项目基本情况!$B$8="出让",SUMPRODUCT(PRODUCT(1+N41:N$52)),SUMPRODUCT(PRODUCT(1+N41:N$51))),4)</f>
        <v>1.0727</v>
      </c>
      <c r="V41" s="2022"/>
      <c r="W41" s="2022">
        <f t="shared" ref="W41" si="183">T41</f>
        <v>1.0297000000000001</v>
      </c>
      <c r="X41" s="2902"/>
      <c r="Y41" s="2023"/>
      <c r="Z41" s="2898"/>
      <c r="AA41" s="2899"/>
      <c r="AB41" s="2023"/>
      <c r="AC41" s="2900"/>
      <c r="AD41" s="2023"/>
      <c r="AG41" s="3148">
        <f t="shared" si="129"/>
        <v>104.39</v>
      </c>
      <c r="AH41" s="3148">
        <f t="shared" si="130"/>
        <v>102.97</v>
      </c>
      <c r="AI41" s="3148">
        <f t="shared" si="131"/>
        <v>107.27</v>
      </c>
      <c r="AJ41" s="3150"/>
      <c r="AK41" s="3148">
        <f t="shared" si="132"/>
        <v>102.97</v>
      </c>
      <c r="AN41" s="3148">
        <f t="shared" si="148"/>
        <v>102.85577802997751</v>
      </c>
      <c r="AO41" s="3148">
        <f t="shared" si="159"/>
        <v>102.23489088513793</v>
      </c>
      <c r="AP41" s="3148">
        <f t="shared" si="160"/>
        <v>103.78661803314806</v>
      </c>
      <c r="AQ41" s="3148"/>
      <c r="AR41" s="3148">
        <f t="shared" si="161"/>
        <v>102.23489088513793</v>
      </c>
    </row>
    <row r="42" spans="1:44" s="2040" customFormat="1" ht="12.75">
      <c r="A42" s="2901" t="s">
        <v>3359</v>
      </c>
      <c r="B42" s="2026">
        <v>2023</v>
      </c>
      <c r="C42" s="2037">
        <v>3</v>
      </c>
      <c r="D42" s="2002"/>
      <c r="E42" s="2002">
        <v>0.35</v>
      </c>
      <c r="F42" s="2002">
        <v>0.17</v>
      </c>
      <c r="G42" s="2002">
        <v>0.52</v>
      </c>
      <c r="H42" s="2913"/>
      <c r="I42" s="2003">
        <f t="shared" si="174"/>
        <v>0.17</v>
      </c>
      <c r="J42" s="2902"/>
      <c r="K42" s="2038"/>
      <c r="L42" s="2023">
        <f t="shared" ref="L42:L44" si="184">E42/100</f>
        <v>3.4999999999999996E-3</v>
      </c>
      <c r="M42" s="2023">
        <f t="shared" ref="M42:M44" si="185">F42/100</f>
        <v>1.7000000000000001E-3</v>
      </c>
      <c r="N42" s="2023">
        <f t="shared" ref="N42:N44" si="186">G42/100</f>
        <v>5.1999999999999998E-3</v>
      </c>
      <c r="O42" s="2023"/>
      <c r="P42" s="2023">
        <f t="shared" ref="P42:P44" si="187">M42</f>
        <v>1.7000000000000001E-3</v>
      </c>
      <c r="Q42" s="2902"/>
      <c r="R42" s="2022"/>
      <c r="S42" s="2022">
        <f>ROUND(IF(项目基本情况!$B$8="出让",SUMPRODUCT(PRODUCT(1+L42:L$52)),SUMPRODUCT(PRODUCT(1+L42:L$51))),4)</f>
        <v>1.0431999999999999</v>
      </c>
      <c r="T42" s="2022">
        <f>ROUND(IF(项目基本情况!$B$8="出让",SUMPRODUCT(PRODUCT(1+M42:M$52)),SUMPRODUCT(PRODUCT(1+M42:M$51))),4)</f>
        <v>1.0286999999999999</v>
      </c>
      <c r="U42" s="2022">
        <f>ROUND(IF(项目基本情况!$B$8="出让",SUMPRODUCT(PRODUCT(1+N42:N$52)),SUMPRODUCT(PRODUCT(1+N42:N$51))),4)</f>
        <v>1.0723</v>
      </c>
      <c r="V42" s="2022"/>
      <c r="W42" s="2022">
        <f t="shared" ref="W42:W44" si="188">T42</f>
        <v>1.0286999999999999</v>
      </c>
      <c r="X42" s="2902"/>
      <c r="Y42" s="2023"/>
      <c r="Z42" s="2898"/>
      <c r="AA42" s="2899"/>
      <c r="AB42" s="2023"/>
      <c r="AC42" s="2900"/>
      <c r="AD42" s="2023"/>
      <c r="AG42" s="3148">
        <f t="shared" si="129"/>
        <v>104.32</v>
      </c>
      <c r="AH42" s="3148">
        <f t="shared" si="130"/>
        <v>102.86999999999999</v>
      </c>
      <c r="AI42" s="3148">
        <f t="shared" si="131"/>
        <v>107.23</v>
      </c>
      <c r="AJ42" s="3150"/>
      <c r="AK42" s="3148">
        <f t="shared" si="132"/>
        <v>102.86999999999999</v>
      </c>
      <c r="AN42" s="3148">
        <f t="shared" si="148"/>
        <v>102.78382934943292</v>
      </c>
      <c r="AO42" s="3148">
        <f t="shared" si="159"/>
        <v>102.14296221914071</v>
      </c>
      <c r="AP42" s="3148">
        <f t="shared" si="160"/>
        <v>103.75549138573234</v>
      </c>
      <c r="AQ42" s="3148"/>
      <c r="AR42" s="3148">
        <f t="shared" si="161"/>
        <v>102.14296221914071</v>
      </c>
    </row>
    <row r="43" spans="1:44" s="2040" customFormat="1" ht="12.75">
      <c r="A43" s="2901" t="s">
        <v>3358</v>
      </c>
      <c r="B43" s="2026">
        <v>2023</v>
      </c>
      <c r="C43" s="2037">
        <v>2</v>
      </c>
      <c r="D43" s="2002"/>
      <c r="E43" s="2002">
        <v>0.5</v>
      </c>
      <c r="F43" s="2002">
        <v>0.45</v>
      </c>
      <c r="G43" s="2002">
        <v>0.89</v>
      </c>
      <c r="H43" s="2913"/>
      <c r="I43" s="2003">
        <f t="shared" si="174"/>
        <v>0.45</v>
      </c>
      <c r="J43" s="2902"/>
      <c r="K43" s="2038"/>
      <c r="L43" s="2023">
        <f t="shared" si="184"/>
        <v>5.0000000000000001E-3</v>
      </c>
      <c r="M43" s="2023">
        <f t="shared" si="185"/>
        <v>4.5000000000000005E-3</v>
      </c>
      <c r="N43" s="2023">
        <f t="shared" si="186"/>
        <v>8.8999999999999999E-3</v>
      </c>
      <c r="O43" s="2023"/>
      <c r="P43" s="2023">
        <f t="shared" si="187"/>
        <v>4.5000000000000005E-3</v>
      </c>
      <c r="Q43" s="2902"/>
      <c r="R43" s="2022"/>
      <c r="S43" s="2022">
        <f>ROUND(IF(项目基本情况!$B$8="出让",SUMPRODUCT(PRODUCT(1+L43:L$52)),SUMPRODUCT(PRODUCT(1+L43:L$51))),4)</f>
        <v>1.0396000000000001</v>
      </c>
      <c r="T43" s="2022">
        <f>ROUND(IF(项目基本情况!$B$8="出让",SUMPRODUCT(PRODUCT(1+M43:M$52)),SUMPRODUCT(PRODUCT(1+M43:M$51))),4)</f>
        <v>1.0269999999999999</v>
      </c>
      <c r="U43" s="2022">
        <f>ROUND(IF(项目基本情况!$B$8="出让",SUMPRODUCT(PRODUCT(1+N43:N$52)),SUMPRODUCT(PRODUCT(1+N43:N$51))),4)</f>
        <v>1.0668</v>
      </c>
      <c r="V43" s="2022"/>
      <c r="W43" s="2022">
        <f t="shared" si="188"/>
        <v>1.0269999999999999</v>
      </c>
      <c r="X43" s="2902"/>
      <c r="Y43" s="2023"/>
      <c r="Z43" s="2898"/>
      <c r="AA43" s="2899"/>
      <c r="AB43" s="2023"/>
      <c r="AC43" s="2900"/>
      <c r="AD43" s="2023"/>
      <c r="AG43" s="3148">
        <f t="shared" si="129"/>
        <v>103.96000000000001</v>
      </c>
      <c r="AH43" s="3148">
        <f t="shared" si="130"/>
        <v>102.69999999999999</v>
      </c>
      <c r="AI43" s="3148">
        <f t="shared" si="131"/>
        <v>106.67999999999999</v>
      </c>
      <c r="AJ43" s="3150"/>
      <c r="AK43" s="3148">
        <f t="shared" si="132"/>
        <v>102.69999999999999</v>
      </c>
      <c r="AN43" s="3148">
        <f t="shared" si="148"/>
        <v>102.42534065713295</v>
      </c>
      <c r="AO43" s="3148">
        <f t="shared" si="159"/>
        <v>101.96961387555227</v>
      </c>
      <c r="AP43" s="3148">
        <f t="shared" si="160"/>
        <v>103.21875386563104</v>
      </c>
      <c r="AQ43" s="3148"/>
      <c r="AR43" s="3148">
        <f t="shared" si="161"/>
        <v>101.96961387555227</v>
      </c>
    </row>
    <row r="44" spans="1:44" s="2040" customFormat="1" ht="12.75">
      <c r="A44" s="2901" t="s">
        <v>3356</v>
      </c>
      <c r="B44" s="2026">
        <v>2023</v>
      </c>
      <c r="C44" s="2037">
        <v>1</v>
      </c>
      <c r="D44" s="2002"/>
      <c r="E44" s="2002">
        <v>0.55000000000000004</v>
      </c>
      <c r="F44" s="2002">
        <v>0.59</v>
      </c>
      <c r="G44" s="2002">
        <v>0.64</v>
      </c>
      <c r="H44" s="2913"/>
      <c r="I44" s="2003">
        <f t="shared" si="174"/>
        <v>0.59</v>
      </c>
      <c r="J44" s="2902"/>
      <c r="K44" s="2038"/>
      <c r="L44" s="2023">
        <f t="shared" si="184"/>
        <v>5.5000000000000005E-3</v>
      </c>
      <c r="M44" s="2023">
        <f t="shared" si="185"/>
        <v>5.8999999999999999E-3</v>
      </c>
      <c r="N44" s="2023">
        <f t="shared" si="186"/>
        <v>6.4000000000000003E-3</v>
      </c>
      <c r="O44" s="2023"/>
      <c r="P44" s="2023">
        <f t="shared" si="187"/>
        <v>5.8999999999999999E-3</v>
      </c>
      <c r="Q44" s="2902"/>
      <c r="R44" s="2022"/>
      <c r="S44" s="2022">
        <f>ROUND(IF(项目基本情况!$B$8="出让",SUMPRODUCT(PRODUCT(1+L44:L$52)),SUMPRODUCT(PRODUCT(1+L44:L$51))),4)</f>
        <v>1.0344</v>
      </c>
      <c r="T44" s="2022">
        <f>ROUND(IF(项目基本情况!$B$8="出让",SUMPRODUCT(PRODUCT(1+M44:M$52)),SUMPRODUCT(PRODUCT(1+M44:M$51))),4)</f>
        <v>1.0224</v>
      </c>
      <c r="U44" s="2022">
        <f>ROUND(IF(项目基本情况!$B$8="出让",SUMPRODUCT(PRODUCT(1+N44:N$52)),SUMPRODUCT(PRODUCT(1+N44:N$51))),4)</f>
        <v>1.0573999999999999</v>
      </c>
      <c r="V44" s="2022"/>
      <c r="W44" s="2022">
        <f t="shared" si="188"/>
        <v>1.0224</v>
      </c>
      <c r="X44" s="2902"/>
      <c r="Y44" s="2023"/>
      <c r="Z44" s="2898"/>
      <c r="AA44" s="2899"/>
      <c r="AB44" s="2023"/>
      <c r="AC44" s="2900"/>
      <c r="AD44" s="2023"/>
      <c r="AG44" s="3148">
        <f t="shared" si="129"/>
        <v>103.44</v>
      </c>
      <c r="AH44" s="3148">
        <f t="shared" si="130"/>
        <v>102.24</v>
      </c>
      <c r="AI44" s="3148">
        <f t="shared" si="131"/>
        <v>105.74</v>
      </c>
      <c r="AJ44" s="3150"/>
      <c r="AK44" s="3148">
        <f t="shared" si="132"/>
        <v>102.24</v>
      </c>
      <c r="AN44" s="3148">
        <f t="shared" si="148"/>
        <v>101.91576184789349</v>
      </c>
      <c r="AO44" s="3148">
        <f t="shared" si="159"/>
        <v>101.5128062474388</v>
      </c>
      <c r="AP44" s="3148">
        <f t="shared" si="160"/>
        <v>102.30821078960358</v>
      </c>
      <c r="AQ44" s="3148"/>
      <c r="AR44" s="3148">
        <f t="shared" si="161"/>
        <v>101.5128062474388</v>
      </c>
    </row>
    <row r="45" spans="1:44" s="2040" customFormat="1" ht="12.75">
      <c r="A45" s="2901" t="s">
        <v>3355</v>
      </c>
      <c r="B45" s="2026">
        <v>2022</v>
      </c>
      <c r="C45" s="2037">
        <v>4</v>
      </c>
      <c r="D45" s="2002"/>
      <c r="E45" s="2002">
        <v>0.45</v>
      </c>
      <c r="F45" s="2002">
        <v>0.2</v>
      </c>
      <c r="G45" s="2002">
        <v>0.38</v>
      </c>
      <c r="H45" s="2913"/>
      <c r="I45" s="2003">
        <f t="shared" si="174"/>
        <v>0.2</v>
      </c>
      <c r="J45" s="2902"/>
      <c r="K45" s="2038"/>
      <c r="L45" s="2023">
        <f t="shared" si="175"/>
        <v>4.5000000000000005E-3</v>
      </c>
      <c r="M45" s="2023">
        <f t="shared" si="175"/>
        <v>2E-3</v>
      </c>
      <c r="N45" s="2023">
        <f t="shared" si="175"/>
        <v>3.8E-3</v>
      </c>
      <c r="O45" s="2023"/>
      <c r="P45" s="2023">
        <f t="shared" ref="P45:P52" si="189">M45</f>
        <v>2E-3</v>
      </c>
      <c r="Q45" s="2902"/>
      <c r="R45" s="2022"/>
      <c r="S45" s="2022">
        <f>ROUND(IF(项目基本情况!$B$8="出让",SUMPRODUCT(PRODUCT(1+L45:L$52)),SUMPRODUCT(PRODUCT(1+L45:L$51))),4)</f>
        <v>1.0286999999999999</v>
      </c>
      <c r="T45" s="2022">
        <f>ROUND(IF(项目基本情况!$B$8="出让",SUMPRODUCT(PRODUCT(1+M45:M$52)),SUMPRODUCT(PRODUCT(1+M45:M$51))),4)</f>
        <v>1.0164</v>
      </c>
      <c r="U45" s="2022">
        <f>ROUND(IF(项目基本情况!$B$8="出让",SUMPRODUCT(PRODUCT(1+N45:N$52)),SUMPRODUCT(PRODUCT(1+N45:N$51))),4)</f>
        <v>1.0506</v>
      </c>
      <c r="V45" s="2022"/>
      <c r="W45" s="2022">
        <f t="shared" ref="W45:W52" si="190">T45</f>
        <v>1.0164</v>
      </c>
      <c r="X45" s="2902"/>
      <c r="Y45" s="2023"/>
      <c r="Z45" s="2898">
        <f t="shared" ref="Z45:AD52" si="191">IF(E45=0,0,ROUND(AVERAGE(E45:E53)/100,4))</f>
        <v>4.0000000000000001E-3</v>
      </c>
      <c r="AA45" s="2899">
        <f t="shared" si="191"/>
        <v>2.5999999999999999E-3</v>
      </c>
      <c r="AB45" s="2023">
        <f t="shared" si="191"/>
        <v>7.4000000000000003E-3</v>
      </c>
      <c r="AC45" s="2900"/>
      <c r="AD45" s="2023">
        <f t="shared" si="191"/>
        <v>2.5999999999999999E-3</v>
      </c>
      <c r="AG45" s="3148">
        <f t="shared" si="129"/>
        <v>102.86999999999999</v>
      </c>
      <c r="AH45" s="3148">
        <f t="shared" si="130"/>
        <v>101.64</v>
      </c>
      <c r="AI45" s="3148">
        <f t="shared" si="131"/>
        <v>105.06</v>
      </c>
      <c r="AJ45" s="3150"/>
      <c r="AK45" s="3148">
        <f t="shared" si="132"/>
        <v>101.64</v>
      </c>
      <c r="AN45" s="3148">
        <f t="shared" si="148"/>
        <v>101.35829124604027</v>
      </c>
      <c r="AO45" s="3148">
        <f t="shared" si="159"/>
        <v>100.91739362505101</v>
      </c>
      <c r="AP45" s="3148">
        <f t="shared" si="160"/>
        <v>101.6576021359336</v>
      </c>
      <c r="AQ45" s="3148"/>
      <c r="AR45" s="3148">
        <f t="shared" si="161"/>
        <v>100.91739362505101</v>
      </c>
    </row>
    <row r="46" spans="1:44" s="2040" customFormat="1" ht="12.75">
      <c r="A46" s="2901" t="s">
        <v>3354</v>
      </c>
      <c r="B46" s="2026">
        <v>2022</v>
      </c>
      <c r="C46" s="2037">
        <v>3</v>
      </c>
      <c r="D46" s="2002"/>
      <c r="E46" s="2002">
        <v>0.3</v>
      </c>
      <c r="F46" s="2002">
        <v>0.28999999999999998</v>
      </c>
      <c r="G46" s="2002">
        <v>0.83</v>
      </c>
      <c r="H46" s="2913"/>
      <c r="I46" s="2003">
        <f t="shared" si="174"/>
        <v>0.28999999999999998</v>
      </c>
      <c r="J46" s="2902"/>
      <c r="K46" s="2038"/>
      <c r="L46" s="2023">
        <f t="shared" si="175"/>
        <v>3.0000000000000001E-3</v>
      </c>
      <c r="M46" s="2023">
        <f t="shared" si="175"/>
        <v>2.8999999999999998E-3</v>
      </c>
      <c r="N46" s="2023">
        <f t="shared" si="175"/>
        <v>8.3000000000000001E-3</v>
      </c>
      <c r="O46" s="2023"/>
      <c r="P46" s="2023">
        <f t="shared" si="189"/>
        <v>2.8999999999999998E-3</v>
      </c>
      <c r="Q46" s="2902"/>
      <c r="R46" s="2022"/>
      <c r="S46" s="2022">
        <f>ROUND(IF(项目基本情况!$B$8="出让",SUMPRODUCT(PRODUCT(1+L46:L$52)),SUMPRODUCT(PRODUCT(1+L46:L$51))),4)</f>
        <v>1.0241</v>
      </c>
      <c r="T46" s="2022">
        <f>ROUND(IF(项目基本情况!$B$8="出让",SUMPRODUCT(PRODUCT(1+M46:M$52)),SUMPRODUCT(PRODUCT(1+M46:M$51))),4)</f>
        <v>1.0144</v>
      </c>
      <c r="U46" s="2022">
        <f>ROUND(IF(项目基本情况!$B$8="出让",SUMPRODUCT(PRODUCT(1+N46:N$52)),SUMPRODUCT(PRODUCT(1+N46:N$51))),4)</f>
        <v>1.0467</v>
      </c>
      <c r="V46" s="2022"/>
      <c r="W46" s="2022">
        <f t="shared" si="190"/>
        <v>1.0144</v>
      </c>
      <c r="X46" s="2902"/>
      <c r="Y46" s="2023"/>
      <c r="Z46" s="2898">
        <f t="shared" si="191"/>
        <v>3.8999999999999998E-3</v>
      </c>
      <c r="AA46" s="2899">
        <f t="shared" si="191"/>
        <v>2.7000000000000001E-3</v>
      </c>
      <c r="AB46" s="2023">
        <f t="shared" si="191"/>
        <v>7.9000000000000008E-3</v>
      </c>
      <c r="AC46" s="2900"/>
      <c r="AD46" s="2023">
        <f t="shared" si="191"/>
        <v>2.7000000000000001E-3</v>
      </c>
      <c r="AG46" s="3148">
        <f t="shared" si="129"/>
        <v>102.41</v>
      </c>
      <c r="AH46" s="3148">
        <f t="shared" si="130"/>
        <v>101.44</v>
      </c>
      <c r="AI46" s="3148">
        <f t="shared" si="131"/>
        <v>104.67</v>
      </c>
      <c r="AJ46" s="3150"/>
      <c r="AK46" s="3148">
        <f t="shared" si="132"/>
        <v>101.44</v>
      </c>
      <c r="AN46" s="3148">
        <f t="shared" si="148"/>
        <v>100.90422224593357</v>
      </c>
      <c r="AO46" s="3148">
        <f t="shared" si="159"/>
        <v>100.71596170164771</v>
      </c>
      <c r="AP46" s="3148">
        <f t="shared" si="160"/>
        <v>101.2727656265527</v>
      </c>
      <c r="AQ46" s="3148"/>
      <c r="AR46" s="3148">
        <f t="shared" si="161"/>
        <v>100.71596170164771</v>
      </c>
    </row>
    <row r="47" spans="1:44" s="2040" customFormat="1" ht="12.75">
      <c r="A47" s="2901" t="s">
        <v>3344</v>
      </c>
      <c r="B47" s="2026">
        <v>2022</v>
      </c>
      <c r="C47" s="2037">
        <v>2</v>
      </c>
      <c r="D47" s="2002"/>
      <c r="E47" s="2002">
        <v>-0.11</v>
      </c>
      <c r="F47" s="2002">
        <v>-0.13</v>
      </c>
      <c r="G47" s="2002">
        <v>0.53</v>
      </c>
      <c r="H47" s="2913"/>
      <c r="I47" s="2003">
        <f t="shared" si="174"/>
        <v>-0.13</v>
      </c>
      <c r="J47" s="2902"/>
      <c r="K47" s="2038"/>
      <c r="L47" s="2023">
        <f t="shared" si="175"/>
        <v>-1.1000000000000001E-3</v>
      </c>
      <c r="M47" s="2023">
        <f t="shared" si="175"/>
        <v>-1.2999999999999999E-3</v>
      </c>
      <c r="N47" s="2023">
        <f t="shared" si="175"/>
        <v>5.3E-3</v>
      </c>
      <c r="O47" s="2023"/>
      <c r="P47" s="2023">
        <f t="shared" si="189"/>
        <v>-1.2999999999999999E-3</v>
      </c>
      <c r="Q47" s="2902"/>
      <c r="R47" s="2022"/>
      <c r="S47" s="2022">
        <f>ROUND(IF(项目基本情况!$B$8="出让",SUMPRODUCT(PRODUCT(1+L47:L$52)),SUMPRODUCT(PRODUCT(1+L47:L$51))),4)</f>
        <v>1.0210999999999999</v>
      </c>
      <c r="T47" s="2022">
        <f>ROUND(IF(项目基本情况!$B$8="出让",SUMPRODUCT(PRODUCT(1+M47:M$52)),SUMPRODUCT(PRODUCT(1+M47:M$51))),4)</f>
        <v>1.0114000000000001</v>
      </c>
      <c r="U47" s="2022">
        <f>ROUND(IF(项目基本情况!$B$8="出让",SUMPRODUCT(PRODUCT(1+N47:N$52)),SUMPRODUCT(PRODUCT(1+N47:N$51))),4)</f>
        <v>1.0381</v>
      </c>
      <c r="V47" s="2022"/>
      <c r="W47" s="2022">
        <f t="shared" si="190"/>
        <v>1.0114000000000001</v>
      </c>
      <c r="X47" s="2902"/>
      <c r="Y47" s="2023"/>
      <c r="Z47" s="2898">
        <f t="shared" si="191"/>
        <v>4.1000000000000003E-3</v>
      </c>
      <c r="AA47" s="2899">
        <f t="shared" si="191"/>
        <v>2.7000000000000001E-3</v>
      </c>
      <c r="AB47" s="2023">
        <f t="shared" si="191"/>
        <v>7.9000000000000008E-3</v>
      </c>
      <c r="AC47" s="2900"/>
      <c r="AD47" s="2023">
        <f t="shared" si="191"/>
        <v>2.7000000000000001E-3</v>
      </c>
      <c r="AG47" s="3148">
        <f t="shared" si="129"/>
        <v>102.10999999999999</v>
      </c>
      <c r="AH47" s="3148">
        <f t="shared" si="130"/>
        <v>101.14000000000001</v>
      </c>
      <c r="AI47" s="3148">
        <f t="shared" si="131"/>
        <v>103.81</v>
      </c>
      <c r="AJ47" s="3150"/>
      <c r="AK47" s="3148">
        <f t="shared" si="132"/>
        <v>101.14000000000001</v>
      </c>
      <c r="AN47" s="3148">
        <f t="shared" si="148"/>
        <v>100.60241500093079</v>
      </c>
      <c r="AO47" s="3148">
        <f t="shared" si="159"/>
        <v>100.42472998469212</v>
      </c>
      <c r="AP47" s="3148">
        <f t="shared" si="160"/>
        <v>100.43912092289268</v>
      </c>
      <c r="AQ47" s="3148"/>
      <c r="AR47" s="3148">
        <f t="shared" si="161"/>
        <v>100.42472998469212</v>
      </c>
    </row>
    <row r="48" spans="1:44" s="2040" customFormat="1" ht="12.75">
      <c r="A48" s="2901" t="s">
        <v>2825</v>
      </c>
      <c r="B48" s="2026">
        <v>2022</v>
      </c>
      <c r="C48" s="2037">
        <v>1</v>
      </c>
      <c r="D48" s="2002"/>
      <c r="E48" s="2002">
        <v>0.6</v>
      </c>
      <c r="F48" s="2002">
        <v>0.45</v>
      </c>
      <c r="G48" s="2002">
        <v>0.53</v>
      </c>
      <c r="H48" s="2913"/>
      <c r="I48" s="2003">
        <f t="shared" si="174"/>
        <v>0.45</v>
      </c>
      <c r="J48" s="2902"/>
      <c r="K48" s="2038"/>
      <c r="L48" s="2023">
        <f t="shared" si="175"/>
        <v>6.0000000000000001E-3</v>
      </c>
      <c r="M48" s="2023">
        <f t="shared" si="175"/>
        <v>4.5000000000000005E-3</v>
      </c>
      <c r="N48" s="2023">
        <f t="shared" si="175"/>
        <v>5.3E-3</v>
      </c>
      <c r="O48" s="2023"/>
      <c r="P48" s="2023">
        <f t="shared" si="189"/>
        <v>4.5000000000000005E-3</v>
      </c>
      <c r="Q48" s="2902"/>
      <c r="R48" s="2022"/>
      <c r="S48" s="2022">
        <f>ROUND(IF(项目基本情况!$B$8="出让",SUMPRODUCT(PRODUCT(1+L48:L$52)),SUMPRODUCT(PRODUCT(1+L48:L$51))),4)</f>
        <v>1.0222</v>
      </c>
      <c r="T48" s="2022">
        <f>ROUND(IF(项目基本情况!$B$8="出让",SUMPRODUCT(PRODUCT(1+M48:M$52)),SUMPRODUCT(PRODUCT(1+M48:M$51))),4)</f>
        <v>1.0127999999999999</v>
      </c>
      <c r="U48" s="2022">
        <f>ROUND(IF(项目基本情况!$B$8="出让",SUMPRODUCT(PRODUCT(1+N48:N$52)),SUMPRODUCT(PRODUCT(1+N48:N$51))),4)</f>
        <v>1.0326</v>
      </c>
      <c r="V48" s="2022"/>
      <c r="W48" s="2022">
        <f t="shared" si="190"/>
        <v>1.0127999999999999</v>
      </c>
      <c r="X48" s="2902"/>
      <c r="Y48" s="2023"/>
      <c r="Z48" s="2898">
        <f t="shared" si="191"/>
        <v>5.1000000000000004E-3</v>
      </c>
      <c r="AA48" s="2899">
        <f t="shared" si="191"/>
        <v>3.5000000000000001E-3</v>
      </c>
      <c r="AB48" s="2023">
        <f t="shared" si="191"/>
        <v>8.3999999999999995E-3</v>
      </c>
      <c r="AC48" s="2900"/>
      <c r="AD48" s="2023">
        <f t="shared" si="191"/>
        <v>3.5000000000000001E-3</v>
      </c>
      <c r="AG48" s="3148">
        <f t="shared" si="129"/>
        <v>102.22</v>
      </c>
      <c r="AH48" s="3148">
        <f t="shared" si="130"/>
        <v>101.27999999999999</v>
      </c>
      <c r="AI48" s="3148">
        <f t="shared" si="131"/>
        <v>103.25999999999999</v>
      </c>
      <c r="AJ48" s="3150"/>
      <c r="AK48" s="3148">
        <f t="shared" si="132"/>
        <v>101.27999999999999</v>
      </c>
      <c r="AN48" s="3148">
        <f t="shared" si="148"/>
        <v>100.71319952040324</v>
      </c>
      <c r="AO48" s="3148">
        <f t="shared" si="159"/>
        <v>100.55545207238622</v>
      </c>
      <c r="AP48" s="3148">
        <f t="shared" si="160"/>
        <v>99.90960004266654</v>
      </c>
      <c r="AQ48" s="3148"/>
      <c r="AR48" s="3148">
        <f t="shared" si="161"/>
        <v>100.55545207238622</v>
      </c>
    </row>
    <row r="49" spans="1:44" s="2040" customFormat="1" ht="12.75">
      <c r="A49" s="2901" t="s">
        <v>2826</v>
      </c>
      <c r="B49" s="2026">
        <v>2021</v>
      </c>
      <c r="C49" s="2037">
        <v>4</v>
      </c>
      <c r="D49" s="2002"/>
      <c r="E49" s="2002">
        <v>0.57999999999999996</v>
      </c>
      <c r="F49" s="2002">
        <v>0.08</v>
      </c>
      <c r="G49" s="2002">
        <v>0.68</v>
      </c>
      <c r="H49" s="2913"/>
      <c r="I49" s="2003">
        <f t="shared" si="174"/>
        <v>0.08</v>
      </c>
      <c r="J49" s="2902"/>
      <c r="K49" s="2038"/>
      <c r="L49" s="2023">
        <f t="shared" si="175"/>
        <v>5.7999999999999996E-3</v>
      </c>
      <c r="M49" s="2023">
        <f t="shared" si="175"/>
        <v>8.0000000000000004E-4</v>
      </c>
      <c r="N49" s="2023">
        <f t="shared" si="175"/>
        <v>6.8000000000000005E-3</v>
      </c>
      <c r="O49" s="2023"/>
      <c r="P49" s="2023">
        <f t="shared" si="189"/>
        <v>8.0000000000000004E-4</v>
      </c>
      <c r="Q49" s="2902"/>
      <c r="R49" s="2022"/>
      <c r="S49" s="2022">
        <f>ROUND(IF(项目基本情况!$B$8="出让",SUMPRODUCT(PRODUCT(1+L49:L$52)),SUMPRODUCT(PRODUCT(1+L49:L$51))),4)</f>
        <v>1.0161</v>
      </c>
      <c r="T49" s="2022">
        <f>ROUND(IF(项目基本情况!$B$8="出让",SUMPRODUCT(PRODUCT(1+M49:M$52)),SUMPRODUCT(PRODUCT(1+M49:M$51))),4)</f>
        <v>1.0082</v>
      </c>
      <c r="U49" s="2022">
        <f>ROUND(IF(项目基本情况!$B$8="出让",SUMPRODUCT(PRODUCT(1+N49:N$52)),SUMPRODUCT(PRODUCT(1+N49:N$51))),4)</f>
        <v>1.0270999999999999</v>
      </c>
      <c r="V49" s="2022"/>
      <c r="W49" s="2022">
        <f t="shared" si="190"/>
        <v>1.0082</v>
      </c>
      <c r="X49" s="2902"/>
      <c r="Y49" s="2023"/>
      <c r="Z49" s="2898">
        <f t="shared" si="191"/>
        <v>4.8999999999999998E-3</v>
      </c>
      <c r="AA49" s="2899">
        <f t="shared" si="191"/>
        <v>3.3E-3</v>
      </c>
      <c r="AB49" s="2023">
        <f t="shared" si="191"/>
        <v>9.1999999999999998E-3</v>
      </c>
      <c r="AC49" s="2900"/>
      <c r="AD49" s="2023">
        <f t="shared" si="191"/>
        <v>3.3E-3</v>
      </c>
      <c r="AG49" s="3148">
        <f t="shared" si="129"/>
        <v>101.61</v>
      </c>
      <c r="AH49" s="3148">
        <f t="shared" si="130"/>
        <v>100.82</v>
      </c>
      <c r="AI49" s="3148">
        <f t="shared" si="131"/>
        <v>102.71</v>
      </c>
      <c r="AJ49" s="3150"/>
      <c r="AK49" s="3148">
        <f t="shared" si="132"/>
        <v>100.82</v>
      </c>
      <c r="AN49" s="3148">
        <f t="shared" si="148"/>
        <v>100.11252437415828</v>
      </c>
      <c r="AO49" s="3148">
        <f t="shared" si="159"/>
        <v>100.10497966389867</v>
      </c>
      <c r="AP49" s="3148">
        <f t="shared" si="160"/>
        <v>99.382870827281934</v>
      </c>
      <c r="AQ49" s="3148"/>
      <c r="AR49" s="3148">
        <f t="shared" si="161"/>
        <v>100.10497966389867</v>
      </c>
    </row>
    <row r="50" spans="1:44" s="2040" customFormat="1" ht="12.75">
      <c r="A50" s="2901" t="s">
        <v>2827</v>
      </c>
      <c r="B50" s="2026">
        <v>2021</v>
      </c>
      <c r="C50" s="2037">
        <v>3</v>
      </c>
      <c r="D50" s="2002"/>
      <c r="E50" s="2002">
        <v>0.47</v>
      </c>
      <c r="F50" s="2002">
        <v>0.28000000000000003</v>
      </c>
      <c r="G50" s="2002">
        <v>0.91</v>
      </c>
      <c r="H50" s="2913"/>
      <c r="I50" s="2003">
        <f t="shared" si="174"/>
        <v>0.28000000000000003</v>
      </c>
      <c r="J50" s="2902"/>
      <c r="K50" s="2038"/>
      <c r="L50" s="2023">
        <f t="shared" si="175"/>
        <v>4.6999999999999993E-3</v>
      </c>
      <c r="M50" s="2023">
        <f t="shared" si="175"/>
        <v>2.8000000000000004E-3</v>
      </c>
      <c r="N50" s="2023">
        <f t="shared" si="175"/>
        <v>9.1000000000000004E-3</v>
      </c>
      <c r="O50" s="2023"/>
      <c r="P50" s="2023">
        <f t="shared" si="189"/>
        <v>2.8000000000000004E-3</v>
      </c>
      <c r="Q50" s="2902"/>
      <c r="R50" s="2022"/>
      <c r="S50" s="2022">
        <f>ROUND(IF(项目基本情况!$B$8="出让",SUMPRODUCT(PRODUCT(1+L50:L$52)),SUMPRODUCT(PRODUCT(1+L50:L$51))),4)</f>
        <v>1.0102</v>
      </c>
      <c r="T50" s="2022">
        <f>ROUND(IF(项目基本情况!$B$8="出让",SUMPRODUCT(PRODUCT(1+M50:M$52)),SUMPRODUCT(PRODUCT(1+M50:M$51))),4)</f>
        <v>1.0074000000000001</v>
      </c>
      <c r="U50" s="2022">
        <f>ROUND(IF(项目基本情况!$B$8="出让",SUMPRODUCT(PRODUCT(1+N50:N$52)),SUMPRODUCT(PRODUCT(1+N50:N$51))),4)</f>
        <v>1.0202</v>
      </c>
      <c r="V50" s="2022"/>
      <c r="W50" s="2022">
        <f t="shared" si="190"/>
        <v>1.0074000000000001</v>
      </c>
      <c r="X50" s="2902"/>
      <c r="Y50" s="2023"/>
      <c r="Z50" s="2898">
        <f t="shared" si="191"/>
        <v>4.5999999999999999E-3</v>
      </c>
      <c r="AA50" s="2899">
        <f t="shared" si="191"/>
        <v>4.1000000000000003E-3</v>
      </c>
      <c r="AB50" s="2023">
        <f t="shared" si="191"/>
        <v>0.01</v>
      </c>
      <c r="AC50" s="2900"/>
      <c r="AD50" s="2023">
        <f t="shared" si="191"/>
        <v>4.1000000000000003E-3</v>
      </c>
      <c r="AG50" s="3148">
        <f t="shared" si="129"/>
        <v>101.02</v>
      </c>
      <c r="AH50" s="3148">
        <f t="shared" si="130"/>
        <v>100.74000000000001</v>
      </c>
      <c r="AI50" s="3148">
        <f t="shared" si="131"/>
        <v>102.02</v>
      </c>
      <c r="AJ50" s="3150"/>
      <c r="AK50" s="3148">
        <f t="shared" si="132"/>
        <v>100.74000000000001</v>
      </c>
      <c r="AN50" s="3148">
        <f t="shared" si="148"/>
        <v>99.535220097592244</v>
      </c>
      <c r="AO50" s="3148">
        <f t="shared" si="159"/>
        <v>100.02495969614176</v>
      </c>
      <c r="AP50" s="3148">
        <f t="shared" si="160"/>
        <v>98.711631731507694</v>
      </c>
      <c r="AQ50" s="3148"/>
      <c r="AR50" s="3148">
        <f t="shared" si="161"/>
        <v>100.02495969614176</v>
      </c>
    </row>
    <row r="51" spans="1:44" s="2040" customFormat="1" ht="12.75">
      <c r="A51" s="2901" t="s">
        <v>2828</v>
      </c>
      <c r="B51" s="2026">
        <v>2021</v>
      </c>
      <c r="C51" s="2037">
        <v>2</v>
      </c>
      <c r="D51" s="2002"/>
      <c r="E51" s="2002">
        <v>0.55000000000000004</v>
      </c>
      <c r="F51" s="2002">
        <v>0.46</v>
      </c>
      <c r="G51" s="2002">
        <v>1.1000000000000001</v>
      </c>
      <c r="H51" s="2913"/>
      <c r="I51" s="2003">
        <f t="shared" si="174"/>
        <v>0.46</v>
      </c>
      <c r="J51" s="2902"/>
      <c r="K51" s="2038"/>
      <c r="L51" s="2023">
        <f t="shared" si="175"/>
        <v>5.5000000000000005E-3</v>
      </c>
      <c r="M51" s="2023">
        <f t="shared" si="175"/>
        <v>4.5999999999999999E-3</v>
      </c>
      <c r="N51" s="2023">
        <f t="shared" si="175"/>
        <v>1.1000000000000001E-2</v>
      </c>
      <c r="O51" s="2023"/>
      <c r="P51" s="2023">
        <f t="shared" si="189"/>
        <v>4.5999999999999999E-3</v>
      </c>
      <c r="Q51" s="2902"/>
      <c r="R51" s="2022"/>
      <c r="S51" s="2022">
        <f>ROUND(IF(项目基本情况!$B$8="出让",SUMPRODUCT(PRODUCT(1+L51:L$52)),SUMPRODUCT(PRODUCT(1+L51:L$51))),4)</f>
        <v>1.0055000000000001</v>
      </c>
      <c r="T51" s="2022">
        <f>ROUND(IF(项目基本情况!$B$8="出让",SUMPRODUCT(PRODUCT(1+M51:M$52)),SUMPRODUCT(PRODUCT(1+M51:M$51))),4)</f>
        <v>1.0045999999999999</v>
      </c>
      <c r="U51" s="2022">
        <f>ROUND(IF(项目基本情况!$B$8="出让",SUMPRODUCT(PRODUCT(1+N51:N$52)),SUMPRODUCT(PRODUCT(1+N51:N$51))),4)</f>
        <v>1.0109999999999999</v>
      </c>
      <c r="V51" s="2022"/>
      <c r="W51" s="2022">
        <f t="shared" si="190"/>
        <v>1.0045999999999999</v>
      </c>
      <c r="X51" s="2902"/>
      <c r="Y51" s="2023"/>
      <c r="Z51" s="2898">
        <f t="shared" si="191"/>
        <v>4.4999999999999997E-3</v>
      </c>
      <c r="AA51" s="2899">
        <f t="shared" si="191"/>
        <v>4.7000000000000002E-3</v>
      </c>
      <c r="AB51" s="2023">
        <f t="shared" si="191"/>
        <v>1.04E-2</v>
      </c>
      <c r="AC51" s="2900"/>
      <c r="AD51" s="2023">
        <f t="shared" si="191"/>
        <v>4.7000000000000002E-3</v>
      </c>
      <c r="AG51" s="3148">
        <f>$AG$52*S51</f>
        <v>100.55000000000001</v>
      </c>
      <c r="AH51" s="3148">
        <f t="shared" ref="AH51:AK51" si="192">$AG$52*T51</f>
        <v>100.46</v>
      </c>
      <c r="AI51" s="3148">
        <f t="shared" si="192"/>
        <v>101.1</v>
      </c>
      <c r="AJ51" s="3150"/>
      <c r="AK51" s="3148">
        <f t="shared" si="192"/>
        <v>100.46</v>
      </c>
      <c r="AN51" s="3148">
        <f t="shared" si="148"/>
        <v>99.069593010443171</v>
      </c>
      <c r="AO51" s="3148">
        <f t="shared" si="159"/>
        <v>99.745671815059609</v>
      </c>
      <c r="AP51" s="3148">
        <f t="shared" si="160"/>
        <v>97.821456477561867</v>
      </c>
      <c r="AQ51" s="3148"/>
      <c r="AR51" s="3148">
        <f t="shared" si="161"/>
        <v>99.745671815059609</v>
      </c>
    </row>
    <row r="52" spans="1:44" s="2924" customFormat="1" ht="14.25" thickBot="1">
      <c r="A52" s="2914" t="s">
        <v>2814</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2">
        <v>100</v>
      </c>
      <c r="AH52" s="3152">
        <v>100</v>
      </c>
      <c r="AI52" s="3152">
        <v>100</v>
      </c>
      <c r="AJ52" s="3152"/>
      <c r="AK52" s="3152">
        <v>100</v>
      </c>
      <c r="AN52" s="3155">
        <f t="shared" si="148"/>
        <v>98.527690711529758</v>
      </c>
      <c r="AO52" s="3155">
        <f t="shared" si="159"/>
        <v>99.288942678737428</v>
      </c>
      <c r="AP52" s="3155">
        <f t="shared" si="160"/>
        <v>96.757128068805017</v>
      </c>
      <c r="AQ52" s="3155"/>
      <c r="AR52" s="3155">
        <f t="shared" si="161"/>
        <v>99.288942678737428</v>
      </c>
    </row>
    <row r="53" spans="1:44" ht="14.25" thickTop="1"/>
    <row r="54" spans="1:44">
      <c r="A54" s="3138"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H123"/>
  <sheetViews>
    <sheetView zoomScale="80" zoomScaleNormal="80" workbookViewId="0">
      <selection activeCell="Q80" sqref="Q80"/>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91" t="s">
        <v>452</v>
      </c>
      <c r="C1" s="3591"/>
      <c r="D1" s="3591"/>
      <c r="E1" s="3591"/>
      <c r="F1" s="3591"/>
      <c r="G1" s="3587" t="s">
        <v>453</v>
      </c>
      <c r="H1" s="3587"/>
      <c r="I1" s="3587"/>
      <c r="J1" s="3587"/>
      <c r="K1" s="3587"/>
      <c r="L1" s="3587"/>
      <c r="N1" s="3587" t="s">
        <v>454</v>
      </c>
      <c r="O1" s="3587"/>
      <c r="P1" s="3587"/>
      <c r="Q1" s="3587"/>
      <c r="S1" s="3587" t="s">
        <v>455</v>
      </c>
      <c r="T1" s="3587"/>
      <c r="U1" s="3587"/>
      <c r="V1" s="3587"/>
      <c r="X1" s="3586" t="s">
        <v>456</v>
      </c>
      <c r="Y1" s="3587"/>
      <c r="Z1" s="3587"/>
      <c r="AA1" s="3587"/>
      <c r="AB1" s="3587"/>
      <c r="AD1" s="3586" t="s">
        <v>457</v>
      </c>
      <c r="AE1" s="3587"/>
      <c r="AF1" s="3587"/>
      <c r="AG1" s="3587"/>
      <c r="AH1" s="3587"/>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2113</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3352</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3349</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2114</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3350</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3351</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2426</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2303</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2302</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2301</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2298</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2297</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2129</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2127</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2126</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2125</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2123</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2122</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2124</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589">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2120</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589"/>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2119</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589"/>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2112</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96"/>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2110</v>
      </c>
      <c r="B25" s="2044">
        <v>439</v>
      </c>
      <c r="C25" s="2044">
        <v>327</v>
      </c>
      <c r="D25" s="2044">
        <f>C25</f>
        <v>327</v>
      </c>
      <c r="E25" s="2044">
        <v>627</v>
      </c>
      <c r="F25" s="2045">
        <v>283</v>
      </c>
      <c r="G25" s="3592">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2111</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589"/>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677</v>
      </c>
      <c r="B27" s="2036">
        <f t="shared" si="232"/>
        <v>419.31181600000002</v>
      </c>
      <c r="C27" s="2036">
        <f t="shared" si="233"/>
        <v>313.95436800000004</v>
      </c>
      <c r="D27" s="2036">
        <f t="shared" si="234"/>
        <v>313.95436800000004</v>
      </c>
      <c r="E27" s="2036">
        <f t="shared" si="235"/>
        <v>596.63028431999999</v>
      </c>
      <c r="F27" s="2036">
        <f t="shared" si="236"/>
        <v>274.74220703999998</v>
      </c>
      <c r="G27" s="3589"/>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96"/>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592">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589"/>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589"/>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590"/>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588">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589"/>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589"/>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590"/>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588">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589"/>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589"/>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590"/>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593">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94"/>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94"/>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95"/>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588">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589"/>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589"/>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590"/>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588">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589">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589">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590">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588">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589">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589">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590">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588">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589">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589">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590">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588">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589">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589">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590">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588">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589">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589">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590">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588">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589">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589">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590">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588">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589">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589">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590">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588">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589">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589">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590">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588">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589">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589">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590">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588">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589">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589">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590">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384"/>
  <sheetViews>
    <sheetView zoomScale="80" zoomScaleNormal="80" workbookViewId="0">
      <selection activeCell="Q80" sqref="Q80"/>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99" t="s">
        <v>2829</v>
      </c>
      <c r="B1" s="3599"/>
      <c r="C1" s="3599"/>
      <c r="D1" s="3599"/>
      <c r="E1" s="3599"/>
      <c r="F1" s="3599"/>
      <c r="G1" s="3600"/>
      <c r="I1" s="2934" t="s">
        <v>2830</v>
      </c>
      <c r="J1" s="2935" t="s">
        <v>2831</v>
      </c>
      <c r="K1" s="2935" t="s">
        <v>2832</v>
      </c>
      <c r="L1" s="2935" t="s">
        <v>2833</v>
      </c>
      <c r="M1" s="2935" t="s">
        <v>2834</v>
      </c>
      <c r="N1" s="2935" t="s">
        <v>2835</v>
      </c>
      <c r="O1" s="2935" t="s">
        <v>2836</v>
      </c>
      <c r="P1" s="2935" t="s">
        <v>2837</v>
      </c>
      <c r="Q1" s="2935" t="s">
        <v>2838</v>
      </c>
      <c r="R1" s="2935" t="s">
        <v>2839</v>
      </c>
      <c r="S1" s="2935" t="s">
        <v>2840</v>
      </c>
      <c r="T1" s="2936" t="s">
        <v>2841</v>
      </c>
    </row>
    <row r="2" spans="1:20" ht="12" thickBot="1">
      <c r="A2" s="2937" t="s">
        <v>2842</v>
      </c>
      <c r="B2" s="2937"/>
      <c r="C2" s="2937"/>
      <c r="D2" s="2937"/>
      <c r="E2" s="2937"/>
      <c r="F2" s="2937"/>
      <c r="G2" s="2938" t="s">
        <v>2843</v>
      </c>
      <c r="I2" s="2939" t="s">
        <v>2844</v>
      </c>
      <c r="J2" s="2939" t="s">
        <v>2845</v>
      </c>
      <c r="K2" s="2939" t="s">
        <v>2846</v>
      </c>
      <c r="L2" s="2939" t="s">
        <v>2847</v>
      </c>
      <c r="M2" s="2939" t="s">
        <v>2848</v>
      </c>
      <c r="N2" s="2939" t="s">
        <v>2849</v>
      </c>
      <c r="O2" s="2939" t="s">
        <v>2850</v>
      </c>
      <c r="P2" s="2939" t="s">
        <v>2851</v>
      </c>
      <c r="Q2" s="2939" t="s">
        <v>2852</v>
      </c>
      <c r="R2" s="2939" t="s">
        <v>2853</v>
      </c>
      <c r="S2" s="2939" t="s">
        <v>2854</v>
      </c>
      <c r="T2" s="2939" t="s">
        <v>2855</v>
      </c>
    </row>
    <row r="3" spans="1:20" s="2945" customFormat="1">
      <c r="A3" s="3597" t="s">
        <v>2856</v>
      </c>
      <c r="B3" s="2940"/>
      <c r="C3" s="2941" t="s">
        <v>2801</v>
      </c>
      <c r="D3" s="2941" t="s">
        <v>2857</v>
      </c>
      <c r="E3" s="2941" t="s">
        <v>2803</v>
      </c>
      <c r="F3" s="2941" t="s">
        <v>2858</v>
      </c>
      <c r="G3" s="2941" t="s">
        <v>2621</v>
      </c>
      <c r="H3" s="2942"/>
      <c r="I3" s="2943" t="s">
        <v>2859</v>
      </c>
      <c r="J3" s="2944" t="s">
        <v>128</v>
      </c>
      <c r="K3" s="2944" t="s">
        <v>129</v>
      </c>
      <c r="L3" s="2943" t="s">
        <v>130</v>
      </c>
      <c r="M3" s="2943" t="s">
        <v>131</v>
      </c>
      <c r="N3" s="2943" t="s">
        <v>132</v>
      </c>
      <c r="O3" s="2943" t="s">
        <v>133</v>
      </c>
      <c r="P3" s="2943" t="s">
        <v>134</v>
      </c>
      <c r="Q3" s="2943" t="s">
        <v>135</v>
      </c>
      <c r="R3" s="2943" t="s">
        <v>136</v>
      </c>
      <c r="S3" s="2943" t="s">
        <v>2860</v>
      </c>
      <c r="T3" s="2943" t="s">
        <v>2861</v>
      </c>
    </row>
    <row r="4" spans="1:20" s="2945" customFormat="1" ht="12" thickBot="1">
      <c r="A4" s="3598"/>
      <c r="B4" s="2946" t="s">
        <v>2862</v>
      </c>
      <c r="C4" s="2946" t="s">
        <v>2863</v>
      </c>
      <c r="D4" s="2946" t="s">
        <v>2863</v>
      </c>
      <c r="E4" s="2946" t="s">
        <v>2863</v>
      </c>
      <c r="F4" s="2947" t="s">
        <v>2863</v>
      </c>
      <c r="G4" s="2947" t="s">
        <v>2863</v>
      </c>
      <c r="H4" s="2942"/>
      <c r="I4" s="2944" t="s">
        <v>137</v>
      </c>
      <c r="J4" s="2944" t="s">
        <v>111</v>
      </c>
      <c r="K4" s="2944" t="s">
        <v>138</v>
      </c>
      <c r="L4" s="2943" t="s">
        <v>139</v>
      </c>
      <c r="M4" s="2943" t="s">
        <v>140</v>
      </c>
      <c r="N4" s="2943" t="s">
        <v>141</v>
      </c>
      <c r="O4" s="2943" t="s">
        <v>142</v>
      </c>
      <c r="P4" s="2943" t="s">
        <v>143</v>
      </c>
      <c r="Q4" s="2943" t="s">
        <v>2864</v>
      </c>
      <c r="R4" s="2943" t="s">
        <v>2865</v>
      </c>
      <c r="S4" s="2943" t="s">
        <v>2866</v>
      </c>
      <c r="T4" s="2943" t="s">
        <v>2867</v>
      </c>
    </row>
    <row r="5" spans="1:20">
      <c r="A5" s="2948" t="s">
        <v>2830</v>
      </c>
      <c r="B5" s="2939" t="s">
        <v>2844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2868</v>
      </c>
      <c r="R5" s="2943" t="s">
        <v>2869</v>
      </c>
      <c r="S5" s="2943" t="s">
        <v>153</v>
      </c>
      <c r="T5" s="2943" t="s">
        <v>2870</v>
      </c>
    </row>
    <row r="6" spans="1:20" ht="12" thickBot="1">
      <c r="A6" s="2943" t="s">
        <v>144</v>
      </c>
      <c r="B6" s="2943" t="s">
        <v>2859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2871</v>
      </c>
      <c r="Q6" s="2943" t="s">
        <v>2872</v>
      </c>
      <c r="R6" s="2943" t="s">
        <v>161</v>
      </c>
      <c r="S6" s="2943" t="s">
        <v>2873</v>
      </c>
      <c r="T6" s="2943" t="s">
        <v>2874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2875</v>
      </c>
      <c r="Q7" s="2943" t="s">
        <v>2876</v>
      </c>
      <c r="R7" s="2943" t="s">
        <v>2877</v>
      </c>
      <c r="S7" s="2943" t="s">
        <v>2878</v>
      </c>
      <c r="T7" s="2943" t="s">
        <v>2879</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2880</v>
      </c>
      <c r="Q8" s="2943" t="s">
        <v>174</v>
      </c>
      <c r="R8" s="2943" t="s">
        <v>2881</v>
      </c>
      <c r="S8" s="2943" t="s">
        <v>2882</v>
      </c>
      <c r="T8" s="2950" t="s">
        <v>2883</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2884</v>
      </c>
      <c r="Q9" s="2943" t="s">
        <v>182</v>
      </c>
      <c r="R9" s="2943" t="s">
        <v>183</v>
      </c>
      <c r="S9" s="2943" t="s">
        <v>200</v>
      </c>
    </row>
    <row r="10" spans="1:20">
      <c r="A10" s="2948" t="s">
        <v>184</v>
      </c>
      <c r="B10" s="2939" t="s">
        <v>2845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2886</v>
      </c>
      <c r="P11" s="2943" t="s">
        <v>191</v>
      </c>
      <c r="Q11" s="2943" t="s">
        <v>199</v>
      </c>
      <c r="R11" s="2943" t="s">
        <v>2887</v>
      </c>
      <c r="S11" s="2943" t="s">
        <v>2888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2889</v>
      </c>
      <c r="P12" s="2943" t="s">
        <v>2890</v>
      </c>
      <c r="Q12" s="2943" t="s">
        <v>2891</v>
      </c>
      <c r="R12" s="2943" t="s">
        <v>2892</v>
      </c>
      <c r="S12" s="2943" t="s">
        <v>2893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2895</v>
      </c>
      <c r="K14" s="2944" t="s">
        <v>215</v>
      </c>
      <c r="L14" s="2943" t="s">
        <v>216</v>
      </c>
      <c r="M14" s="2943" t="s">
        <v>217</v>
      </c>
      <c r="N14" s="2943" t="s">
        <v>218</v>
      </c>
      <c r="O14" s="2943" t="s">
        <v>240</v>
      </c>
      <c r="P14" s="2943" t="s">
        <v>213</v>
      </c>
      <c r="Q14" s="2943" t="s">
        <v>2896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2897</v>
      </c>
      <c r="P15" s="2943" t="s">
        <v>2898</v>
      </c>
      <c r="Q15" s="2943" t="s">
        <v>242</v>
      </c>
      <c r="R15" s="2943" t="s">
        <v>2899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2900</v>
      </c>
      <c r="P16" s="2943" t="s">
        <v>227</v>
      </c>
      <c r="Q16" s="2943" t="s">
        <v>250</v>
      </c>
      <c r="R16" s="2943" t="s">
        <v>207</v>
      </c>
      <c r="S16" s="2943" t="s">
        <v>2901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2902</v>
      </c>
      <c r="P17" s="2943" t="s">
        <v>2903</v>
      </c>
      <c r="Q17" s="2943" t="s">
        <v>256</v>
      </c>
      <c r="R17" s="2943" t="s">
        <v>2904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2905</v>
      </c>
      <c r="P18" s="2943" t="s">
        <v>241</v>
      </c>
      <c r="Q18" s="2943" t="s">
        <v>2906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2907</v>
      </c>
      <c r="P19" s="2943" t="s">
        <v>249</v>
      </c>
      <c r="Q19" s="2943" t="s">
        <v>2908</v>
      </c>
      <c r="R19" s="2943" t="s">
        <v>265</v>
      </c>
      <c r="S19" s="2943" t="s">
        <v>2909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2910</v>
      </c>
      <c r="P20" s="2943" t="s">
        <v>2911</v>
      </c>
      <c r="Q20" s="2943" t="s">
        <v>290</v>
      </c>
      <c r="R20" s="2943" t="s">
        <v>2912</v>
      </c>
      <c r="S20" s="2943" t="s">
        <v>277</v>
      </c>
    </row>
    <row r="21" spans="1:19" ht="14.25" customHeight="1" thickBot="1">
      <c r="A21" s="2943" t="s">
        <v>184</v>
      </c>
      <c r="B21" s="2944" t="s">
        <v>208</v>
      </c>
      <c r="C21" s="2943">
        <v>32370</v>
      </c>
      <c r="D21" s="2943">
        <v>26730</v>
      </c>
      <c r="E21" s="2943">
        <v>26640</v>
      </c>
      <c r="F21" s="2943"/>
      <c r="G21" s="2943">
        <v>19440</v>
      </c>
      <c r="J21" s="2950" t="s">
        <v>2913</v>
      </c>
      <c r="K21" s="2944" t="s">
        <v>267</v>
      </c>
      <c r="L21" s="2943" t="s">
        <v>268</v>
      </c>
      <c r="M21" s="2943" t="s">
        <v>269</v>
      </c>
      <c r="N21" s="2943" t="s">
        <v>270</v>
      </c>
      <c r="O21" s="2943" t="s">
        <v>264</v>
      </c>
      <c r="P21" s="2943" t="s">
        <v>283</v>
      </c>
      <c r="Q21" s="2943" t="s">
        <v>293</v>
      </c>
      <c r="R21" s="2943" t="s">
        <v>2914</v>
      </c>
      <c r="S21" s="2950" t="s">
        <v>2915</v>
      </c>
    </row>
    <row r="22" spans="1:19" ht="14.25" customHeight="1">
      <c r="A22" s="2943" t="s">
        <v>184</v>
      </c>
      <c r="B22" s="2944" t="s">
        <v>2895</v>
      </c>
      <c r="C22" s="2943">
        <v>29830</v>
      </c>
      <c r="D22" s="2943">
        <v>27600</v>
      </c>
      <c r="E22" s="2943">
        <v>28150</v>
      </c>
      <c r="F22" s="2943"/>
      <c r="G22" s="2943">
        <v>20080</v>
      </c>
      <c r="K22" s="2944" t="s">
        <v>2916</v>
      </c>
      <c r="L22" s="2943" t="s">
        <v>272</v>
      </c>
      <c r="M22" s="2943" t="s">
        <v>273</v>
      </c>
      <c r="N22" s="2943" t="s">
        <v>274</v>
      </c>
      <c r="O22" s="2943" t="s">
        <v>2917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2918</v>
      </c>
      <c r="L23" s="2943" t="s">
        <v>278</v>
      </c>
      <c r="M23" s="2943" t="s">
        <v>279</v>
      </c>
      <c r="N23" s="2943" t="s">
        <v>2919</v>
      </c>
      <c r="O23" s="2943" t="s">
        <v>2920</v>
      </c>
      <c r="P23" s="2943" t="s">
        <v>289</v>
      </c>
      <c r="Q23" s="2943" t="s">
        <v>298</v>
      </c>
      <c r="R23" s="2943" t="s">
        <v>2921</v>
      </c>
    </row>
    <row r="24" spans="1:19" ht="14.25" customHeight="1">
      <c r="A24" s="2943" t="s">
        <v>184</v>
      </c>
      <c r="B24" s="2944" t="s">
        <v>230</v>
      </c>
      <c r="C24" s="2943">
        <v>27930</v>
      </c>
      <c r="D24" s="2943">
        <v>32260</v>
      </c>
      <c r="E24" s="2943">
        <v>32120</v>
      </c>
      <c r="F24" s="2943"/>
      <c r="G24" s="2943">
        <v>23470</v>
      </c>
      <c r="K24" s="2944" t="s">
        <v>2922</v>
      </c>
      <c r="L24" s="2943" t="s">
        <v>281</v>
      </c>
      <c r="M24" s="2943" t="s">
        <v>282</v>
      </c>
      <c r="N24" s="2943" t="s">
        <v>2923</v>
      </c>
      <c r="O24" s="2943" t="s">
        <v>285</v>
      </c>
      <c r="P24" s="2943" t="s">
        <v>2924</v>
      </c>
      <c r="Q24" s="2952" t="s">
        <v>2925</v>
      </c>
      <c r="R24" s="2943" t="s">
        <v>2926</v>
      </c>
    </row>
    <row r="25" spans="1:19" ht="14.25" customHeight="1">
      <c r="A25" s="2943" t="s">
        <v>184</v>
      </c>
      <c r="B25" s="2944" t="s">
        <v>235</v>
      </c>
      <c r="C25" s="2943">
        <v>32230</v>
      </c>
      <c r="D25" s="2943">
        <v>29640</v>
      </c>
      <c r="E25" s="2943">
        <v>29510</v>
      </c>
      <c r="F25" s="2943"/>
      <c r="G25" s="2943">
        <v>21560</v>
      </c>
      <c r="K25" s="2944" t="s">
        <v>2927</v>
      </c>
      <c r="L25" s="2943" t="s">
        <v>2928</v>
      </c>
      <c r="M25" s="2943" t="s">
        <v>284</v>
      </c>
      <c r="N25" s="2943" t="s">
        <v>292</v>
      </c>
      <c r="O25" s="2943" t="s">
        <v>288</v>
      </c>
      <c r="P25" s="2943" t="s">
        <v>275</v>
      </c>
      <c r="Q25" s="2952" t="s">
        <v>271</v>
      </c>
      <c r="R25" s="2943" t="s">
        <v>2929</v>
      </c>
    </row>
    <row r="26" spans="1:19" ht="14.25" customHeight="1" thickBot="1">
      <c r="A26" s="2943" t="s">
        <v>184</v>
      </c>
      <c r="B26" s="2944" t="s">
        <v>244</v>
      </c>
      <c r="C26" s="2943">
        <v>31690</v>
      </c>
      <c r="D26" s="2943">
        <v>27650</v>
      </c>
      <c r="E26" s="2943">
        <v>28200</v>
      </c>
      <c r="F26" s="2943"/>
      <c r="G26" s="2943">
        <v>20110</v>
      </c>
      <c r="K26" s="2949" t="s">
        <v>2930</v>
      </c>
      <c r="L26" s="2943" t="s">
        <v>2931</v>
      </c>
      <c r="M26" s="2943" t="s">
        <v>287</v>
      </c>
      <c r="N26" s="2943" t="s">
        <v>294</v>
      </c>
      <c r="O26" s="2943" t="s">
        <v>2932</v>
      </c>
      <c r="P26" s="2943" t="s">
        <v>2933</v>
      </c>
      <c r="Q26" s="2952" t="s">
        <v>276</v>
      </c>
      <c r="R26" s="2943" t="s">
        <v>2934</v>
      </c>
    </row>
    <row r="27" spans="1:19" ht="14.25" customHeight="1">
      <c r="A27" s="2943" t="s">
        <v>184</v>
      </c>
      <c r="B27" s="2944" t="s">
        <v>251</v>
      </c>
      <c r="C27" s="2943">
        <v>29610</v>
      </c>
      <c r="D27" s="2943">
        <v>27770</v>
      </c>
      <c r="E27" s="2943">
        <v>28300</v>
      </c>
      <c r="F27" s="2943"/>
      <c r="G27" s="2943">
        <v>20210</v>
      </c>
      <c r="L27" s="2943" t="s">
        <v>2935</v>
      </c>
      <c r="M27" s="2943" t="s">
        <v>291</v>
      </c>
      <c r="N27" s="2943" t="s">
        <v>297</v>
      </c>
      <c r="O27" s="2943" t="s">
        <v>2936</v>
      </c>
      <c r="P27" s="2943" t="s">
        <v>2937</v>
      </c>
      <c r="Q27" s="2943" t="s">
        <v>2938</v>
      </c>
      <c r="R27" s="2943" t="s">
        <v>2939</v>
      </c>
    </row>
    <row r="28" spans="1:19" ht="14.25" customHeight="1">
      <c r="A28" s="2943" t="s">
        <v>184</v>
      </c>
      <c r="B28" s="2944" t="s">
        <v>259</v>
      </c>
      <c r="C28" s="2943"/>
      <c r="D28" s="2943">
        <v>31520</v>
      </c>
      <c r="E28" s="2943">
        <v>31410</v>
      </c>
      <c r="F28" s="2943"/>
      <c r="G28" s="2943">
        <v>22940</v>
      </c>
      <c r="L28" s="2943" t="s">
        <v>2940</v>
      </c>
      <c r="M28" s="2943" t="s">
        <v>2941</v>
      </c>
      <c r="N28" s="2943" t="s">
        <v>2942</v>
      </c>
      <c r="O28" s="2943" t="s">
        <v>2943</v>
      </c>
      <c r="P28" s="2943" t="s">
        <v>2944</v>
      </c>
      <c r="Q28" s="2943" t="s">
        <v>2945</v>
      </c>
      <c r="R28" s="2943" t="s">
        <v>2946</v>
      </c>
    </row>
    <row r="29" spans="1:19" ht="14.25" customHeight="1" thickBot="1">
      <c r="A29" s="2951" t="s">
        <v>184</v>
      </c>
      <c r="B29" s="2953" t="s">
        <v>2913</v>
      </c>
      <c r="C29" s="2954"/>
      <c r="D29" s="2954">
        <v>29460</v>
      </c>
      <c r="E29" s="2954">
        <v>28640</v>
      </c>
      <c r="F29" s="2954"/>
      <c r="G29" s="2954">
        <v>21430</v>
      </c>
      <c r="L29" s="2943" t="s">
        <v>2947</v>
      </c>
      <c r="M29" s="2943" t="s">
        <v>2948</v>
      </c>
      <c r="N29" s="2943" t="s">
        <v>2949</v>
      </c>
      <c r="O29" s="2943" t="s">
        <v>2950</v>
      </c>
      <c r="P29" s="2943" t="s">
        <v>2951</v>
      </c>
      <c r="Q29" s="2943" t="s">
        <v>2952</v>
      </c>
      <c r="R29" s="2943" t="s">
        <v>280</v>
      </c>
    </row>
    <row r="30" spans="1:19" ht="14.25" customHeight="1">
      <c r="A30" s="2948" t="s">
        <v>296</v>
      </c>
      <c r="B30" s="2939" t="s">
        <v>2846</v>
      </c>
      <c r="C30" s="2939">
        <v>26890</v>
      </c>
      <c r="D30" s="2939">
        <v>26770</v>
      </c>
      <c r="E30" s="2939">
        <v>25700</v>
      </c>
      <c r="F30" s="2939">
        <v>8180</v>
      </c>
      <c r="G30" s="2955">
        <v>18740</v>
      </c>
      <c r="L30" s="2943" t="s">
        <v>2953</v>
      </c>
      <c r="M30" s="2943" t="s">
        <v>2954</v>
      </c>
      <c r="N30" s="2943" t="s">
        <v>2955</v>
      </c>
      <c r="O30" s="2943" t="s">
        <v>2956</v>
      </c>
      <c r="P30" s="2943" t="s">
        <v>2957</v>
      </c>
      <c r="Q30" s="2943" t="s">
        <v>2958</v>
      </c>
      <c r="R30" s="2943" t="s">
        <v>2959</v>
      </c>
    </row>
    <row r="31" spans="1:19" ht="14.25" customHeight="1">
      <c r="A31" s="2943" t="s">
        <v>296</v>
      </c>
      <c r="B31" s="2944" t="s">
        <v>129</v>
      </c>
      <c r="C31" s="2943">
        <v>24550</v>
      </c>
      <c r="D31" s="2943">
        <v>23990</v>
      </c>
      <c r="E31" s="2943">
        <v>22930</v>
      </c>
      <c r="F31" s="2943">
        <v>7470</v>
      </c>
      <c r="G31" s="2956">
        <v>16790</v>
      </c>
      <c r="L31" s="2943" t="s">
        <v>2960</v>
      </c>
      <c r="M31" s="2943" t="s">
        <v>2961</v>
      </c>
      <c r="N31" s="2943" t="s">
        <v>2962</v>
      </c>
      <c r="O31" s="2943" t="s">
        <v>2963</v>
      </c>
      <c r="P31" s="2943" t="s">
        <v>2964</v>
      </c>
      <c r="Q31" s="2943" t="s">
        <v>2965</v>
      </c>
      <c r="R31" s="2943" t="s">
        <v>2966</v>
      </c>
    </row>
    <row r="32" spans="1:19" ht="14.25" customHeight="1" thickBot="1">
      <c r="A32" s="2943" t="s">
        <v>296</v>
      </c>
      <c r="B32" s="2944" t="s">
        <v>138</v>
      </c>
      <c r="C32" s="2943">
        <v>27210</v>
      </c>
      <c r="D32" s="2943">
        <v>23240</v>
      </c>
      <c r="E32" s="2943">
        <v>23260</v>
      </c>
      <c r="F32" s="2943">
        <v>7130</v>
      </c>
      <c r="G32" s="2956">
        <v>16270</v>
      </c>
      <c r="L32" s="2943" t="s">
        <v>2967</v>
      </c>
      <c r="M32" s="2943" t="s">
        <v>2968</v>
      </c>
      <c r="N32" s="2943" t="s">
        <v>300</v>
      </c>
      <c r="O32" s="2943" t="s">
        <v>2969</v>
      </c>
      <c r="P32" s="2943" t="s">
        <v>299</v>
      </c>
      <c r="Q32" s="2943" t="s">
        <v>2970</v>
      </c>
      <c r="R32" s="2950" t="s">
        <v>2971</v>
      </c>
    </row>
    <row r="33" spans="1:17" ht="14.25" customHeight="1" thickBot="1">
      <c r="A33" s="2943" t="s">
        <v>296</v>
      </c>
      <c r="B33" s="2944" t="s">
        <v>147</v>
      </c>
      <c r="C33" s="2943">
        <v>27300</v>
      </c>
      <c r="D33" s="2943">
        <v>22980</v>
      </c>
      <c r="E33" s="2943">
        <v>24260</v>
      </c>
      <c r="F33" s="2943">
        <v>5860</v>
      </c>
      <c r="G33" s="2956">
        <v>16090</v>
      </c>
      <c r="L33" s="2950" t="s">
        <v>2972</v>
      </c>
      <c r="M33" s="2943" t="s">
        <v>2973</v>
      </c>
      <c r="N33" s="2943" t="s">
        <v>301</v>
      </c>
      <c r="O33" s="2943" t="s">
        <v>2974</v>
      </c>
      <c r="P33" s="2943" t="s">
        <v>2975</v>
      </c>
      <c r="Q33" s="2943" t="s">
        <v>2976</v>
      </c>
    </row>
    <row r="34" spans="1:17" ht="14.25" customHeight="1">
      <c r="A34" s="2943" t="s">
        <v>296</v>
      </c>
      <c r="B34" s="2944" t="s">
        <v>156</v>
      </c>
      <c r="C34" s="2943">
        <v>23090</v>
      </c>
      <c r="D34" s="2943">
        <v>23390</v>
      </c>
      <c r="E34" s="2943">
        <v>23510</v>
      </c>
      <c r="F34" s="2943">
        <v>6700</v>
      </c>
      <c r="G34" s="2956">
        <v>16370</v>
      </c>
      <c r="M34" s="2943" t="s">
        <v>2977</v>
      </c>
      <c r="N34" s="2943" t="s">
        <v>302</v>
      </c>
      <c r="O34" s="2943" t="s">
        <v>2978</v>
      </c>
      <c r="P34" s="2943" t="s">
        <v>2979</v>
      </c>
      <c r="Q34" s="2943" t="s">
        <v>2980</v>
      </c>
    </row>
    <row r="35" spans="1:17" ht="14.25" customHeight="1">
      <c r="A35" s="2943" t="s">
        <v>296</v>
      </c>
      <c r="B35" s="2944" t="s">
        <v>163</v>
      </c>
      <c r="C35" s="2943">
        <v>27270</v>
      </c>
      <c r="D35" s="2943">
        <v>24270</v>
      </c>
      <c r="E35" s="2943">
        <v>24950</v>
      </c>
      <c r="F35" s="2943">
        <v>6600</v>
      </c>
      <c r="G35" s="2956">
        <v>16990</v>
      </c>
      <c r="M35" s="2943" t="s">
        <v>2981</v>
      </c>
      <c r="N35" s="2943" t="s">
        <v>2982</v>
      </c>
      <c r="O35" s="2943" t="s">
        <v>2983</v>
      </c>
      <c r="P35" s="2943" t="s">
        <v>2984</v>
      </c>
      <c r="Q35" s="2943" t="s">
        <v>2985</v>
      </c>
    </row>
    <row r="36" spans="1:17" ht="14.25" customHeight="1">
      <c r="A36" s="2943" t="s">
        <v>296</v>
      </c>
      <c r="B36" s="2944" t="s">
        <v>169</v>
      </c>
      <c r="C36" s="2943">
        <v>23490</v>
      </c>
      <c r="D36" s="2943">
        <v>23020</v>
      </c>
      <c r="E36" s="2943">
        <v>25230</v>
      </c>
      <c r="F36" s="2943">
        <v>6780</v>
      </c>
      <c r="G36" s="2956">
        <v>16120</v>
      </c>
      <c r="M36" s="2943" t="s">
        <v>2986</v>
      </c>
      <c r="N36" s="2943" t="s">
        <v>2987</v>
      </c>
      <c r="O36" s="2943" t="s">
        <v>2988</v>
      </c>
      <c r="P36" s="2943" t="s">
        <v>2989</v>
      </c>
      <c r="Q36" s="2943" t="s">
        <v>2990</v>
      </c>
    </row>
    <row r="37" spans="1:17" ht="14.25" customHeight="1">
      <c r="A37" s="2943" t="s">
        <v>296</v>
      </c>
      <c r="B37" s="2944" t="s">
        <v>176</v>
      </c>
      <c r="C37" s="2943">
        <v>24380</v>
      </c>
      <c r="D37" s="2943">
        <v>22240</v>
      </c>
      <c r="E37" s="2943">
        <v>25980</v>
      </c>
      <c r="F37" s="2943">
        <v>8160</v>
      </c>
      <c r="G37" s="2956">
        <v>15570</v>
      </c>
      <c r="M37" s="2943" t="s">
        <v>2991</v>
      </c>
      <c r="N37" s="2943" t="s">
        <v>2992</v>
      </c>
      <c r="O37" s="2943" t="s">
        <v>2993</v>
      </c>
      <c r="P37" s="2943" t="s">
        <v>2994</v>
      </c>
      <c r="Q37" s="2943" t="s">
        <v>2995</v>
      </c>
    </row>
    <row r="38" spans="1:17" ht="14.25" customHeight="1">
      <c r="A38" s="2943" t="s">
        <v>296</v>
      </c>
      <c r="B38" s="2944" t="s">
        <v>186</v>
      </c>
      <c r="C38" s="2943">
        <v>23120</v>
      </c>
      <c r="D38" s="2943">
        <v>24630</v>
      </c>
      <c r="E38" s="2943">
        <v>25030</v>
      </c>
      <c r="F38" s="2943">
        <v>7710</v>
      </c>
      <c r="G38" s="2956">
        <v>17240</v>
      </c>
      <c r="M38" s="2943" t="s">
        <v>2996</v>
      </c>
      <c r="N38" s="2943" t="s">
        <v>2997</v>
      </c>
      <c r="O38" s="2943" t="s">
        <v>2998</v>
      </c>
      <c r="P38" s="2943" t="s">
        <v>2999</v>
      </c>
      <c r="Q38" s="2943" t="s">
        <v>3000</v>
      </c>
    </row>
    <row r="39" spans="1:17" ht="14.25" customHeight="1">
      <c r="A39" s="2943" t="s">
        <v>296</v>
      </c>
      <c r="B39" s="2944" t="s">
        <v>195</v>
      </c>
      <c r="C39" s="2943">
        <v>22330</v>
      </c>
      <c r="D39" s="2943">
        <v>21140</v>
      </c>
      <c r="E39" s="2943">
        <v>23970</v>
      </c>
      <c r="F39" s="2943">
        <v>7940</v>
      </c>
      <c r="G39" s="2956">
        <v>14790</v>
      </c>
      <c r="M39" s="2943" t="s">
        <v>3001</v>
      </c>
      <c r="N39" s="2943" t="s">
        <v>3002</v>
      </c>
      <c r="O39" s="2943" t="s">
        <v>3003</v>
      </c>
      <c r="P39" s="2943" t="s">
        <v>3004</v>
      </c>
      <c r="Q39" s="2943" t="s">
        <v>3005</v>
      </c>
    </row>
    <row r="40" spans="1:17" ht="14.25" customHeight="1">
      <c r="A40" s="2943" t="s">
        <v>296</v>
      </c>
      <c r="B40" s="2944" t="s">
        <v>202</v>
      </c>
      <c r="C40" s="2943">
        <v>24740</v>
      </c>
      <c r="D40" s="2943">
        <v>24690</v>
      </c>
      <c r="E40" s="2943">
        <v>22610</v>
      </c>
      <c r="F40" s="2943"/>
      <c r="G40" s="2956">
        <v>17280</v>
      </c>
      <c r="M40" s="2943" t="s">
        <v>3006</v>
      </c>
      <c r="N40" s="2943" t="s">
        <v>3007</v>
      </c>
      <c r="O40" s="2943" t="s">
        <v>3008</v>
      </c>
      <c r="P40" s="2943" t="s">
        <v>3009</v>
      </c>
      <c r="Q40" s="2943" t="s">
        <v>3010</v>
      </c>
    </row>
    <row r="41" spans="1:17" ht="14.25" customHeight="1" thickBot="1">
      <c r="A41" s="2943" t="s">
        <v>296</v>
      </c>
      <c r="B41" s="2944" t="s">
        <v>209</v>
      </c>
      <c r="C41" s="2943">
        <v>21220</v>
      </c>
      <c r="D41" s="2943">
        <v>21120</v>
      </c>
      <c r="E41" s="2943">
        <v>22590</v>
      </c>
      <c r="F41" s="2943"/>
      <c r="G41" s="2956">
        <v>14780</v>
      </c>
      <c r="M41" s="2950" t="s">
        <v>3011</v>
      </c>
      <c r="N41" s="2943" t="s">
        <v>3012</v>
      </c>
      <c r="O41" s="2943" t="s">
        <v>3013</v>
      </c>
      <c r="P41" s="2943" t="s">
        <v>3014</v>
      </c>
      <c r="Q41" s="2943" t="s">
        <v>3015</v>
      </c>
    </row>
    <row r="42" spans="1:17" ht="14.25" customHeight="1">
      <c r="A42" s="2943" t="s">
        <v>296</v>
      </c>
      <c r="B42" s="2944" t="s">
        <v>215</v>
      </c>
      <c r="C42" s="2943">
        <v>24800</v>
      </c>
      <c r="D42" s="2943">
        <v>22280</v>
      </c>
      <c r="E42" s="2943">
        <v>24350</v>
      </c>
      <c r="F42" s="2943"/>
      <c r="G42" s="2956">
        <v>15590</v>
      </c>
      <c r="N42" s="2943" t="s">
        <v>3016</v>
      </c>
      <c r="O42" s="2943" t="s">
        <v>3017</v>
      </c>
      <c r="P42" s="2943" t="s">
        <v>3018</v>
      </c>
      <c r="Q42" s="2943" t="s">
        <v>3019</v>
      </c>
    </row>
    <row r="43" spans="1:17" ht="14.25" customHeight="1">
      <c r="A43" s="2943" t="s">
        <v>3020</v>
      </c>
      <c r="B43" s="2944" t="s">
        <v>223</v>
      </c>
      <c r="C43" s="2943">
        <v>21210</v>
      </c>
      <c r="D43" s="2943">
        <v>21160</v>
      </c>
      <c r="E43" s="2943">
        <v>22650</v>
      </c>
      <c r="F43" s="2943"/>
      <c r="G43" s="2956">
        <v>14800</v>
      </c>
      <c r="N43" s="2943" t="s">
        <v>3021</v>
      </c>
      <c r="O43" s="2943" t="s">
        <v>3022</v>
      </c>
      <c r="P43" s="2943" t="s">
        <v>3023</v>
      </c>
      <c r="Q43" s="2943" t="s">
        <v>3024</v>
      </c>
    </row>
    <row r="44" spans="1:17" ht="14.25" customHeight="1" thickBot="1">
      <c r="A44" s="2943" t="s">
        <v>296</v>
      </c>
      <c r="B44" s="2944" t="s">
        <v>231</v>
      </c>
      <c r="C44" s="2943">
        <v>22370</v>
      </c>
      <c r="D44" s="2943">
        <v>23140</v>
      </c>
      <c r="E44" s="2943">
        <v>25090</v>
      </c>
      <c r="F44" s="2943"/>
      <c r="G44" s="2956">
        <v>16190</v>
      </c>
      <c r="N44" s="2943" t="s">
        <v>3025</v>
      </c>
      <c r="O44" s="2943" t="s">
        <v>3026</v>
      </c>
      <c r="P44" s="2950" t="s">
        <v>3027</v>
      </c>
      <c r="Q44" s="2943" t="s">
        <v>3028</v>
      </c>
    </row>
    <row r="45" spans="1:17" ht="14.25" customHeight="1" thickBot="1">
      <c r="A45" s="2943" t="s">
        <v>296</v>
      </c>
      <c r="B45" s="2944" t="s">
        <v>236</v>
      </c>
      <c r="C45" s="2943">
        <v>21240</v>
      </c>
      <c r="D45" s="2943">
        <v>27050</v>
      </c>
      <c r="E45" s="2943">
        <v>28000</v>
      </c>
      <c r="F45" s="2943"/>
      <c r="G45" s="2956">
        <v>18940</v>
      </c>
      <c r="N45" s="2943" t="s">
        <v>3029</v>
      </c>
      <c r="O45" s="2950" t="s">
        <v>3030</v>
      </c>
      <c r="Q45" s="2943" t="s">
        <v>3031</v>
      </c>
    </row>
    <row r="46" spans="1:17" ht="14.25" customHeight="1">
      <c r="A46" s="2943" t="s">
        <v>296</v>
      </c>
      <c r="B46" s="2944" t="s">
        <v>245</v>
      </c>
      <c r="C46" s="2943">
        <v>23240</v>
      </c>
      <c r="D46" s="2943">
        <v>23000</v>
      </c>
      <c r="E46" s="2943">
        <v>24980</v>
      </c>
      <c r="F46" s="2943"/>
      <c r="G46" s="2956">
        <v>16100</v>
      </c>
      <c r="N46" s="2943" t="s">
        <v>3032</v>
      </c>
      <c r="Q46" s="2943" t="s">
        <v>3033</v>
      </c>
    </row>
    <row r="47" spans="1:17" ht="14.25" customHeight="1">
      <c r="A47" s="2943" t="s">
        <v>296</v>
      </c>
      <c r="B47" s="2944" t="s">
        <v>252</v>
      </c>
      <c r="C47" s="2943">
        <v>27150</v>
      </c>
      <c r="D47" s="2943">
        <v>23310</v>
      </c>
      <c r="E47" s="2943">
        <v>25150</v>
      </c>
      <c r="F47" s="2943"/>
      <c r="G47" s="2956">
        <v>16310</v>
      </c>
      <c r="N47" s="2943" t="s">
        <v>3034</v>
      </c>
      <c r="Q47" s="2943" t="s">
        <v>3035</v>
      </c>
    </row>
    <row r="48" spans="1:17" ht="14.25" customHeight="1">
      <c r="A48" s="2943" t="s">
        <v>296</v>
      </c>
      <c r="B48" s="2944" t="s">
        <v>260</v>
      </c>
      <c r="C48" s="2943">
        <v>23100</v>
      </c>
      <c r="D48" s="2943">
        <v>21110</v>
      </c>
      <c r="E48" s="2943">
        <v>23080</v>
      </c>
      <c r="F48" s="2943"/>
      <c r="G48" s="2956">
        <v>14780</v>
      </c>
      <c r="N48" s="2943" t="s">
        <v>3036</v>
      </c>
      <c r="Q48" s="2943" t="s">
        <v>3037</v>
      </c>
    </row>
    <row r="49" spans="1:17" ht="14.25" customHeight="1">
      <c r="A49" s="2943" t="s">
        <v>296</v>
      </c>
      <c r="B49" s="2944" t="s">
        <v>267</v>
      </c>
      <c r="C49" s="2943">
        <v>23400</v>
      </c>
      <c r="D49" s="2943">
        <v>22920</v>
      </c>
      <c r="E49" s="2943">
        <v>24900</v>
      </c>
      <c r="F49" s="2943"/>
      <c r="G49" s="2956">
        <v>16040</v>
      </c>
      <c r="N49" s="2943" t="s">
        <v>3038</v>
      </c>
      <c r="Q49" s="2943" t="s">
        <v>3039</v>
      </c>
    </row>
    <row r="50" spans="1:17" ht="14.25" customHeight="1">
      <c r="A50" s="2943" t="s">
        <v>296</v>
      </c>
      <c r="B50" s="2944" t="s">
        <v>2916</v>
      </c>
      <c r="C50" s="2943">
        <v>21200</v>
      </c>
      <c r="D50" s="2943">
        <v>26540</v>
      </c>
      <c r="E50" s="2943">
        <v>23200</v>
      </c>
      <c r="F50" s="2943"/>
      <c r="G50" s="2956">
        <v>18580</v>
      </c>
      <c r="N50" s="2943" t="s">
        <v>3040</v>
      </c>
      <c r="Q50" s="2944" t="s">
        <v>3041</v>
      </c>
    </row>
    <row r="51" spans="1:17" ht="14.25" customHeight="1" thickBot="1">
      <c r="A51" s="2943" t="s">
        <v>296</v>
      </c>
      <c r="B51" s="2944" t="s">
        <v>2918</v>
      </c>
      <c r="C51" s="2943">
        <v>23000</v>
      </c>
      <c r="D51" s="2943">
        <v>23460</v>
      </c>
      <c r="E51" s="2943">
        <v>25290</v>
      </c>
      <c r="F51" s="2943"/>
      <c r="G51" s="2956">
        <v>16420</v>
      </c>
      <c r="N51" s="2943" t="s">
        <v>3042</v>
      </c>
      <c r="Q51" s="2950" t="s">
        <v>3043</v>
      </c>
    </row>
    <row r="52" spans="1:17" ht="14.25" customHeight="1">
      <c r="A52" s="2943" t="s">
        <v>296</v>
      </c>
      <c r="B52" s="2944" t="s">
        <v>2922</v>
      </c>
      <c r="C52" s="2943">
        <v>26660</v>
      </c>
      <c r="D52" s="2943">
        <v>22350</v>
      </c>
      <c r="E52" s="2943">
        <v>22920</v>
      </c>
      <c r="F52" s="2943"/>
      <c r="G52" s="2956">
        <v>15640</v>
      </c>
      <c r="N52" s="2943" t="s">
        <v>3044</v>
      </c>
    </row>
    <row r="53" spans="1:17" ht="14.25" customHeight="1">
      <c r="A53" s="2943" t="s">
        <v>296</v>
      </c>
      <c r="B53" s="2944" t="s">
        <v>2927</v>
      </c>
      <c r="C53" s="2943">
        <v>23580</v>
      </c>
      <c r="D53" s="2943"/>
      <c r="E53" s="2943">
        <v>24280</v>
      </c>
      <c r="F53" s="2943"/>
      <c r="G53" s="2956"/>
      <c r="N53" s="2943" t="s">
        <v>3045</v>
      </c>
    </row>
    <row r="54" spans="1:17" ht="14.25" customHeight="1" thickBot="1">
      <c r="A54" s="2957" t="s">
        <v>296</v>
      </c>
      <c r="B54" s="2949" t="s">
        <v>2930</v>
      </c>
      <c r="C54" s="2950">
        <v>22460</v>
      </c>
      <c r="D54" s="2950"/>
      <c r="E54" s="2950"/>
      <c r="F54" s="2950"/>
      <c r="G54" s="2958"/>
      <c r="N54" s="2943" t="s">
        <v>3046</v>
      </c>
    </row>
    <row r="55" spans="1:17" ht="14.25" customHeight="1">
      <c r="A55" s="2948" t="s">
        <v>110</v>
      </c>
      <c r="B55" s="2939" t="s">
        <v>3047</v>
      </c>
      <c r="C55" s="2943">
        <v>21970</v>
      </c>
      <c r="D55" s="2943">
        <v>20370</v>
      </c>
      <c r="E55" s="2943">
        <v>20180</v>
      </c>
      <c r="F55" s="2943">
        <v>5730</v>
      </c>
      <c r="G55" s="2943">
        <v>13820</v>
      </c>
      <c r="N55" s="2943" t="s">
        <v>3048</v>
      </c>
    </row>
    <row r="56" spans="1:17" ht="14.25" customHeight="1">
      <c r="A56" s="2943" t="s">
        <v>110</v>
      </c>
      <c r="B56" s="2943" t="s">
        <v>130</v>
      </c>
      <c r="C56" s="2943">
        <v>20470</v>
      </c>
      <c r="D56" s="2943">
        <v>20700</v>
      </c>
      <c r="E56" s="2943">
        <v>20380</v>
      </c>
      <c r="F56" s="2943">
        <v>4760</v>
      </c>
      <c r="G56" s="2943">
        <v>14050</v>
      </c>
      <c r="N56" s="2943" t="s">
        <v>3049</v>
      </c>
    </row>
    <row r="57" spans="1:17" ht="14.25" customHeight="1">
      <c r="A57" s="2943" t="s">
        <v>110</v>
      </c>
      <c r="B57" s="2943" t="s">
        <v>139</v>
      </c>
      <c r="C57" s="2943">
        <v>20790</v>
      </c>
      <c r="D57" s="2943">
        <v>21370</v>
      </c>
      <c r="E57" s="2943">
        <v>20890</v>
      </c>
      <c r="F57" s="2943">
        <v>4910</v>
      </c>
      <c r="G57" s="2943">
        <v>14510</v>
      </c>
      <c r="N57" s="2943" t="s">
        <v>3050</v>
      </c>
    </row>
    <row r="58" spans="1:17" ht="14.25" customHeight="1">
      <c r="A58" s="2943" t="s">
        <v>110</v>
      </c>
      <c r="B58" s="2943" t="s">
        <v>148</v>
      </c>
      <c r="C58" s="2943">
        <v>21460</v>
      </c>
      <c r="D58" s="2943">
        <v>20920</v>
      </c>
      <c r="E58" s="2943">
        <v>23410</v>
      </c>
      <c r="F58" s="2943">
        <v>5100</v>
      </c>
      <c r="G58" s="2943">
        <v>14200</v>
      </c>
      <c r="N58" s="2943" t="s">
        <v>3051</v>
      </c>
    </row>
    <row r="59" spans="1:17" ht="14.25" customHeight="1">
      <c r="A59" s="2943" t="s">
        <v>110</v>
      </c>
      <c r="B59" s="2943" t="s">
        <v>157</v>
      </c>
      <c r="C59" s="2943">
        <v>21000</v>
      </c>
      <c r="D59" s="2943">
        <v>21550</v>
      </c>
      <c r="E59" s="2943">
        <v>21150</v>
      </c>
      <c r="F59" s="2943">
        <v>5250</v>
      </c>
      <c r="G59" s="2943">
        <v>14630</v>
      </c>
      <c r="N59" s="2943" t="s">
        <v>3052</v>
      </c>
    </row>
    <row r="60" spans="1:17" ht="14.25" customHeight="1">
      <c r="A60" s="2943" t="s">
        <v>110</v>
      </c>
      <c r="B60" s="2943" t="s">
        <v>164</v>
      </c>
      <c r="C60" s="2943">
        <v>21640</v>
      </c>
      <c r="D60" s="2943">
        <v>21260</v>
      </c>
      <c r="E60" s="2943">
        <v>24040</v>
      </c>
      <c r="F60" s="2943">
        <v>4470</v>
      </c>
      <c r="G60" s="2943">
        <v>14430</v>
      </c>
      <c r="N60" s="2943" t="s">
        <v>3053</v>
      </c>
    </row>
    <row r="61" spans="1:17" ht="14.25" customHeight="1">
      <c r="A61" s="2943" t="s">
        <v>110</v>
      </c>
      <c r="B61" s="2943" t="s">
        <v>170</v>
      </c>
      <c r="C61" s="2943">
        <v>21330</v>
      </c>
      <c r="D61" s="2943">
        <v>18640</v>
      </c>
      <c r="E61" s="2943">
        <v>21190</v>
      </c>
      <c r="F61" s="2943">
        <v>4180</v>
      </c>
      <c r="G61" s="2943">
        <v>12650</v>
      </c>
      <c r="N61" s="2943" t="s">
        <v>3054</v>
      </c>
    </row>
    <row r="62" spans="1:17" ht="14.25" customHeight="1">
      <c r="A62" s="2943" t="s">
        <v>110</v>
      </c>
      <c r="B62" s="2943" t="s">
        <v>177</v>
      </c>
      <c r="C62" s="2943">
        <v>18710</v>
      </c>
      <c r="D62" s="2943">
        <v>19400</v>
      </c>
      <c r="E62" s="2943">
        <v>23750</v>
      </c>
      <c r="F62" s="2943">
        <v>4860</v>
      </c>
      <c r="G62" s="2943">
        <v>13170</v>
      </c>
      <c r="N62" s="2943" t="s">
        <v>3055</v>
      </c>
    </row>
    <row r="63" spans="1:17" ht="14.25" customHeight="1">
      <c r="A63" s="2943" t="s">
        <v>110</v>
      </c>
      <c r="B63" s="2943" t="s">
        <v>187</v>
      </c>
      <c r="C63" s="2943">
        <v>19480</v>
      </c>
      <c r="D63" s="2943">
        <v>16830</v>
      </c>
      <c r="E63" s="2943">
        <v>21590</v>
      </c>
      <c r="F63" s="2943">
        <v>4560</v>
      </c>
      <c r="G63" s="2943">
        <v>11420</v>
      </c>
      <c r="N63" s="2943" t="s">
        <v>3056</v>
      </c>
    </row>
    <row r="64" spans="1:17" ht="14.25" customHeight="1" thickBot="1">
      <c r="A64" s="2943" t="s">
        <v>110</v>
      </c>
      <c r="B64" s="2943" t="s">
        <v>196</v>
      </c>
      <c r="C64" s="2943">
        <v>16920</v>
      </c>
      <c r="D64" s="2943">
        <v>19190</v>
      </c>
      <c r="E64" s="2943">
        <v>22200</v>
      </c>
      <c r="F64" s="2943">
        <v>4390</v>
      </c>
      <c r="G64" s="2943">
        <v>13030</v>
      </c>
      <c r="N64" s="2950" t="s">
        <v>3057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2928</v>
      </c>
      <c r="C78" s="2943">
        <v>19820</v>
      </c>
      <c r="D78" s="2943">
        <v>19780</v>
      </c>
      <c r="E78" s="2943">
        <v>18560</v>
      </c>
      <c r="F78" s="2943"/>
      <c r="G78" s="2943">
        <v>13430</v>
      </c>
    </row>
    <row r="79" spans="1:7" s="2777" customFormat="1" ht="14.25" customHeight="1">
      <c r="A79" s="2943" t="s">
        <v>110</v>
      </c>
      <c r="B79" s="2943" t="s">
        <v>2931</v>
      </c>
      <c r="C79" s="2943">
        <v>21660</v>
      </c>
      <c r="D79" s="2943">
        <v>18000</v>
      </c>
      <c r="E79" s="2943">
        <v>22570</v>
      </c>
      <c r="F79" s="2943"/>
      <c r="G79" s="2943">
        <v>12220</v>
      </c>
    </row>
    <row r="80" spans="1:7" s="2777" customFormat="1" ht="14.25" customHeight="1">
      <c r="A80" s="2943" t="s">
        <v>110</v>
      </c>
      <c r="B80" s="2943" t="s">
        <v>2935</v>
      </c>
      <c r="C80" s="2943">
        <v>19850</v>
      </c>
      <c r="D80" s="2943"/>
      <c r="E80" s="2943">
        <v>21700</v>
      </c>
      <c r="F80" s="2943"/>
      <c r="G80" s="2943"/>
    </row>
    <row r="81" spans="1:7" s="2777" customFormat="1" ht="14.25" customHeight="1">
      <c r="A81" s="2943" t="s">
        <v>110</v>
      </c>
      <c r="B81" s="2943" t="s">
        <v>2940</v>
      </c>
      <c r="C81" s="2943">
        <v>18080</v>
      </c>
      <c r="D81" s="2943"/>
      <c r="E81" s="2943">
        <v>20900</v>
      </c>
      <c r="F81" s="2943"/>
      <c r="G81" s="2943"/>
    </row>
    <row r="82" spans="1:7" s="2777" customFormat="1" ht="14.25" customHeight="1">
      <c r="A82" s="2943" t="s">
        <v>110</v>
      </c>
      <c r="B82" s="2943" t="s">
        <v>2947</v>
      </c>
      <c r="C82" s="2943"/>
      <c r="D82" s="2943"/>
      <c r="E82" s="2943">
        <v>20840</v>
      </c>
      <c r="F82" s="2943"/>
      <c r="G82" s="2943"/>
    </row>
    <row r="83" spans="1:7" s="2777" customFormat="1" ht="14.25" customHeight="1">
      <c r="A83" s="2943" t="s">
        <v>110</v>
      </c>
      <c r="B83" s="2943" t="s">
        <v>3058</v>
      </c>
      <c r="C83" s="2943"/>
      <c r="D83" s="2943"/>
      <c r="E83" s="2943"/>
      <c r="F83" s="2943">
        <v>4770</v>
      </c>
      <c r="G83" s="2943"/>
    </row>
    <row r="84" spans="1:7" s="2777" customFormat="1" ht="14.25" customHeight="1">
      <c r="A84" s="2943" t="s">
        <v>110</v>
      </c>
      <c r="B84" s="2943" t="s">
        <v>3059</v>
      </c>
      <c r="C84" s="2943"/>
      <c r="D84" s="2943"/>
      <c r="E84" s="2943"/>
      <c r="F84" s="2943">
        <v>4600</v>
      </c>
      <c r="G84" s="2943"/>
    </row>
    <row r="85" spans="1:7" s="2777" customFormat="1" ht="14.25" customHeight="1">
      <c r="A85" s="2943" t="s">
        <v>110</v>
      </c>
      <c r="B85" s="2943" t="s">
        <v>3060</v>
      </c>
      <c r="C85" s="2943"/>
      <c r="D85" s="2943"/>
      <c r="E85" s="2943"/>
      <c r="F85" s="2943">
        <v>4680</v>
      </c>
      <c r="G85" s="2943"/>
    </row>
    <row r="86" spans="1:7" s="2777" customFormat="1" ht="14.25" customHeight="1" thickBot="1">
      <c r="A86" s="2951" t="s">
        <v>110</v>
      </c>
      <c r="B86" s="2953" t="s">
        <v>3061</v>
      </c>
      <c r="C86" s="2954">
        <v>16610</v>
      </c>
      <c r="D86" s="2954">
        <v>16540</v>
      </c>
      <c r="E86" s="2954">
        <v>18850</v>
      </c>
      <c r="F86" s="2954"/>
      <c r="G86" s="2954">
        <v>11220</v>
      </c>
    </row>
    <row r="87" spans="1:7" s="2777" customFormat="1" ht="14.25" customHeight="1">
      <c r="A87" s="2948" t="s">
        <v>303</v>
      </c>
      <c r="B87" s="2939" t="s">
        <v>3062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2941</v>
      </c>
      <c r="C113" s="2943">
        <v>15520</v>
      </c>
      <c r="D113" s="2943">
        <v>15450</v>
      </c>
      <c r="E113" s="2943"/>
      <c r="F113" s="2943"/>
      <c r="G113" s="2956">
        <v>10210</v>
      </c>
    </row>
    <row r="114" spans="1:7" s="2777" customFormat="1" ht="14.25" customHeight="1">
      <c r="A114" s="2943" t="s">
        <v>303</v>
      </c>
      <c r="B114" s="2943" t="s">
        <v>2948</v>
      </c>
      <c r="C114" s="2943">
        <v>13110</v>
      </c>
      <c r="D114" s="2943">
        <v>13050</v>
      </c>
      <c r="E114" s="2943"/>
      <c r="F114" s="2943"/>
      <c r="G114" s="2956">
        <v>8620</v>
      </c>
    </row>
    <row r="115" spans="1:7" s="2777" customFormat="1" ht="14.25" customHeight="1">
      <c r="A115" s="2943" t="s">
        <v>303</v>
      </c>
      <c r="B115" s="2943" t="s">
        <v>2954</v>
      </c>
      <c r="C115" s="2943">
        <v>12460</v>
      </c>
      <c r="D115" s="2943">
        <v>12390</v>
      </c>
      <c r="E115" s="2943"/>
      <c r="F115" s="2943"/>
      <c r="G115" s="2956">
        <v>8190</v>
      </c>
    </row>
    <row r="116" spans="1:7" s="2777" customFormat="1" ht="14.25" customHeight="1">
      <c r="A116" s="2943" t="s">
        <v>303</v>
      </c>
      <c r="B116" s="2943" t="s">
        <v>2961</v>
      </c>
      <c r="C116" s="2943">
        <v>13580</v>
      </c>
      <c r="D116" s="2943">
        <v>13520</v>
      </c>
      <c r="E116" s="2943"/>
      <c r="F116" s="2943"/>
      <c r="G116" s="2956">
        <v>8930</v>
      </c>
    </row>
    <row r="117" spans="1:7" s="2777" customFormat="1" ht="14.25" customHeight="1">
      <c r="A117" s="2943" t="s">
        <v>303</v>
      </c>
      <c r="B117" s="2943" t="s">
        <v>2968</v>
      </c>
      <c r="C117" s="2943">
        <v>17120</v>
      </c>
      <c r="D117" s="2943">
        <v>17040</v>
      </c>
      <c r="E117" s="2943"/>
      <c r="F117" s="2943"/>
      <c r="G117" s="2956">
        <v>11260</v>
      </c>
    </row>
    <row r="118" spans="1:7" s="2777" customFormat="1" ht="14.25" customHeight="1">
      <c r="A118" s="2943" t="s">
        <v>303</v>
      </c>
      <c r="B118" s="2943" t="s">
        <v>2973</v>
      </c>
      <c r="C118" s="2943">
        <v>14860</v>
      </c>
      <c r="D118" s="2943">
        <v>14790</v>
      </c>
      <c r="E118" s="2943"/>
      <c r="F118" s="2943"/>
      <c r="G118" s="2956">
        <v>9780</v>
      </c>
    </row>
    <row r="119" spans="1:7" s="2777" customFormat="1" ht="14.25" customHeight="1">
      <c r="A119" s="2943" t="s">
        <v>303</v>
      </c>
      <c r="B119" s="2943" t="s">
        <v>2977</v>
      </c>
      <c r="C119" s="2943">
        <v>16470</v>
      </c>
      <c r="D119" s="2943">
        <v>16400</v>
      </c>
      <c r="E119" s="2943"/>
      <c r="F119" s="2943"/>
      <c r="G119" s="2956">
        <v>10840</v>
      </c>
    </row>
    <row r="120" spans="1:7" s="2777" customFormat="1" ht="14.25" customHeight="1">
      <c r="A120" s="2943" t="s">
        <v>303</v>
      </c>
      <c r="B120" s="2943" t="s">
        <v>3063</v>
      </c>
      <c r="C120" s="2943"/>
      <c r="D120" s="2943"/>
      <c r="E120" s="2943"/>
      <c r="F120" s="2943">
        <v>4160</v>
      </c>
      <c r="G120" s="2956"/>
    </row>
    <row r="121" spans="1:7" s="2777" customFormat="1" ht="14.25" customHeight="1">
      <c r="A121" s="2943" t="s">
        <v>303</v>
      </c>
      <c r="B121" s="2943" t="s">
        <v>3064</v>
      </c>
      <c r="C121" s="2943"/>
      <c r="D121" s="2943"/>
      <c r="E121" s="2943"/>
      <c r="F121" s="2943">
        <v>3880</v>
      </c>
      <c r="G121" s="2956"/>
    </row>
    <row r="122" spans="1:7" s="2777" customFormat="1" ht="14.25" customHeight="1">
      <c r="A122" s="2943" t="s">
        <v>303</v>
      </c>
      <c r="B122" s="2943" t="s">
        <v>3065</v>
      </c>
      <c r="C122" s="2943">
        <v>13750</v>
      </c>
      <c r="D122" s="2943">
        <v>13680</v>
      </c>
      <c r="E122" s="2943">
        <v>16460</v>
      </c>
      <c r="F122" s="2943">
        <v>2880</v>
      </c>
      <c r="G122" s="2956">
        <v>9040</v>
      </c>
    </row>
    <row r="123" spans="1:7" s="2777" customFormat="1" ht="14.25" customHeight="1">
      <c r="A123" s="2943" t="s">
        <v>303</v>
      </c>
      <c r="B123" s="2943" t="s">
        <v>2996</v>
      </c>
      <c r="C123" s="2943">
        <v>13590</v>
      </c>
      <c r="D123" s="2943">
        <v>13520</v>
      </c>
      <c r="E123" s="2943">
        <v>16290</v>
      </c>
      <c r="F123" s="2943">
        <v>2790</v>
      </c>
      <c r="G123" s="2956">
        <v>8930</v>
      </c>
    </row>
    <row r="124" spans="1:7" s="2777" customFormat="1" ht="14.25" customHeight="1">
      <c r="A124" s="2943" t="s">
        <v>303</v>
      </c>
      <c r="B124" s="2943" t="s">
        <v>3001</v>
      </c>
      <c r="C124" s="2943">
        <v>13400</v>
      </c>
      <c r="D124" s="2943">
        <v>13320</v>
      </c>
      <c r="E124" s="2943">
        <v>16100</v>
      </c>
      <c r="F124" s="2943">
        <v>2320</v>
      </c>
      <c r="G124" s="2956">
        <v>8800</v>
      </c>
    </row>
    <row r="125" spans="1:7" s="2777" customFormat="1" ht="14.25" customHeight="1">
      <c r="A125" s="2943" t="s">
        <v>303</v>
      </c>
      <c r="B125" s="2943" t="s">
        <v>3006</v>
      </c>
      <c r="C125" s="2943">
        <v>12860</v>
      </c>
      <c r="D125" s="2943">
        <v>12790</v>
      </c>
      <c r="E125" s="2943">
        <v>15370</v>
      </c>
      <c r="F125" s="2943">
        <v>2280</v>
      </c>
      <c r="G125" s="2956">
        <v>8450</v>
      </c>
    </row>
    <row r="126" spans="1:7" s="2777" customFormat="1" ht="14.25" customHeight="1" thickBot="1">
      <c r="A126" s="2957" t="s">
        <v>303</v>
      </c>
      <c r="B126" s="2950" t="s">
        <v>3011</v>
      </c>
      <c r="C126" s="2950">
        <v>12960</v>
      </c>
      <c r="D126" s="2950">
        <v>12890</v>
      </c>
      <c r="E126" s="2950">
        <v>15530</v>
      </c>
      <c r="F126" s="2950">
        <v>2910</v>
      </c>
      <c r="G126" s="2958">
        <v>8520</v>
      </c>
    </row>
    <row r="127" spans="1:7" s="2777" customFormat="1" ht="14.25" customHeight="1">
      <c r="A127" s="2948" t="s">
        <v>29</v>
      </c>
      <c r="B127" s="2939" t="s">
        <v>3066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3067</v>
      </c>
      <c r="C148" s="2943">
        <v>10370</v>
      </c>
      <c r="D148" s="2943">
        <v>10310</v>
      </c>
      <c r="E148" s="2943">
        <v>12970</v>
      </c>
      <c r="F148" s="2943"/>
      <c r="G148" s="2943">
        <v>6630</v>
      </c>
    </row>
    <row r="149" spans="1:7" s="2777" customFormat="1" ht="14.25" customHeight="1">
      <c r="A149" s="2943" t="s">
        <v>29</v>
      </c>
      <c r="B149" s="2943" t="s">
        <v>3068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2942</v>
      </c>
      <c r="C153" s="2943">
        <v>10880</v>
      </c>
      <c r="D153" s="2943">
        <v>10820</v>
      </c>
      <c r="E153" s="2943">
        <v>13660</v>
      </c>
      <c r="F153" s="2943">
        <v>2260</v>
      </c>
      <c r="G153" s="2943">
        <v>6970</v>
      </c>
    </row>
    <row r="154" spans="1:7" s="2777" customFormat="1" ht="14.25" customHeight="1">
      <c r="A154" s="2943" t="s">
        <v>29</v>
      </c>
      <c r="B154" s="2943" t="s">
        <v>3069</v>
      </c>
      <c r="C154" s="2943">
        <v>11220</v>
      </c>
      <c r="D154" s="2943">
        <v>11160</v>
      </c>
      <c r="E154" s="2943">
        <v>14130</v>
      </c>
      <c r="F154" s="2943">
        <v>2230</v>
      </c>
      <c r="G154" s="2943">
        <v>7180</v>
      </c>
    </row>
    <row r="155" spans="1:7" s="2777" customFormat="1" ht="14.25" customHeight="1">
      <c r="A155" s="2943" t="s">
        <v>29</v>
      </c>
      <c r="B155" s="2943" t="s">
        <v>2955</v>
      </c>
      <c r="C155" s="2943">
        <v>10430</v>
      </c>
      <c r="D155" s="2943">
        <v>10380</v>
      </c>
      <c r="E155" s="2943">
        <v>13140</v>
      </c>
      <c r="F155" s="2943">
        <v>2080</v>
      </c>
      <c r="G155" s="2943">
        <v>6650</v>
      </c>
    </row>
    <row r="156" spans="1:7" s="2777" customFormat="1" ht="14.25" customHeight="1">
      <c r="A156" s="2943" t="s">
        <v>29</v>
      </c>
      <c r="B156" s="2943" t="s">
        <v>3070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3071</v>
      </c>
      <c r="C160" s="2943">
        <v>11180</v>
      </c>
      <c r="D160" s="2943">
        <v>11140</v>
      </c>
      <c r="E160" s="2943">
        <v>14050</v>
      </c>
      <c r="F160" s="2943">
        <v>2270</v>
      </c>
      <c r="G160" s="2943">
        <v>7170</v>
      </c>
    </row>
    <row r="161" spans="1:7" s="2777" customFormat="1" ht="14.25" customHeight="1">
      <c r="A161" s="2943" t="s">
        <v>29</v>
      </c>
      <c r="B161" s="2943" t="s">
        <v>2987</v>
      </c>
      <c r="C161" s="2943">
        <v>11160</v>
      </c>
      <c r="D161" s="2943">
        <v>11120</v>
      </c>
      <c r="E161" s="2943">
        <v>14020</v>
      </c>
      <c r="F161" s="2943">
        <v>2150</v>
      </c>
      <c r="G161" s="2943">
        <v>7160</v>
      </c>
    </row>
    <row r="162" spans="1:7" s="2777" customFormat="1" ht="14.25" customHeight="1">
      <c r="A162" s="2943" t="s">
        <v>29</v>
      </c>
      <c r="B162" s="2943" t="s">
        <v>2992</v>
      </c>
      <c r="C162" s="2943">
        <v>9620</v>
      </c>
      <c r="D162" s="2943">
        <v>9570</v>
      </c>
      <c r="E162" s="2943">
        <v>12320</v>
      </c>
      <c r="F162" s="2943">
        <v>2010</v>
      </c>
      <c r="G162" s="2943">
        <v>6160</v>
      </c>
    </row>
    <row r="163" spans="1:7" s="2777" customFormat="1" ht="14.25" customHeight="1">
      <c r="A163" s="2943" t="s">
        <v>29</v>
      </c>
      <c r="B163" s="2943" t="s">
        <v>2997</v>
      </c>
      <c r="C163" s="2943">
        <v>9320</v>
      </c>
      <c r="D163" s="2943">
        <v>9270</v>
      </c>
      <c r="E163" s="2943">
        <v>11790</v>
      </c>
      <c r="F163" s="2943">
        <v>1920</v>
      </c>
      <c r="G163" s="2943">
        <v>5960</v>
      </c>
    </row>
    <row r="164" spans="1:7" s="2777" customFormat="1" ht="14.25" customHeight="1">
      <c r="A164" s="2943" t="s">
        <v>29</v>
      </c>
      <c r="B164" s="2943" t="s">
        <v>3002</v>
      </c>
      <c r="C164" s="2943"/>
      <c r="D164" s="2943"/>
      <c r="E164" s="2943"/>
      <c r="F164" s="2943">
        <v>1980</v>
      </c>
      <c r="G164" s="2943"/>
    </row>
    <row r="165" spans="1:7" s="2777" customFormat="1" ht="14.25" customHeight="1">
      <c r="A165" s="2943" t="s">
        <v>29</v>
      </c>
      <c r="B165" s="2943" t="s">
        <v>3072</v>
      </c>
      <c r="C165" s="2943">
        <v>11060</v>
      </c>
      <c r="D165" s="2943">
        <v>11030</v>
      </c>
      <c r="E165" s="2943">
        <v>13850</v>
      </c>
      <c r="F165" s="2943">
        <v>2170</v>
      </c>
      <c r="G165" s="2943">
        <v>7090</v>
      </c>
    </row>
    <row r="166" spans="1:7" s="2777" customFormat="1" ht="14.25" customHeight="1">
      <c r="A166" s="2943" t="s">
        <v>29</v>
      </c>
      <c r="B166" s="2943" t="s">
        <v>3012</v>
      </c>
      <c r="C166" s="2943">
        <v>11050</v>
      </c>
      <c r="D166" s="2943">
        <v>11010</v>
      </c>
      <c r="E166" s="2943">
        <v>13920</v>
      </c>
      <c r="F166" s="2943">
        <v>2140</v>
      </c>
      <c r="G166" s="2943">
        <v>7080</v>
      </c>
    </row>
    <row r="167" spans="1:7" s="2777" customFormat="1" ht="14.25" customHeight="1">
      <c r="A167" s="2943" t="s">
        <v>29</v>
      </c>
      <c r="B167" s="2943" t="s">
        <v>3016</v>
      </c>
      <c r="C167" s="2943">
        <v>10930</v>
      </c>
      <c r="D167" s="2943">
        <v>10890</v>
      </c>
      <c r="E167" s="2943">
        <v>13790</v>
      </c>
      <c r="F167" s="2943">
        <v>2010</v>
      </c>
      <c r="G167" s="2943">
        <v>7000</v>
      </c>
    </row>
    <row r="168" spans="1:7" s="2777" customFormat="1" ht="14.25" customHeight="1">
      <c r="A168" s="2943" t="s">
        <v>29</v>
      </c>
      <c r="B168" s="2943" t="s">
        <v>3021</v>
      </c>
      <c r="C168" s="2943">
        <v>9420</v>
      </c>
      <c r="D168" s="2943">
        <v>9380</v>
      </c>
      <c r="E168" s="2943">
        <v>11970</v>
      </c>
      <c r="F168" s="2943"/>
      <c r="G168" s="2943">
        <v>6040</v>
      </c>
    </row>
    <row r="169" spans="1:7" s="2777" customFormat="1" ht="14.25" customHeight="1">
      <c r="A169" s="2943" t="s">
        <v>29</v>
      </c>
      <c r="B169" s="2943" t="s">
        <v>3073</v>
      </c>
      <c r="C169" s="2943"/>
      <c r="D169" s="2943"/>
      <c r="E169" s="2943"/>
      <c r="F169" s="2943">
        <v>2880</v>
      </c>
      <c r="G169" s="2943"/>
    </row>
    <row r="170" spans="1:7" s="2777" customFormat="1" ht="14.25" customHeight="1">
      <c r="A170" s="2943" t="s">
        <v>29</v>
      </c>
      <c r="B170" s="2943" t="s">
        <v>3029</v>
      </c>
      <c r="C170" s="2943"/>
      <c r="D170" s="2943"/>
      <c r="E170" s="2943"/>
      <c r="F170" s="2943">
        <v>2880</v>
      </c>
      <c r="G170" s="2943"/>
    </row>
    <row r="171" spans="1:7" s="2777" customFormat="1" ht="14.25" customHeight="1">
      <c r="A171" s="2943" t="s">
        <v>29</v>
      </c>
      <c r="B171" s="2943" t="s">
        <v>3032</v>
      </c>
      <c r="C171" s="2943"/>
      <c r="D171" s="2943"/>
      <c r="E171" s="2943"/>
      <c r="F171" s="2943">
        <v>2880</v>
      </c>
      <c r="G171" s="2943"/>
    </row>
    <row r="172" spans="1:7" s="2777" customFormat="1" ht="14.25" customHeight="1">
      <c r="A172" s="2943" t="s">
        <v>29</v>
      </c>
      <c r="B172" s="2943" t="s">
        <v>3034</v>
      </c>
      <c r="C172" s="2943"/>
      <c r="D172" s="2943"/>
      <c r="E172" s="2943"/>
      <c r="F172" s="2943">
        <v>2880</v>
      </c>
      <c r="G172" s="2943"/>
    </row>
    <row r="173" spans="1:7" s="2777" customFormat="1" ht="14.25" customHeight="1">
      <c r="A173" s="2943" t="s">
        <v>29</v>
      </c>
      <c r="B173" s="2943" t="s">
        <v>3036</v>
      </c>
      <c r="C173" s="2943"/>
      <c r="D173" s="2943"/>
      <c r="E173" s="2943"/>
      <c r="F173" s="2943">
        <v>2150</v>
      </c>
      <c r="G173" s="2943"/>
    </row>
    <row r="174" spans="1:7" s="2777" customFormat="1" ht="14.25" customHeight="1">
      <c r="A174" s="2943" t="s">
        <v>29</v>
      </c>
      <c r="B174" s="2943" t="s">
        <v>3038</v>
      </c>
      <c r="C174" s="2943"/>
      <c r="D174" s="2943"/>
      <c r="E174" s="2943"/>
      <c r="F174" s="2943">
        <v>2030</v>
      </c>
      <c r="G174" s="2943"/>
    </row>
    <row r="175" spans="1:7" s="2777" customFormat="1" ht="14.25" customHeight="1">
      <c r="A175" s="2943" t="s">
        <v>29</v>
      </c>
      <c r="B175" s="2943" t="s">
        <v>3040</v>
      </c>
      <c r="C175" s="2943"/>
      <c r="D175" s="2943"/>
      <c r="E175" s="2943"/>
      <c r="F175" s="2943">
        <v>2780</v>
      </c>
      <c r="G175" s="2943"/>
    </row>
    <row r="176" spans="1:7" s="2777" customFormat="1" ht="14.25" customHeight="1">
      <c r="A176" s="2943" t="s">
        <v>29</v>
      </c>
      <c r="B176" s="2943" t="s">
        <v>3042</v>
      </c>
      <c r="C176" s="2943"/>
      <c r="D176" s="2943"/>
      <c r="E176" s="2943"/>
      <c r="F176" s="2943">
        <v>2780</v>
      </c>
      <c r="G176" s="2943"/>
    </row>
    <row r="177" spans="1:7" s="2777" customFormat="1" ht="14.25" customHeight="1">
      <c r="A177" s="2943" t="s">
        <v>29</v>
      </c>
      <c r="B177" s="2943" t="s">
        <v>3074</v>
      </c>
      <c r="C177" s="2943"/>
      <c r="D177" s="2943"/>
      <c r="E177" s="2943"/>
      <c r="F177" s="2943">
        <v>2780</v>
      </c>
      <c r="G177" s="2943"/>
    </row>
    <row r="178" spans="1:7" s="2777" customFormat="1" ht="14.25" customHeight="1">
      <c r="A178" s="2943" t="s">
        <v>29</v>
      </c>
      <c r="B178" s="2943" t="s">
        <v>3075</v>
      </c>
      <c r="C178" s="2943"/>
      <c r="D178" s="2943"/>
      <c r="E178" s="2943"/>
      <c r="F178" s="2943">
        <v>2060</v>
      </c>
      <c r="G178" s="2943"/>
    </row>
    <row r="179" spans="1:7" s="2777" customFormat="1" ht="14.25" customHeight="1">
      <c r="A179" s="2943" t="s">
        <v>29</v>
      </c>
      <c r="B179" s="2943" t="s">
        <v>3076</v>
      </c>
      <c r="C179" s="2943"/>
      <c r="D179" s="2943"/>
      <c r="E179" s="2943"/>
      <c r="F179" s="2943">
        <v>2120</v>
      </c>
      <c r="G179" s="2943"/>
    </row>
    <row r="180" spans="1:7" s="2777" customFormat="1" ht="14.25" customHeight="1">
      <c r="A180" s="2943" t="s">
        <v>29</v>
      </c>
      <c r="B180" s="2943" t="s">
        <v>3048</v>
      </c>
      <c r="C180" s="2943"/>
      <c r="D180" s="2943"/>
      <c r="E180" s="2943"/>
      <c r="F180" s="2943">
        <v>2340</v>
      </c>
      <c r="G180" s="2943"/>
    </row>
    <row r="181" spans="1:7" s="2777" customFormat="1" ht="14.25" customHeight="1">
      <c r="A181" s="2943" t="s">
        <v>29</v>
      </c>
      <c r="B181" s="2943" t="s">
        <v>3049</v>
      </c>
      <c r="C181" s="2943"/>
      <c r="D181" s="2943"/>
      <c r="E181" s="2943"/>
      <c r="F181" s="2943">
        <v>2340</v>
      </c>
      <c r="G181" s="2943"/>
    </row>
    <row r="182" spans="1:7" s="2777" customFormat="1" ht="14.25" customHeight="1">
      <c r="A182" s="2943" t="s">
        <v>29</v>
      </c>
      <c r="B182" s="2943" t="s">
        <v>3050</v>
      </c>
      <c r="C182" s="2943"/>
      <c r="D182" s="2943"/>
      <c r="E182" s="2943"/>
      <c r="F182" s="2943">
        <v>2340</v>
      </c>
      <c r="G182" s="2943"/>
    </row>
    <row r="183" spans="1:7" s="2777" customFormat="1" ht="14.25" customHeight="1">
      <c r="A183" s="2943" t="s">
        <v>29</v>
      </c>
      <c r="B183" s="2943" t="s">
        <v>3051</v>
      </c>
      <c r="C183" s="2943"/>
      <c r="D183" s="2943"/>
      <c r="E183" s="2943"/>
      <c r="F183" s="2943">
        <v>2340</v>
      </c>
      <c r="G183" s="2943"/>
    </row>
    <row r="184" spans="1:7" s="2777" customFormat="1" ht="14.25" customHeight="1">
      <c r="A184" s="2943" t="s">
        <v>29</v>
      </c>
      <c r="B184" s="2943" t="s">
        <v>3052</v>
      </c>
      <c r="C184" s="2943"/>
      <c r="D184" s="2943"/>
      <c r="E184" s="2943"/>
      <c r="F184" s="2943">
        <v>2340</v>
      </c>
      <c r="G184" s="2943"/>
    </row>
    <row r="185" spans="1:7" s="2777" customFormat="1" ht="14.25" customHeight="1">
      <c r="A185" s="2943" t="s">
        <v>29</v>
      </c>
      <c r="B185" s="2943" t="s">
        <v>3053</v>
      </c>
      <c r="C185" s="2943"/>
      <c r="D185" s="2943"/>
      <c r="E185" s="2943"/>
      <c r="F185" s="2943">
        <v>2530</v>
      </c>
      <c r="G185" s="2943"/>
    </row>
    <row r="186" spans="1:7" s="2777" customFormat="1" ht="14.25" customHeight="1">
      <c r="A186" s="2943" t="s">
        <v>29</v>
      </c>
      <c r="B186" s="2943" t="s">
        <v>3054</v>
      </c>
      <c r="C186" s="2943"/>
      <c r="D186" s="2943"/>
      <c r="E186" s="2943"/>
      <c r="F186" s="2943">
        <v>2550</v>
      </c>
      <c r="G186" s="2943"/>
    </row>
    <row r="187" spans="1:7" s="2777" customFormat="1" ht="14.25" customHeight="1">
      <c r="A187" s="2943" t="s">
        <v>29</v>
      </c>
      <c r="B187" s="2943" t="s">
        <v>3055</v>
      </c>
      <c r="C187" s="2943"/>
      <c r="D187" s="2943"/>
      <c r="E187" s="2943"/>
      <c r="F187" s="2943">
        <v>2070</v>
      </c>
      <c r="G187" s="2943"/>
    </row>
    <row r="188" spans="1:7" s="2777" customFormat="1" ht="14.25" customHeight="1">
      <c r="A188" s="2943" t="s">
        <v>29</v>
      </c>
      <c r="B188" s="2943" t="s">
        <v>3056</v>
      </c>
      <c r="C188" s="2943"/>
      <c r="D188" s="2943"/>
      <c r="E188" s="2943"/>
      <c r="F188" s="2943">
        <v>2340</v>
      </c>
      <c r="G188" s="2943"/>
    </row>
    <row r="189" spans="1:7" s="2777" customFormat="1" ht="14.25" customHeight="1" thickBot="1">
      <c r="A189" s="2951" t="s">
        <v>29</v>
      </c>
      <c r="B189" s="2954" t="s">
        <v>3057</v>
      </c>
      <c r="C189" s="2954"/>
      <c r="D189" s="2954"/>
      <c r="E189" s="2954"/>
      <c r="F189" s="2954">
        <v>2050</v>
      </c>
      <c r="G189" s="2954"/>
    </row>
    <row r="190" spans="1:7" s="2777" customFormat="1" ht="14.25" customHeight="1">
      <c r="A190" s="2948" t="s">
        <v>304</v>
      </c>
      <c r="B190" s="2939" t="s">
        <v>3077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3078</v>
      </c>
      <c r="C199" s="2943">
        <v>8690</v>
      </c>
      <c r="D199" s="2943">
        <v>8630</v>
      </c>
      <c r="E199" s="2943">
        <v>11350</v>
      </c>
      <c r="F199" s="2943">
        <v>1600</v>
      </c>
      <c r="G199" s="2956">
        <v>5450</v>
      </c>
    </row>
    <row r="200" spans="1:7" s="2777" customFormat="1" ht="14.25" customHeight="1">
      <c r="A200" s="2943" t="s">
        <v>304</v>
      </c>
      <c r="B200" s="2943" t="s">
        <v>2889</v>
      </c>
      <c r="C200" s="2943"/>
      <c r="D200" s="2943"/>
      <c r="E200" s="2943"/>
      <c r="F200" s="2943">
        <v>1510</v>
      </c>
      <c r="G200" s="2956"/>
    </row>
    <row r="201" spans="1:7" s="2777" customFormat="1" ht="14.25" customHeight="1">
      <c r="A201" s="2943" t="s">
        <v>304</v>
      </c>
      <c r="B201" s="2943" t="s">
        <v>3079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3080</v>
      </c>
      <c r="C203" s="2943">
        <v>8130</v>
      </c>
      <c r="D203" s="2943">
        <v>8070</v>
      </c>
      <c r="E203" s="2943">
        <v>10820</v>
      </c>
      <c r="F203" s="2943">
        <v>1690</v>
      </c>
      <c r="G203" s="2956">
        <v>5100</v>
      </c>
    </row>
    <row r="204" spans="1:7" s="2777" customFormat="1" ht="14.25" customHeight="1">
      <c r="A204" s="2943" t="s">
        <v>304</v>
      </c>
      <c r="B204" s="2943" t="s">
        <v>2900</v>
      </c>
      <c r="C204" s="2943">
        <v>8350</v>
      </c>
      <c r="D204" s="2943">
        <v>8290</v>
      </c>
      <c r="E204" s="2943">
        <v>11080</v>
      </c>
      <c r="F204" s="2943">
        <v>1450</v>
      </c>
      <c r="G204" s="2956">
        <v>5240</v>
      </c>
    </row>
    <row r="205" spans="1:7" s="2777" customFormat="1" ht="14.25" customHeight="1">
      <c r="A205" s="2943" t="s">
        <v>304</v>
      </c>
      <c r="B205" s="2943" t="s">
        <v>2902</v>
      </c>
      <c r="C205" s="2943">
        <v>7190</v>
      </c>
      <c r="D205" s="2943">
        <v>7130</v>
      </c>
      <c r="E205" s="2943">
        <v>9490</v>
      </c>
      <c r="F205" s="2943">
        <v>1470</v>
      </c>
      <c r="G205" s="2956">
        <v>4510</v>
      </c>
    </row>
    <row r="206" spans="1:7" s="2777" customFormat="1" ht="14.25" customHeight="1">
      <c r="A206" s="2943" t="s">
        <v>304</v>
      </c>
      <c r="B206" s="2943" t="s">
        <v>2905</v>
      </c>
      <c r="C206" s="2943">
        <v>7000</v>
      </c>
      <c r="D206" s="2943">
        <v>6950</v>
      </c>
      <c r="E206" s="2943">
        <v>9170</v>
      </c>
      <c r="F206" s="2943">
        <v>1400</v>
      </c>
      <c r="G206" s="2956">
        <v>4380</v>
      </c>
    </row>
    <row r="207" spans="1:7" s="2777" customFormat="1" ht="14.25" customHeight="1">
      <c r="A207" s="2943" t="s">
        <v>304</v>
      </c>
      <c r="B207" s="2943" t="s">
        <v>2907</v>
      </c>
      <c r="C207" s="2943">
        <v>6950</v>
      </c>
      <c r="D207" s="2943">
        <v>6900</v>
      </c>
      <c r="E207" s="2943">
        <v>9110</v>
      </c>
      <c r="F207" s="2943">
        <v>1790</v>
      </c>
      <c r="G207" s="2956">
        <v>4360</v>
      </c>
    </row>
    <row r="208" spans="1:7" s="2777" customFormat="1" ht="14.25" customHeight="1">
      <c r="A208" s="2943" t="s">
        <v>304</v>
      </c>
      <c r="B208" s="2943" t="s">
        <v>3081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2917</v>
      </c>
      <c r="C210" s="2943">
        <v>8710</v>
      </c>
      <c r="D210" s="2943">
        <v>8660</v>
      </c>
      <c r="E210" s="2943">
        <v>11440</v>
      </c>
      <c r="F210" s="2943">
        <v>1740</v>
      </c>
      <c r="G210" s="2956">
        <v>5470</v>
      </c>
    </row>
    <row r="211" spans="1:7" s="2777" customFormat="1" ht="14.25" customHeight="1">
      <c r="A211" s="2943" t="s">
        <v>304</v>
      </c>
      <c r="B211" s="2943" t="s">
        <v>3082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3083</v>
      </c>
      <c r="C214" s="2943">
        <v>8090</v>
      </c>
      <c r="D214" s="2943">
        <v>8030</v>
      </c>
      <c r="E214" s="2943">
        <v>10780</v>
      </c>
      <c r="F214" s="2943">
        <v>1570</v>
      </c>
      <c r="G214" s="2956">
        <v>5070</v>
      </c>
    </row>
    <row r="215" spans="1:7" s="2777" customFormat="1" ht="14.25" customHeight="1">
      <c r="A215" s="2943" t="s">
        <v>304</v>
      </c>
      <c r="B215" s="2943" t="s">
        <v>3084</v>
      </c>
      <c r="C215" s="2943">
        <v>7950</v>
      </c>
      <c r="D215" s="2943">
        <v>7900</v>
      </c>
      <c r="E215" s="2943">
        <v>10560</v>
      </c>
      <c r="F215" s="2943">
        <v>1630</v>
      </c>
      <c r="G215" s="2956">
        <v>4990</v>
      </c>
    </row>
    <row r="216" spans="1:7" s="2777" customFormat="1" ht="14.25" customHeight="1">
      <c r="A216" s="2943" t="s">
        <v>304</v>
      </c>
      <c r="B216" s="2943" t="s">
        <v>3085</v>
      </c>
      <c r="C216" s="2943">
        <v>8490</v>
      </c>
      <c r="D216" s="2943">
        <v>8440</v>
      </c>
      <c r="E216" s="2943">
        <v>11260</v>
      </c>
      <c r="F216" s="2943">
        <v>1690</v>
      </c>
      <c r="G216" s="2956">
        <v>5330</v>
      </c>
    </row>
    <row r="217" spans="1:7" s="2777" customFormat="1" ht="14.25" customHeight="1">
      <c r="A217" s="2943" t="s">
        <v>304</v>
      </c>
      <c r="B217" s="2943" t="s">
        <v>2950</v>
      </c>
      <c r="C217" s="2943">
        <v>8200</v>
      </c>
      <c r="D217" s="2943">
        <v>8150</v>
      </c>
      <c r="E217" s="2943">
        <v>10910</v>
      </c>
      <c r="F217" s="2943">
        <v>1670</v>
      </c>
      <c r="G217" s="2956">
        <v>5150</v>
      </c>
    </row>
    <row r="218" spans="1:7" s="2777" customFormat="1" ht="14.25" customHeight="1">
      <c r="A218" s="2943" t="s">
        <v>304</v>
      </c>
      <c r="B218" s="2943" t="s">
        <v>3086</v>
      </c>
      <c r="C218" s="2943"/>
      <c r="D218" s="2943"/>
      <c r="E218" s="2943"/>
      <c r="F218" s="2943">
        <v>2040</v>
      </c>
      <c r="G218" s="2956"/>
    </row>
    <row r="219" spans="1:7" s="2777" customFormat="1" ht="14.25" customHeight="1">
      <c r="A219" s="2943" t="s">
        <v>304</v>
      </c>
      <c r="B219" s="2943" t="s">
        <v>3087</v>
      </c>
      <c r="C219" s="2943"/>
      <c r="D219" s="2943"/>
      <c r="E219" s="2943"/>
      <c r="F219" s="2943">
        <v>2040</v>
      </c>
      <c r="G219" s="2956"/>
    </row>
    <row r="220" spans="1:7" s="2777" customFormat="1" ht="14.25" customHeight="1">
      <c r="A220" s="2943" t="s">
        <v>304</v>
      </c>
      <c r="B220" s="2943" t="s">
        <v>3088</v>
      </c>
      <c r="C220" s="2943"/>
      <c r="D220" s="2943"/>
      <c r="E220" s="2943"/>
      <c r="F220" s="2943">
        <v>2040</v>
      </c>
      <c r="G220" s="2956"/>
    </row>
    <row r="221" spans="1:7" s="2777" customFormat="1" ht="14.25" customHeight="1">
      <c r="A221" s="2943" t="s">
        <v>304</v>
      </c>
      <c r="B221" s="2943" t="s">
        <v>3089</v>
      </c>
      <c r="C221" s="2943"/>
      <c r="D221" s="2943"/>
      <c r="E221" s="2943"/>
      <c r="F221" s="2943">
        <v>2040</v>
      </c>
      <c r="G221" s="2956"/>
    </row>
    <row r="222" spans="1:7" s="2777" customFormat="1" ht="14.25" customHeight="1">
      <c r="A222" s="2943" t="s">
        <v>304</v>
      </c>
      <c r="B222" s="2943" t="s">
        <v>3090</v>
      </c>
      <c r="C222" s="2943"/>
      <c r="D222" s="2943"/>
      <c r="E222" s="2943"/>
      <c r="F222" s="2943">
        <v>2040</v>
      </c>
      <c r="G222" s="2956"/>
    </row>
    <row r="223" spans="1:7" s="2777" customFormat="1" ht="14.25" customHeight="1">
      <c r="A223" s="2943" t="s">
        <v>304</v>
      </c>
      <c r="B223" s="2943" t="s">
        <v>3091</v>
      </c>
      <c r="C223" s="2943"/>
      <c r="D223" s="2943"/>
      <c r="E223" s="2943"/>
      <c r="F223" s="2943">
        <v>1930</v>
      </c>
      <c r="G223" s="2956"/>
    </row>
    <row r="224" spans="1:7" s="2777" customFormat="1" ht="14.25" customHeight="1">
      <c r="A224" s="2943" t="s">
        <v>304</v>
      </c>
      <c r="B224" s="2943" t="s">
        <v>3092</v>
      </c>
      <c r="C224" s="2943"/>
      <c r="D224" s="2943"/>
      <c r="E224" s="2943"/>
      <c r="F224" s="2943">
        <v>1930</v>
      </c>
      <c r="G224" s="2956"/>
    </row>
    <row r="225" spans="1:7" s="2777" customFormat="1" ht="14.25" customHeight="1">
      <c r="A225" s="2943" t="s">
        <v>304</v>
      </c>
      <c r="B225" s="2943" t="s">
        <v>3093</v>
      </c>
      <c r="C225" s="2943"/>
      <c r="D225" s="2943"/>
      <c r="E225" s="2943"/>
      <c r="F225" s="2943">
        <v>1930</v>
      </c>
      <c r="G225" s="2956"/>
    </row>
    <row r="226" spans="1:7" s="2777" customFormat="1" ht="14.25" customHeight="1">
      <c r="A226" s="2943" t="s">
        <v>304</v>
      </c>
      <c r="B226" s="2943" t="s">
        <v>3094</v>
      </c>
      <c r="C226" s="2943"/>
      <c r="D226" s="2943"/>
      <c r="E226" s="2943"/>
      <c r="F226" s="2943">
        <v>1700</v>
      </c>
      <c r="G226" s="2956"/>
    </row>
    <row r="227" spans="1:7" s="2777" customFormat="1" ht="14.25" customHeight="1">
      <c r="A227" s="2943" t="s">
        <v>304</v>
      </c>
      <c r="B227" s="2943" t="s">
        <v>3095</v>
      </c>
      <c r="C227" s="2943"/>
      <c r="D227" s="2943"/>
      <c r="E227" s="2943"/>
      <c r="F227" s="2943">
        <v>1520</v>
      </c>
      <c r="G227" s="2956"/>
    </row>
    <row r="228" spans="1:7" s="2777" customFormat="1" ht="14.25" customHeight="1">
      <c r="A228" s="2943" t="s">
        <v>304</v>
      </c>
      <c r="B228" s="2943" t="s">
        <v>3096</v>
      </c>
      <c r="C228" s="2943"/>
      <c r="D228" s="2943"/>
      <c r="E228" s="2943"/>
      <c r="F228" s="2943">
        <v>1520</v>
      </c>
      <c r="G228" s="2956"/>
    </row>
    <row r="229" spans="1:7" s="2777" customFormat="1" ht="14.25" customHeight="1">
      <c r="A229" s="2943" t="s">
        <v>304</v>
      </c>
      <c r="B229" s="2943" t="s">
        <v>3013</v>
      </c>
      <c r="C229" s="2943"/>
      <c r="D229" s="2943"/>
      <c r="E229" s="2943"/>
      <c r="F229" s="2943">
        <v>1520</v>
      </c>
      <c r="G229" s="2956"/>
    </row>
    <row r="230" spans="1:7" s="2777" customFormat="1" ht="14.25" customHeight="1">
      <c r="A230" s="2943" t="s">
        <v>304</v>
      </c>
      <c r="B230" s="2943" t="s">
        <v>3097</v>
      </c>
      <c r="C230" s="2943"/>
      <c r="D230" s="2943"/>
      <c r="E230" s="2943"/>
      <c r="F230" s="2943">
        <v>1820</v>
      </c>
      <c r="G230" s="2956"/>
    </row>
    <row r="231" spans="1:7" s="2777" customFormat="1" ht="14.25" customHeight="1">
      <c r="A231" s="2943" t="s">
        <v>304</v>
      </c>
      <c r="B231" s="2943" t="s">
        <v>3098</v>
      </c>
      <c r="C231" s="2943"/>
      <c r="D231" s="2943"/>
      <c r="E231" s="2943"/>
      <c r="F231" s="2943">
        <v>1760</v>
      </c>
      <c r="G231" s="2956"/>
    </row>
    <row r="232" spans="1:7" s="2777" customFormat="1" ht="14.25" customHeight="1">
      <c r="A232" s="2943" t="s">
        <v>304</v>
      </c>
      <c r="B232" s="2943" t="s">
        <v>3099</v>
      </c>
      <c r="C232" s="2943"/>
      <c r="D232" s="2943"/>
      <c r="E232" s="2943"/>
      <c r="F232" s="2943">
        <v>1840</v>
      </c>
      <c r="G232" s="2956"/>
    </row>
    <row r="233" spans="1:7" s="2777" customFormat="1" ht="14.25" customHeight="1" thickBot="1">
      <c r="A233" s="2957" t="s">
        <v>304</v>
      </c>
      <c r="B233" s="2950" t="s">
        <v>3030</v>
      </c>
      <c r="C233" s="2950"/>
      <c r="D233" s="2950"/>
      <c r="E233" s="2950"/>
      <c r="F233" s="2950">
        <v>1770</v>
      </c>
      <c r="G233" s="2958"/>
    </row>
    <row r="234" spans="1:7" s="2777" customFormat="1" ht="14.25" customHeight="1">
      <c r="A234" s="2948" t="s">
        <v>305</v>
      </c>
      <c r="B234" s="2939" t="s">
        <v>3100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2871</v>
      </c>
      <c r="C238" s="2943">
        <v>6920</v>
      </c>
      <c r="D238" s="2943">
        <v>6890</v>
      </c>
      <c r="E238" s="2943">
        <v>8640</v>
      </c>
      <c r="F238" s="2943">
        <v>1310</v>
      </c>
      <c r="G238" s="2943">
        <v>4230</v>
      </c>
    </row>
    <row r="239" spans="1:7" s="2777" customFormat="1" ht="14.25" customHeight="1">
      <c r="A239" s="2943" t="s">
        <v>305</v>
      </c>
      <c r="B239" s="2943" t="s">
        <v>3101</v>
      </c>
      <c r="C239" s="2943">
        <v>6780</v>
      </c>
      <c r="D239" s="2943">
        <v>6750</v>
      </c>
      <c r="E239" s="2943">
        <v>8440</v>
      </c>
      <c r="F239" s="2943">
        <v>1160</v>
      </c>
      <c r="G239" s="2943">
        <v>4140</v>
      </c>
    </row>
    <row r="240" spans="1:7" s="2777" customFormat="1" ht="14.25" customHeight="1">
      <c r="A240" s="2943" t="s">
        <v>305</v>
      </c>
      <c r="B240" s="2943" t="s">
        <v>3102</v>
      </c>
      <c r="C240" s="2943">
        <v>5420</v>
      </c>
      <c r="D240" s="2943">
        <v>5380</v>
      </c>
      <c r="E240" s="2943">
        <v>6640</v>
      </c>
      <c r="F240" s="2943">
        <v>1020</v>
      </c>
      <c r="G240" s="2943">
        <v>3300</v>
      </c>
    </row>
    <row r="241" spans="1:7" s="2777" customFormat="1" ht="14.25" customHeight="1">
      <c r="A241" s="2943" t="s">
        <v>305</v>
      </c>
      <c r="B241" s="2943" t="s">
        <v>3103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2933</v>
      </c>
      <c r="C258" s="2943">
        <v>6190</v>
      </c>
      <c r="D258" s="2943">
        <v>6160</v>
      </c>
      <c r="E258" s="2943">
        <v>7680</v>
      </c>
      <c r="F258" s="2943">
        <v>1170</v>
      </c>
      <c r="G258" s="2943">
        <v>3780</v>
      </c>
    </row>
    <row r="259" spans="1:7" s="2777" customFormat="1" ht="14.25" customHeight="1">
      <c r="A259" s="2943" t="s">
        <v>305</v>
      </c>
      <c r="B259" s="2943" t="s">
        <v>3109</v>
      </c>
      <c r="C259" s="2943">
        <v>7610</v>
      </c>
      <c r="D259" s="2943">
        <v>7570</v>
      </c>
      <c r="E259" s="2943">
        <v>9350</v>
      </c>
      <c r="F259" s="2943">
        <v>1350</v>
      </c>
      <c r="G259" s="2943">
        <v>4650</v>
      </c>
    </row>
    <row r="260" spans="1:7" s="2777" customFormat="1" ht="14.25" customHeight="1">
      <c r="A260" s="2943" t="s">
        <v>305</v>
      </c>
      <c r="B260" s="2943" t="s">
        <v>3110</v>
      </c>
      <c r="C260" s="2943">
        <v>6920</v>
      </c>
      <c r="D260" s="2943">
        <v>6880</v>
      </c>
      <c r="E260" s="2943">
        <v>8380</v>
      </c>
      <c r="F260" s="2943">
        <v>1160</v>
      </c>
      <c r="G260" s="2943">
        <v>4220</v>
      </c>
    </row>
    <row r="261" spans="1:7" s="2777" customFormat="1" ht="14.25" customHeight="1">
      <c r="A261" s="2943" t="s">
        <v>305</v>
      </c>
      <c r="B261" s="2943" t="s">
        <v>3111</v>
      </c>
      <c r="C261" s="2943">
        <v>6850</v>
      </c>
      <c r="D261" s="2943">
        <v>6810</v>
      </c>
      <c r="E261" s="2943">
        <v>8290</v>
      </c>
      <c r="F261" s="2943">
        <v>1130</v>
      </c>
      <c r="G261" s="2943">
        <v>4180</v>
      </c>
    </row>
    <row r="262" spans="1:7" s="2777" customFormat="1" ht="14.25" customHeight="1">
      <c r="A262" s="2943" t="s">
        <v>305</v>
      </c>
      <c r="B262" s="2943" t="s">
        <v>3112</v>
      </c>
      <c r="C262" s="2943">
        <v>5860</v>
      </c>
      <c r="D262" s="2943">
        <v>5820</v>
      </c>
      <c r="E262" s="2943">
        <v>7640</v>
      </c>
      <c r="F262" s="2943">
        <v>1070</v>
      </c>
      <c r="G262" s="2943">
        <v>3570</v>
      </c>
    </row>
    <row r="263" spans="1:7" s="2777" customFormat="1" ht="14.25" customHeight="1">
      <c r="A263" s="2943" t="s">
        <v>305</v>
      </c>
      <c r="B263" s="2943" t="s">
        <v>3113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3114</v>
      </c>
      <c r="C265" s="2943"/>
      <c r="D265" s="2943"/>
      <c r="E265" s="2943"/>
      <c r="F265" s="2943">
        <v>1500</v>
      </c>
      <c r="G265" s="2943"/>
    </row>
    <row r="266" spans="1:7" s="2777" customFormat="1" ht="14.25" customHeight="1">
      <c r="A266" s="2943" t="s">
        <v>305</v>
      </c>
      <c r="B266" s="2943" t="s">
        <v>3115</v>
      </c>
      <c r="C266" s="2943"/>
      <c r="D266" s="2943"/>
      <c r="E266" s="2943"/>
      <c r="F266" s="2943">
        <v>1500</v>
      </c>
      <c r="G266" s="2943"/>
    </row>
    <row r="267" spans="1:7" s="2777" customFormat="1" ht="14.25" customHeight="1">
      <c r="A267" s="2943" t="s">
        <v>305</v>
      </c>
      <c r="B267" s="2943" t="s">
        <v>3116</v>
      </c>
      <c r="C267" s="2943"/>
      <c r="D267" s="2943"/>
      <c r="E267" s="2943"/>
      <c r="F267" s="2943">
        <v>1500</v>
      </c>
      <c r="G267" s="2943"/>
    </row>
    <row r="268" spans="1:7" s="2777" customFormat="1" ht="14.25" customHeight="1">
      <c r="A268" s="2943" t="s">
        <v>305</v>
      </c>
      <c r="B268" s="2943" t="s">
        <v>3117</v>
      </c>
      <c r="C268" s="2943"/>
      <c r="D268" s="2943"/>
      <c r="E268" s="2943"/>
      <c r="F268" s="2943">
        <v>1290</v>
      </c>
      <c r="G268" s="2943"/>
    </row>
    <row r="269" spans="1:7" s="2777" customFormat="1" ht="14.25" customHeight="1">
      <c r="A269" s="2943" t="s">
        <v>305</v>
      </c>
      <c r="B269" s="2943" t="s">
        <v>3118</v>
      </c>
      <c r="C269" s="2943"/>
      <c r="D269" s="2943"/>
      <c r="E269" s="2943"/>
      <c r="F269" s="2943">
        <v>1150</v>
      </c>
      <c r="G269" s="2943"/>
    </row>
    <row r="270" spans="1:7" s="2777" customFormat="1" ht="14.25" customHeight="1">
      <c r="A270" s="2943" t="s">
        <v>305</v>
      </c>
      <c r="B270" s="2943" t="s">
        <v>3119</v>
      </c>
      <c r="C270" s="2943"/>
      <c r="D270" s="2943"/>
      <c r="E270" s="2943"/>
      <c r="F270" s="2943">
        <v>1380</v>
      </c>
      <c r="G270" s="2943"/>
    </row>
    <row r="271" spans="1:7" s="2777" customFormat="1" ht="14.25" customHeight="1">
      <c r="A271" s="2943" t="s">
        <v>305</v>
      </c>
      <c r="B271" s="2943" t="s">
        <v>3120</v>
      </c>
      <c r="C271" s="2943"/>
      <c r="D271" s="2943"/>
      <c r="E271" s="2943"/>
      <c r="F271" s="2943">
        <v>1460</v>
      </c>
      <c r="G271" s="2943"/>
    </row>
    <row r="272" spans="1:7" s="2777" customFormat="1" ht="14.25" customHeight="1">
      <c r="A272" s="2943" t="s">
        <v>305</v>
      </c>
      <c r="B272" s="2943" t="s">
        <v>3121</v>
      </c>
      <c r="C272" s="2943"/>
      <c r="D272" s="2943"/>
      <c r="E272" s="2943"/>
      <c r="F272" s="2943">
        <v>1460</v>
      </c>
      <c r="G272" s="2943"/>
    </row>
    <row r="273" spans="1:7" s="2777" customFormat="1" ht="14.25" customHeight="1">
      <c r="A273" s="2943" t="s">
        <v>305</v>
      </c>
      <c r="B273" s="2943" t="s">
        <v>3014</v>
      </c>
      <c r="C273" s="2943"/>
      <c r="D273" s="2943"/>
      <c r="E273" s="2943"/>
      <c r="F273" s="2943">
        <v>1490</v>
      </c>
      <c r="G273" s="2943"/>
    </row>
    <row r="274" spans="1:7" s="2777" customFormat="1" ht="14.25" customHeight="1">
      <c r="A274" s="2943" t="s">
        <v>305</v>
      </c>
      <c r="B274" s="2943" t="s">
        <v>3122</v>
      </c>
      <c r="C274" s="2943"/>
      <c r="D274" s="2943"/>
      <c r="E274" s="2943"/>
      <c r="F274" s="2943">
        <v>1490</v>
      </c>
      <c r="G274" s="2943"/>
    </row>
    <row r="275" spans="1:7" s="2777" customFormat="1" ht="14.25" customHeight="1">
      <c r="A275" s="2943" t="s">
        <v>305</v>
      </c>
      <c r="B275" s="2943" t="s">
        <v>3123</v>
      </c>
      <c r="C275" s="2943"/>
      <c r="D275" s="2943"/>
      <c r="E275" s="2943"/>
      <c r="F275" s="2943">
        <v>1220</v>
      </c>
      <c r="G275" s="2943"/>
    </row>
    <row r="276" spans="1:7" s="2777" customFormat="1" ht="14.25" customHeight="1" thickBot="1">
      <c r="A276" s="2951" t="s">
        <v>305</v>
      </c>
      <c r="B276" s="2953" t="s">
        <v>3124</v>
      </c>
      <c r="C276" s="2954"/>
      <c r="D276" s="2954"/>
      <c r="E276" s="2954"/>
      <c r="F276" s="2954">
        <v>1380</v>
      </c>
      <c r="G276" s="2954"/>
    </row>
    <row r="277" spans="1:7" s="2777" customFormat="1" ht="14.25" customHeight="1">
      <c r="A277" s="2948" t="s">
        <v>306</v>
      </c>
      <c r="B277" s="2939" t="s">
        <v>3125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3126</v>
      </c>
      <c r="C279" s="2943">
        <v>4760</v>
      </c>
      <c r="D279" s="2943">
        <v>4720</v>
      </c>
      <c r="E279" s="2943">
        <v>5540</v>
      </c>
      <c r="F279" s="2943">
        <v>810</v>
      </c>
      <c r="G279" s="2956">
        <v>2850</v>
      </c>
    </row>
    <row r="280" spans="1:7" s="2777" customFormat="1" ht="14.25" customHeight="1">
      <c r="A280" s="2943" t="s">
        <v>306</v>
      </c>
      <c r="B280" s="2943" t="s">
        <v>3127</v>
      </c>
      <c r="C280" s="2943">
        <v>4010</v>
      </c>
      <c r="D280" s="2943">
        <v>3950</v>
      </c>
      <c r="E280" s="2943">
        <v>4710</v>
      </c>
      <c r="F280" s="2943">
        <v>800</v>
      </c>
      <c r="G280" s="2956">
        <v>2390</v>
      </c>
    </row>
    <row r="281" spans="1:7" s="2777" customFormat="1" ht="14.25" customHeight="1">
      <c r="A281" s="2943" t="s">
        <v>306</v>
      </c>
      <c r="B281" s="2943" t="s">
        <v>3128</v>
      </c>
      <c r="C281" s="2943">
        <v>4480</v>
      </c>
      <c r="D281" s="2943">
        <v>4420</v>
      </c>
      <c r="E281" s="2943">
        <v>5230</v>
      </c>
      <c r="F281" s="2943">
        <v>870</v>
      </c>
      <c r="G281" s="2956">
        <v>2660</v>
      </c>
    </row>
    <row r="282" spans="1:7" s="2777" customFormat="1" ht="14.25" customHeight="1">
      <c r="A282" s="2943" t="s">
        <v>306</v>
      </c>
      <c r="B282" s="2943" t="s">
        <v>3129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2906</v>
      </c>
      <c r="C293" s="2943">
        <v>5320</v>
      </c>
      <c r="D293" s="2943">
        <v>5270</v>
      </c>
      <c r="E293" s="2943">
        <v>6160</v>
      </c>
      <c r="F293" s="2943">
        <v>990</v>
      </c>
      <c r="G293" s="2956">
        <v>3170</v>
      </c>
    </row>
    <row r="294" spans="1:7" s="2777" customFormat="1" ht="14.25" customHeight="1">
      <c r="A294" s="2943" t="s">
        <v>306</v>
      </c>
      <c r="B294" s="2943" t="s">
        <v>3132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3133</v>
      </c>
      <c r="C302" s="2943">
        <v>5520</v>
      </c>
      <c r="D302" s="2943">
        <v>5470</v>
      </c>
      <c r="E302" s="2943">
        <v>6410</v>
      </c>
      <c r="F302" s="2943">
        <v>950</v>
      </c>
      <c r="G302" s="2956">
        <v>3300</v>
      </c>
    </row>
    <row r="303" spans="1:7" s="2777" customFormat="1" ht="14.25" customHeight="1">
      <c r="A303" s="2943" t="s">
        <v>306</v>
      </c>
      <c r="B303" s="2943" t="s">
        <v>2945</v>
      </c>
      <c r="C303" s="2943">
        <v>5630</v>
      </c>
      <c r="D303" s="2943">
        <v>5590</v>
      </c>
      <c r="E303" s="2943">
        <v>6550</v>
      </c>
      <c r="F303" s="2943">
        <v>1010</v>
      </c>
      <c r="G303" s="2956">
        <v>3370</v>
      </c>
    </row>
    <row r="304" spans="1:7" s="2777" customFormat="1" ht="14.25" customHeight="1">
      <c r="A304" s="2943" t="s">
        <v>306</v>
      </c>
      <c r="B304" s="2943" t="s">
        <v>2952</v>
      </c>
      <c r="C304" s="2943">
        <v>5680</v>
      </c>
      <c r="D304" s="2943">
        <v>5620</v>
      </c>
      <c r="E304" s="2943">
        <v>6620</v>
      </c>
      <c r="F304" s="2943">
        <v>1050</v>
      </c>
      <c r="G304" s="2956">
        <v>3390</v>
      </c>
    </row>
    <row r="305" spans="1:7" s="2777" customFormat="1" ht="14.25" customHeight="1">
      <c r="A305" s="2943" t="s">
        <v>306</v>
      </c>
      <c r="B305" s="2943" t="s">
        <v>2958</v>
      </c>
      <c r="C305" s="2943">
        <v>5590</v>
      </c>
      <c r="D305" s="2943">
        <v>5530</v>
      </c>
      <c r="E305" s="2943">
        <v>6460</v>
      </c>
      <c r="F305" s="2943">
        <v>900</v>
      </c>
      <c r="G305" s="2956">
        <v>3340</v>
      </c>
    </row>
    <row r="306" spans="1:7" s="2777" customFormat="1" ht="14.25" customHeight="1">
      <c r="A306" s="2943" t="s">
        <v>306</v>
      </c>
      <c r="B306" s="2943" t="s">
        <v>3134</v>
      </c>
      <c r="C306" s="2943">
        <v>5560</v>
      </c>
      <c r="D306" s="2943">
        <v>5510</v>
      </c>
      <c r="E306" s="2943">
        <v>6440</v>
      </c>
      <c r="F306" s="2943">
        <v>900</v>
      </c>
      <c r="G306" s="2956">
        <v>3320</v>
      </c>
    </row>
    <row r="307" spans="1:7" s="2777" customFormat="1" ht="14.25" customHeight="1">
      <c r="A307" s="2943" t="s">
        <v>306</v>
      </c>
      <c r="B307" s="2943" t="s">
        <v>2970</v>
      </c>
      <c r="C307" s="2943">
        <v>5650</v>
      </c>
      <c r="D307" s="2943">
        <v>5600</v>
      </c>
      <c r="E307" s="2943">
        <v>6590</v>
      </c>
      <c r="F307" s="2943">
        <v>930</v>
      </c>
      <c r="G307" s="2956">
        <v>3380</v>
      </c>
    </row>
    <row r="308" spans="1:7" s="2777" customFormat="1" ht="14.25" customHeight="1">
      <c r="A308" s="2943" t="s">
        <v>306</v>
      </c>
      <c r="B308" s="2943" t="s">
        <v>3135</v>
      </c>
      <c r="C308" s="2943">
        <v>5620</v>
      </c>
      <c r="D308" s="2943">
        <v>5580</v>
      </c>
      <c r="E308" s="2943">
        <v>6540</v>
      </c>
      <c r="F308" s="2943">
        <v>910</v>
      </c>
      <c r="G308" s="2956">
        <v>3370</v>
      </c>
    </row>
    <row r="309" spans="1:7" s="2777" customFormat="1" ht="14.25" customHeight="1">
      <c r="A309" s="2943" t="s">
        <v>306</v>
      </c>
      <c r="B309" s="2943" t="s">
        <v>3136</v>
      </c>
      <c r="C309" s="2943">
        <v>5060</v>
      </c>
      <c r="D309" s="2943">
        <v>5020</v>
      </c>
      <c r="E309" s="2943">
        <v>6370</v>
      </c>
      <c r="F309" s="2943">
        <v>800</v>
      </c>
      <c r="G309" s="2956">
        <v>3020</v>
      </c>
    </row>
    <row r="310" spans="1:7" s="2777" customFormat="1" ht="14.25" customHeight="1">
      <c r="A310" s="2943" t="s">
        <v>306</v>
      </c>
      <c r="B310" s="2943" t="s">
        <v>2985</v>
      </c>
      <c r="C310" s="2943">
        <v>5150</v>
      </c>
      <c r="D310" s="2943">
        <v>5110</v>
      </c>
      <c r="E310" s="2943">
        <v>6500</v>
      </c>
      <c r="F310" s="2943">
        <v>880</v>
      </c>
      <c r="G310" s="2956">
        <v>3080</v>
      </c>
    </row>
    <row r="311" spans="1:7" s="2777" customFormat="1" ht="14.25" customHeight="1">
      <c r="A311" s="2943" t="s">
        <v>306</v>
      </c>
      <c r="B311" s="2943" t="s">
        <v>3137</v>
      </c>
      <c r="C311" s="2943">
        <v>4750</v>
      </c>
      <c r="D311" s="2943">
        <v>4710</v>
      </c>
      <c r="E311" s="2943">
        <v>5510</v>
      </c>
      <c r="F311" s="2943">
        <v>880</v>
      </c>
      <c r="G311" s="2956">
        <v>2840</v>
      </c>
    </row>
    <row r="312" spans="1:7" s="2777" customFormat="1" ht="14.25" customHeight="1">
      <c r="A312" s="2943" t="s">
        <v>306</v>
      </c>
      <c r="B312" s="2943" t="s">
        <v>2995</v>
      </c>
      <c r="C312" s="2943">
        <v>4690</v>
      </c>
      <c r="D312" s="2943">
        <v>4640</v>
      </c>
      <c r="E312" s="2943">
        <v>5420</v>
      </c>
      <c r="F312" s="2943">
        <v>800</v>
      </c>
      <c r="G312" s="2956">
        <v>2800</v>
      </c>
    </row>
    <row r="313" spans="1:7" s="2777" customFormat="1" ht="14.25" customHeight="1">
      <c r="A313" s="2943" t="s">
        <v>306</v>
      </c>
      <c r="B313" s="2943" t="s">
        <v>3000</v>
      </c>
      <c r="C313" s="2943">
        <v>4810</v>
      </c>
      <c r="D313" s="2943">
        <v>4760</v>
      </c>
      <c r="E313" s="2943">
        <v>5550</v>
      </c>
      <c r="F313" s="2943">
        <v>920</v>
      </c>
      <c r="G313" s="2956">
        <v>2870</v>
      </c>
    </row>
    <row r="314" spans="1:7" s="2777" customFormat="1" ht="14.25" customHeight="1">
      <c r="A314" s="2943" t="s">
        <v>306</v>
      </c>
      <c r="B314" s="2943" t="s">
        <v>3138</v>
      </c>
      <c r="C314" s="2943"/>
      <c r="D314" s="2943"/>
      <c r="E314" s="2943"/>
      <c r="F314" s="2943">
        <v>1020</v>
      </c>
      <c r="G314" s="2956"/>
    </row>
    <row r="315" spans="1:7" s="2777" customFormat="1" ht="14.25" customHeight="1">
      <c r="A315" s="2943" t="s">
        <v>306</v>
      </c>
      <c r="B315" s="2943" t="s">
        <v>3139</v>
      </c>
      <c r="C315" s="2943"/>
      <c r="D315" s="2943"/>
      <c r="E315" s="2943"/>
      <c r="F315" s="2943">
        <v>1050</v>
      </c>
      <c r="G315" s="2956"/>
    </row>
    <row r="316" spans="1:7" s="2777" customFormat="1" ht="14.25" customHeight="1">
      <c r="A316" s="2943" t="s">
        <v>306</v>
      </c>
      <c r="B316" s="2943" t="s">
        <v>3015</v>
      </c>
      <c r="C316" s="2943"/>
      <c r="D316" s="2943"/>
      <c r="E316" s="2943"/>
      <c r="F316" s="2943">
        <v>900</v>
      </c>
      <c r="G316" s="2956"/>
    </row>
    <row r="317" spans="1:7" s="2777" customFormat="1" ht="14.25" customHeight="1">
      <c r="A317" s="2943" t="s">
        <v>306</v>
      </c>
      <c r="B317" s="2943" t="s">
        <v>3140</v>
      </c>
      <c r="C317" s="2943"/>
      <c r="D317" s="2943"/>
      <c r="E317" s="2943"/>
      <c r="F317" s="2943">
        <v>920</v>
      </c>
      <c r="G317" s="2956"/>
    </row>
    <row r="318" spans="1:7" s="2777" customFormat="1" ht="14.25" customHeight="1">
      <c r="A318" s="2943" t="s">
        <v>306</v>
      </c>
      <c r="B318" s="2943" t="s">
        <v>3141</v>
      </c>
      <c r="C318" s="2943"/>
      <c r="D318" s="2943"/>
      <c r="E318" s="2943"/>
      <c r="F318" s="2943">
        <v>1080</v>
      </c>
      <c r="G318" s="2956"/>
    </row>
    <row r="319" spans="1:7" s="2777" customFormat="1" ht="14.25" customHeight="1">
      <c r="A319" s="2943" t="s">
        <v>306</v>
      </c>
      <c r="B319" s="2943" t="s">
        <v>3028</v>
      </c>
      <c r="C319" s="2943"/>
      <c r="D319" s="2943"/>
      <c r="E319" s="2943"/>
      <c r="F319" s="2943">
        <v>1020</v>
      </c>
      <c r="G319" s="2956"/>
    </row>
    <row r="320" spans="1:7" s="2777" customFormat="1" ht="14.25" customHeight="1">
      <c r="A320" s="2943" t="s">
        <v>306</v>
      </c>
      <c r="B320" s="2943" t="s">
        <v>3031</v>
      </c>
      <c r="C320" s="2943"/>
      <c r="D320" s="2943"/>
      <c r="E320" s="2943"/>
      <c r="F320" s="2943">
        <v>1050</v>
      </c>
      <c r="G320" s="2956"/>
    </row>
    <row r="321" spans="1:7" s="2777" customFormat="1" ht="14.25" customHeight="1">
      <c r="A321" s="2943" t="s">
        <v>306</v>
      </c>
      <c r="B321" s="2943" t="s">
        <v>3033</v>
      </c>
      <c r="C321" s="2943"/>
      <c r="D321" s="2943"/>
      <c r="E321" s="2943"/>
      <c r="F321" s="2943">
        <v>960</v>
      </c>
      <c r="G321" s="2956"/>
    </row>
    <row r="322" spans="1:7" s="2777" customFormat="1" ht="14.25" customHeight="1">
      <c r="A322" s="2943" t="s">
        <v>306</v>
      </c>
      <c r="B322" s="2943" t="s">
        <v>3035</v>
      </c>
      <c r="C322" s="2943"/>
      <c r="D322" s="2943"/>
      <c r="E322" s="2943"/>
      <c r="F322" s="2943">
        <v>960</v>
      </c>
      <c r="G322" s="2956"/>
    </row>
    <row r="323" spans="1:7" s="2777" customFormat="1" ht="14.25" customHeight="1">
      <c r="A323" s="2943" t="s">
        <v>306</v>
      </c>
      <c r="B323" s="2943" t="s">
        <v>3037</v>
      </c>
      <c r="C323" s="2943"/>
      <c r="D323" s="2943"/>
      <c r="E323" s="2943"/>
      <c r="F323" s="2943">
        <v>880</v>
      </c>
      <c r="G323" s="2956"/>
    </row>
    <row r="324" spans="1:7" s="2777" customFormat="1" ht="14.25" customHeight="1">
      <c r="A324" s="2943" t="s">
        <v>306</v>
      </c>
      <c r="B324" s="2943" t="s">
        <v>3039</v>
      </c>
      <c r="C324" s="2943"/>
      <c r="D324" s="2943"/>
      <c r="E324" s="2943"/>
      <c r="F324" s="2943">
        <v>930</v>
      </c>
      <c r="G324" s="2956"/>
    </row>
    <row r="325" spans="1:7" s="2777" customFormat="1" ht="14.25" customHeight="1">
      <c r="A325" s="2943" t="s">
        <v>306</v>
      </c>
      <c r="B325" s="2944" t="s">
        <v>3041</v>
      </c>
      <c r="C325" s="2943"/>
      <c r="D325" s="2943"/>
      <c r="E325" s="2943"/>
      <c r="F325" s="2943">
        <v>900</v>
      </c>
      <c r="G325" s="2956"/>
    </row>
    <row r="326" spans="1:7" s="2777" customFormat="1" ht="14.25" customHeight="1" thickBot="1">
      <c r="A326" s="2957" t="s">
        <v>306</v>
      </c>
      <c r="B326" s="2950" t="s">
        <v>3043</v>
      </c>
      <c r="C326" s="2950"/>
      <c r="D326" s="2950"/>
      <c r="E326" s="2950"/>
      <c r="F326" s="2950">
        <v>790</v>
      </c>
      <c r="G326" s="2958"/>
    </row>
    <row r="327" spans="1:7" s="2777" customFormat="1" ht="14.25" customHeight="1">
      <c r="A327" s="2948" t="s">
        <v>307</v>
      </c>
      <c r="B327" s="2939" t="s">
        <v>3142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3143</v>
      </c>
      <c r="C329" s="2943">
        <v>2730</v>
      </c>
      <c r="D329" s="2943">
        <v>2690</v>
      </c>
      <c r="E329" s="2943">
        <v>3100</v>
      </c>
      <c r="F329" s="2943">
        <v>660</v>
      </c>
      <c r="G329" s="2943">
        <v>1610</v>
      </c>
    </row>
    <row r="330" spans="1:7" s="2777" customFormat="1" ht="14.25" customHeight="1">
      <c r="A330" s="2943" t="s">
        <v>307</v>
      </c>
      <c r="B330" s="2943" t="s">
        <v>3144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2877</v>
      </c>
      <c r="C332" s="2943">
        <v>3520</v>
      </c>
      <c r="D332" s="2943">
        <v>3480</v>
      </c>
      <c r="E332" s="2943">
        <v>3830</v>
      </c>
      <c r="F332" s="2943">
        <v>720</v>
      </c>
      <c r="G332" s="2943">
        <v>2090</v>
      </c>
    </row>
    <row r="333" spans="1:7" s="2777" customFormat="1" ht="14.25" customHeight="1">
      <c r="A333" s="2943" t="s">
        <v>307</v>
      </c>
      <c r="B333" s="2943" t="s">
        <v>3145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2887</v>
      </c>
      <c r="C336" s="2943">
        <v>3570</v>
      </c>
      <c r="D336" s="2943">
        <v>3530</v>
      </c>
      <c r="E336" s="2943">
        <v>3880</v>
      </c>
      <c r="F336" s="2943">
        <v>770</v>
      </c>
      <c r="G336" s="2943">
        <v>2110</v>
      </c>
    </row>
    <row r="337" spans="1:10" s="2777" customFormat="1" ht="14.25" customHeight="1">
      <c r="A337" s="2943" t="s">
        <v>307</v>
      </c>
      <c r="B337" s="2943" t="s">
        <v>3146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2912</v>
      </c>
      <c r="C345" s="2943">
        <v>3190</v>
      </c>
      <c r="D345" s="2943">
        <v>3140</v>
      </c>
      <c r="E345" s="2943">
        <v>3450</v>
      </c>
      <c r="F345" s="2943">
        <v>720</v>
      </c>
      <c r="G345" s="2943">
        <v>1880</v>
      </c>
      <c r="J345" s="2777"/>
    </row>
    <row r="346" spans="1:10">
      <c r="A346" s="2943" t="s">
        <v>307</v>
      </c>
      <c r="B346" s="2943" t="s">
        <v>3149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2921</v>
      </c>
      <c r="C348" s="2943">
        <v>4000</v>
      </c>
      <c r="D348" s="2943">
        <v>3950</v>
      </c>
      <c r="E348" s="2943">
        <v>4430</v>
      </c>
      <c r="F348" s="2943">
        <v>760</v>
      </c>
      <c r="G348" s="2943">
        <v>2360</v>
      </c>
      <c r="J348" s="2777"/>
    </row>
    <row r="349" spans="1:10">
      <c r="A349" s="2943" t="s">
        <v>307</v>
      </c>
      <c r="B349" s="2943" t="s">
        <v>2926</v>
      </c>
      <c r="C349" s="2943">
        <v>3820</v>
      </c>
      <c r="D349" s="2943">
        <v>3780</v>
      </c>
      <c r="E349" s="2943">
        <v>4170</v>
      </c>
      <c r="F349" s="2943">
        <v>710</v>
      </c>
      <c r="G349" s="2943">
        <v>2260</v>
      </c>
      <c r="J349" s="2777"/>
    </row>
    <row r="350" spans="1:10">
      <c r="A350" s="2943" t="s">
        <v>307</v>
      </c>
      <c r="B350" s="2943" t="s">
        <v>3150</v>
      </c>
      <c r="C350" s="2943">
        <v>3760</v>
      </c>
      <c r="D350" s="2943">
        <v>3730</v>
      </c>
      <c r="E350" s="2943">
        <v>4100</v>
      </c>
      <c r="F350" s="2943">
        <v>800</v>
      </c>
      <c r="G350" s="2943">
        <v>2230</v>
      </c>
      <c r="J350" s="2777"/>
    </row>
    <row r="351" spans="1:10">
      <c r="A351" s="2943" t="s">
        <v>307</v>
      </c>
      <c r="B351" s="2943" t="s">
        <v>2934</v>
      </c>
      <c r="C351" s="2943">
        <v>3610</v>
      </c>
      <c r="D351" s="2943">
        <v>3580</v>
      </c>
      <c r="E351" s="2943">
        <v>3930</v>
      </c>
      <c r="F351" s="2943">
        <v>700</v>
      </c>
      <c r="G351" s="2943">
        <v>2140</v>
      </c>
      <c r="J351" s="2777"/>
    </row>
    <row r="352" spans="1:10">
      <c r="A352" s="2943" t="s">
        <v>307</v>
      </c>
      <c r="B352" s="2943" t="s">
        <v>2939</v>
      </c>
      <c r="C352" s="2943">
        <v>3670</v>
      </c>
      <c r="D352" s="2943">
        <v>3630</v>
      </c>
      <c r="E352" s="2943">
        <v>4000</v>
      </c>
      <c r="F352" s="2943">
        <v>750</v>
      </c>
      <c r="G352" s="2943">
        <v>2180</v>
      </c>
    </row>
    <row r="353" spans="1:7" s="2778" customFormat="1">
      <c r="A353" s="2943" t="s">
        <v>307</v>
      </c>
      <c r="B353" s="2943" t="s">
        <v>3151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2959</v>
      </c>
      <c r="C355" s="2943">
        <v>3650</v>
      </c>
      <c r="D355" s="2943">
        <v>3610</v>
      </c>
      <c r="E355" s="2943">
        <v>4200</v>
      </c>
      <c r="F355" s="2943">
        <v>640</v>
      </c>
      <c r="G355" s="2943">
        <v>2160</v>
      </c>
    </row>
    <row r="356" spans="1:7" s="2778" customFormat="1">
      <c r="A356" s="2943" t="s">
        <v>307</v>
      </c>
      <c r="B356" s="2943" t="s">
        <v>2966</v>
      </c>
      <c r="C356" s="2943">
        <v>3260</v>
      </c>
      <c r="D356" s="2943">
        <v>3230</v>
      </c>
      <c r="E356" s="2943">
        <v>3740</v>
      </c>
      <c r="F356" s="2943">
        <v>600</v>
      </c>
      <c r="G356" s="2943">
        <v>1930</v>
      </c>
    </row>
    <row r="357" spans="1:7" s="2778" customFormat="1" ht="12" thickBot="1">
      <c r="A357" s="2951" t="s">
        <v>307</v>
      </c>
      <c r="B357" s="2954" t="s">
        <v>3152</v>
      </c>
      <c r="C357" s="2954">
        <v>3690</v>
      </c>
      <c r="D357" s="2954">
        <v>3650</v>
      </c>
      <c r="E357" s="2954">
        <v>4020</v>
      </c>
      <c r="F357" s="2954">
        <v>700</v>
      </c>
      <c r="G357" s="2954">
        <v>2190</v>
      </c>
    </row>
    <row r="358" spans="1:7" s="2778" customFormat="1">
      <c r="A358" s="2948" t="s">
        <v>3153</v>
      </c>
      <c r="B358" s="2939" t="s">
        <v>3154</v>
      </c>
      <c r="C358" s="2939">
        <v>2080</v>
      </c>
      <c r="D358" s="2939">
        <v>2040</v>
      </c>
      <c r="E358" s="2939">
        <v>2010</v>
      </c>
      <c r="F358" s="2939">
        <v>530</v>
      </c>
      <c r="G358" s="2955">
        <v>1230</v>
      </c>
    </row>
    <row r="359" spans="1:7" s="2778" customFormat="1">
      <c r="A359" s="2943" t="s">
        <v>3153</v>
      </c>
      <c r="B359" s="2943" t="s">
        <v>3155</v>
      </c>
      <c r="C359" s="2943">
        <v>1850</v>
      </c>
      <c r="D359" s="2943">
        <v>1820</v>
      </c>
      <c r="E359" s="2943">
        <v>1780</v>
      </c>
      <c r="F359" s="2943">
        <v>520</v>
      </c>
      <c r="G359" s="2956">
        <v>1100</v>
      </c>
    </row>
    <row r="360" spans="1:7" s="2778" customFormat="1">
      <c r="A360" s="2943" t="s">
        <v>3153</v>
      </c>
      <c r="B360" s="2943" t="s">
        <v>3156</v>
      </c>
      <c r="C360" s="2943">
        <v>2020</v>
      </c>
      <c r="D360" s="2943">
        <v>1990</v>
      </c>
      <c r="E360" s="2943">
        <v>1950</v>
      </c>
      <c r="F360" s="2943">
        <v>500</v>
      </c>
      <c r="G360" s="2956">
        <v>1200</v>
      </c>
    </row>
    <row r="361" spans="1:7" s="2778" customFormat="1">
      <c r="A361" s="2943" t="s">
        <v>3153</v>
      </c>
      <c r="B361" s="2943" t="s">
        <v>153</v>
      </c>
      <c r="C361" s="2943">
        <v>2260</v>
      </c>
      <c r="D361" s="2943">
        <v>2220</v>
      </c>
      <c r="E361" s="2943">
        <v>2180</v>
      </c>
      <c r="F361" s="2943">
        <v>580</v>
      </c>
      <c r="G361" s="2956">
        <v>1340</v>
      </c>
    </row>
    <row r="362" spans="1:7" s="2778" customFormat="1">
      <c r="A362" s="2943" t="s">
        <v>3153</v>
      </c>
      <c r="B362" s="2943" t="s">
        <v>3157</v>
      </c>
      <c r="C362" s="2943">
        <v>2650</v>
      </c>
      <c r="D362" s="2943">
        <v>2610</v>
      </c>
      <c r="E362" s="2943">
        <v>2570</v>
      </c>
      <c r="F362" s="2943">
        <v>630</v>
      </c>
      <c r="G362" s="2956">
        <v>1570</v>
      </c>
    </row>
    <row r="363" spans="1:7" s="2778" customFormat="1">
      <c r="A363" s="2943" t="s">
        <v>3153</v>
      </c>
      <c r="B363" s="2943" t="s">
        <v>2878</v>
      </c>
      <c r="C363" s="2943">
        <v>2390</v>
      </c>
      <c r="D363" s="2943">
        <v>2360</v>
      </c>
      <c r="E363" s="2943">
        <v>2320</v>
      </c>
      <c r="F363" s="2943">
        <v>600</v>
      </c>
      <c r="G363" s="2956">
        <v>1420</v>
      </c>
    </row>
    <row r="364" spans="1:7" s="2778" customFormat="1">
      <c r="A364" s="2943" t="s">
        <v>3153</v>
      </c>
      <c r="B364" s="2943" t="s">
        <v>3158</v>
      </c>
      <c r="C364" s="2943">
        <v>2050</v>
      </c>
      <c r="D364" s="2943">
        <v>2030</v>
      </c>
      <c r="E364" s="2943">
        <v>1990</v>
      </c>
      <c r="F364" s="2943">
        <v>550</v>
      </c>
      <c r="G364" s="2956">
        <v>1220</v>
      </c>
    </row>
    <row r="365" spans="1:7" s="2778" customFormat="1">
      <c r="A365" s="2943" t="s">
        <v>3153</v>
      </c>
      <c r="B365" s="2943" t="s">
        <v>200</v>
      </c>
      <c r="C365" s="2943">
        <v>2140</v>
      </c>
      <c r="D365" s="2943">
        <v>2100</v>
      </c>
      <c r="E365" s="2943">
        <v>2060</v>
      </c>
      <c r="F365" s="2943">
        <v>540</v>
      </c>
      <c r="G365" s="2956">
        <v>1270</v>
      </c>
    </row>
    <row r="366" spans="1:7" s="2778" customFormat="1">
      <c r="A366" s="2943" t="s">
        <v>3153</v>
      </c>
      <c r="B366" s="2943" t="s">
        <v>2885</v>
      </c>
      <c r="C366" s="2943">
        <v>2410</v>
      </c>
      <c r="D366" s="2943">
        <v>2370</v>
      </c>
      <c r="E366" s="2943">
        <v>2330</v>
      </c>
      <c r="F366" s="2943">
        <v>570</v>
      </c>
      <c r="G366" s="2956">
        <v>1440</v>
      </c>
    </row>
    <row r="367" spans="1:7" s="2778" customFormat="1">
      <c r="A367" s="2943" t="s">
        <v>3153</v>
      </c>
      <c r="B367" s="2943" t="s">
        <v>3159</v>
      </c>
      <c r="C367" s="2943">
        <v>2300</v>
      </c>
      <c r="D367" s="2943">
        <v>2260</v>
      </c>
      <c r="E367" s="2943">
        <v>2220</v>
      </c>
      <c r="F367" s="2943">
        <v>560</v>
      </c>
      <c r="G367" s="2956">
        <v>1370</v>
      </c>
    </row>
    <row r="368" spans="1:7" s="2778" customFormat="1">
      <c r="A368" s="2943" t="s">
        <v>3153</v>
      </c>
      <c r="B368" s="2943" t="s">
        <v>3160</v>
      </c>
      <c r="C368" s="2943">
        <v>2430</v>
      </c>
      <c r="D368" s="2943">
        <v>2390</v>
      </c>
      <c r="E368" s="2943">
        <v>2350</v>
      </c>
      <c r="F368" s="2943">
        <v>570</v>
      </c>
      <c r="G368" s="2956">
        <v>1450</v>
      </c>
    </row>
    <row r="369" spans="1:7" s="2778" customFormat="1">
      <c r="A369" s="2943" t="s">
        <v>3153</v>
      </c>
      <c r="B369" s="2943" t="s">
        <v>214</v>
      </c>
      <c r="C369" s="2943">
        <v>2320</v>
      </c>
      <c r="D369" s="2943">
        <v>2290</v>
      </c>
      <c r="E369" s="2943">
        <v>2250</v>
      </c>
      <c r="F369" s="2943">
        <v>550</v>
      </c>
      <c r="G369" s="2956">
        <v>1380</v>
      </c>
    </row>
    <row r="370" spans="1:7" s="2778" customFormat="1">
      <c r="A370" s="2943" t="s">
        <v>3153</v>
      </c>
      <c r="B370" s="2943" t="s">
        <v>221</v>
      </c>
      <c r="C370" s="2943">
        <v>2190</v>
      </c>
      <c r="D370" s="2943">
        <v>2170</v>
      </c>
      <c r="E370" s="2943">
        <v>2130</v>
      </c>
      <c r="F370" s="2943">
        <v>530</v>
      </c>
      <c r="G370" s="2956">
        <v>1310</v>
      </c>
    </row>
    <row r="371" spans="1:7" s="2778" customFormat="1">
      <c r="A371" s="2943" t="s">
        <v>3153</v>
      </c>
      <c r="B371" s="2943" t="s">
        <v>229</v>
      </c>
      <c r="C371" s="2943">
        <v>2460</v>
      </c>
      <c r="D371" s="2943">
        <v>2420</v>
      </c>
      <c r="E371" s="2943">
        <v>2370</v>
      </c>
      <c r="F371" s="2943">
        <v>560</v>
      </c>
      <c r="G371" s="2956">
        <v>1470</v>
      </c>
    </row>
    <row r="372" spans="1:7" s="2778" customFormat="1">
      <c r="A372" s="2943" t="s">
        <v>3153</v>
      </c>
      <c r="B372" s="2943" t="s">
        <v>3161</v>
      </c>
      <c r="C372" s="2943">
        <v>2250</v>
      </c>
      <c r="D372" s="2943">
        <v>2210</v>
      </c>
      <c r="E372" s="2943">
        <v>2180</v>
      </c>
      <c r="F372" s="2943">
        <v>550</v>
      </c>
      <c r="G372" s="2956">
        <v>1340</v>
      </c>
    </row>
    <row r="373" spans="1:7" s="2778" customFormat="1">
      <c r="A373" s="2943" t="s">
        <v>3153</v>
      </c>
      <c r="B373" s="2943" t="s">
        <v>258</v>
      </c>
      <c r="C373" s="2943">
        <v>2210</v>
      </c>
      <c r="D373" s="2943">
        <v>2190</v>
      </c>
      <c r="E373" s="2943">
        <v>2150</v>
      </c>
      <c r="F373" s="2943">
        <v>530</v>
      </c>
      <c r="G373" s="2956">
        <v>1320</v>
      </c>
    </row>
    <row r="374" spans="1:7" s="2778" customFormat="1">
      <c r="A374" s="2943" t="s">
        <v>3153</v>
      </c>
      <c r="B374" s="2943" t="s">
        <v>266</v>
      </c>
      <c r="C374" s="2943">
        <v>2320</v>
      </c>
      <c r="D374" s="2943">
        <v>2280</v>
      </c>
      <c r="E374" s="2943">
        <v>2230</v>
      </c>
      <c r="F374" s="2943">
        <v>580</v>
      </c>
      <c r="G374" s="2956">
        <v>1380</v>
      </c>
    </row>
    <row r="375" spans="1:7" s="2778" customFormat="1">
      <c r="A375" s="2943" t="s">
        <v>3153</v>
      </c>
      <c r="B375" s="2943" t="s">
        <v>3162</v>
      </c>
      <c r="C375" s="2943">
        <v>2090</v>
      </c>
      <c r="D375" s="2943">
        <v>2050</v>
      </c>
      <c r="E375" s="2943">
        <v>2020</v>
      </c>
      <c r="F375" s="2943">
        <v>520</v>
      </c>
      <c r="G375" s="2956">
        <v>1240</v>
      </c>
    </row>
    <row r="376" spans="1:7" s="2778" customFormat="1">
      <c r="A376" s="2943" t="s">
        <v>3153</v>
      </c>
      <c r="B376" s="2943" t="s">
        <v>277</v>
      </c>
      <c r="C376" s="2943">
        <v>2010</v>
      </c>
      <c r="D376" s="2943">
        <v>1980</v>
      </c>
      <c r="E376" s="2943">
        <v>1940</v>
      </c>
      <c r="F376" s="2943">
        <v>540</v>
      </c>
      <c r="G376" s="2956">
        <v>1190</v>
      </c>
    </row>
    <row r="377" spans="1:7" s="2778" customFormat="1" ht="12" thickBot="1">
      <c r="A377" s="2951" t="s">
        <v>3153</v>
      </c>
      <c r="B377" s="2954" t="s">
        <v>2915</v>
      </c>
      <c r="C377" s="2954">
        <v>1930</v>
      </c>
      <c r="D377" s="2954">
        <v>1890</v>
      </c>
      <c r="E377" s="2954">
        <v>1860</v>
      </c>
      <c r="F377" s="2954">
        <v>530</v>
      </c>
      <c r="G377" s="2959">
        <v>1150</v>
      </c>
    </row>
    <row r="378" spans="1:7" s="2778" customFormat="1">
      <c r="A378" s="2960" t="s">
        <v>3163</v>
      </c>
      <c r="B378" s="2939" t="s">
        <v>3164</v>
      </c>
      <c r="C378" s="2939">
        <v>1520</v>
      </c>
      <c r="D378" s="2939">
        <v>1490</v>
      </c>
      <c r="E378" s="2939">
        <v>1460</v>
      </c>
      <c r="F378" s="2939">
        <v>460</v>
      </c>
      <c r="G378" s="2955">
        <v>940</v>
      </c>
    </row>
    <row r="379" spans="1:7" s="2778" customFormat="1">
      <c r="A379" s="2961" t="s">
        <v>3163</v>
      </c>
      <c r="B379" s="2943" t="s">
        <v>3165</v>
      </c>
      <c r="C379" s="2943">
        <v>1500</v>
      </c>
      <c r="D379" s="2943">
        <v>1470</v>
      </c>
      <c r="E379" s="2943">
        <v>1430</v>
      </c>
      <c r="F379" s="2943">
        <v>460</v>
      </c>
      <c r="G379" s="2956">
        <v>920</v>
      </c>
    </row>
    <row r="380" spans="1:7" s="2778" customFormat="1">
      <c r="A380" s="2961" t="s">
        <v>3163</v>
      </c>
      <c r="B380" s="2943" t="s">
        <v>3166</v>
      </c>
      <c r="C380" s="2943">
        <v>1620</v>
      </c>
      <c r="D380" s="2943">
        <v>1590</v>
      </c>
      <c r="E380" s="2943">
        <v>1560</v>
      </c>
      <c r="F380" s="2943">
        <v>480</v>
      </c>
      <c r="G380" s="2956">
        <v>1000</v>
      </c>
    </row>
    <row r="381" spans="1:7" s="2778" customFormat="1">
      <c r="A381" s="2961" t="s">
        <v>3163</v>
      </c>
      <c r="B381" s="2943" t="s">
        <v>3167</v>
      </c>
      <c r="C381" s="2943">
        <v>1460</v>
      </c>
      <c r="D381" s="2943">
        <v>1430</v>
      </c>
      <c r="E381" s="2943">
        <v>1390</v>
      </c>
      <c r="F381" s="2943">
        <v>450</v>
      </c>
      <c r="G381" s="2956">
        <v>900</v>
      </c>
    </row>
    <row r="382" spans="1:7" s="2778" customFormat="1">
      <c r="A382" s="2961" t="s">
        <v>3163</v>
      </c>
      <c r="B382" s="2943" t="s">
        <v>3168</v>
      </c>
      <c r="C382" s="2943">
        <v>1310</v>
      </c>
      <c r="D382" s="2943">
        <v>1280</v>
      </c>
      <c r="E382" s="2943">
        <v>1250</v>
      </c>
      <c r="F382" s="2943">
        <v>440</v>
      </c>
      <c r="G382" s="2956">
        <v>800</v>
      </c>
    </row>
    <row r="383" spans="1:7" s="2778" customFormat="1">
      <c r="A383" s="2961" t="s">
        <v>3163</v>
      </c>
      <c r="B383" s="2943" t="s">
        <v>3169</v>
      </c>
      <c r="C383" s="2943">
        <v>1260</v>
      </c>
      <c r="D383" s="2943">
        <v>1230</v>
      </c>
      <c r="E383" s="2943">
        <v>1200</v>
      </c>
      <c r="F383" s="2943">
        <v>420</v>
      </c>
      <c r="G383" s="2956">
        <v>770</v>
      </c>
    </row>
    <row r="384" spans="1:7" s="2778" customFormat="1" ht="12" thickBot="1">
      <c r="A384" s="2962" t="s">
        <v>3163</v>
      </c>
      <c r="B384" s="2950" t="s">
        <v>3170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54" t="s">
        <v>949</v>
      </c>
      <c r="B1" s="3254"/>
      <c r="C1" s="3254"/>
      <c r="D1" s="3254"/>
    </row>
    <row r="2" spans="1:4" ht="18">
      <c r="A2" s="3255" t="s">
        <v>933</v>
      </c>
      <c r="B2" s="3255"/>
      <c r="C2" s="3255"/>
      <c r="D2" s="3255"/>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255" t="s">
        <v>939</v>
      </c>
      <c r="B6" s="3255"/>
      <c r="C6" s="3255"/>
      <c r="D6" s="3255"/>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56" t="s">
        <v>942</v>
      </c>
      <c r="B11" s="3257"/>
      <c r="C11" s="3257"/>
      <c r="D11" s="3257"/>
    </row>
    <row r="12" spans="1:4" ht="15.75">
      <c r="A12" s="3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7" t="str">
        <f>IF(项目基本情况!B8="抵押","4.本次评估估价师所知悉的法定优先受偿款情况说明如下：","——")</f>
        <v>4.本次评估估价师所知悉的法定优先受偿款情况说明如下：</v>
      </c>
      <c r="B14" s="3258"/>
      <c r="C14" s="3258"/>
      <c r="D14" s="3258"/>
    </row>
    <row r="15" spans="1:4" ht="42" customHeight="1">
      <c r="A15" s="32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7"/>
      <c r="C15" s="3257"/>
      <c r="D15" s="3257"/>
    </row>
    <row r="16" spans="1:4" ht="30" customHeight="1">
      <c r="A16" s="3260" t="s">
        <v>943</v>
      </c>
      <c r="B16" s="3260"/>
      <c r="C16" s="3260"/>
      <c r="D16" s="3260"/>
    </row>
    <row r="17" spans="1:4" ht="144" customHeight="1">
      <c r="A17" s="3260" t="s">
        <v>944</v>
      </c>
      <c r="B17" s="3260"/>
      <c r="C17" s="3260"/>
      <c r="D17" s="3260"/>
    </row>
    <row r="18" spans="1:4" ht="15.75" customHeight="1">
      <c r="A18" s="3257" t="str">
        <f>IF(项目基本情况!B8="抵押",结果表!K120,"——")</f>
        <v>故，本次评估不存在估价师知悉的法定优先受偿款</v>
      </c>
      <c r="B18" s="3257"/>
      <c r="C18" s="3257"/>
      <c r="D18" s="3257"/>
    </row>
    <row r="19" spans="1:4" ht="46.5" customHeight="1">
      <c r="A19" s="3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7"/>
      <c r="C19" s="3257"/>
      <c r="D19" s="3257"/>
    </row>
    <row r="20" spans="1:4" ht="57.75" customHeight="1">
      <c r="A20" s="3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7"/>
      <c r="C20" s="3257"/>
      <c r="D20" s="3257"/>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1"/>
      <c r="C21" s="3261"/>
      <c r="D21" s="3261"/>
    </row>
    <row r="22" spans="1:4" ht="18.75" customHeight="1">
      <c r="A22" s="3262" t="s">
        <v>945</v>
      </c>
      <c r="B22" s="3262"/>
      <c r="C22" s="3262"/>
      <c r="D22" s="3262"/>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259">
        <v>42551</v>
      </c>
      <c r="D31" s="32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W78"/>
  <sheetViews>
    <sheetView workbookViewId="0">
      <selection activeCell="Q80" sqref="Q80"/>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45803</v>
      </c>
      <c r="D1" s="1214" t="s">
        <v>603</v>
      </c>
      <c r="E1" s="1209">
        <f>'数据-取费表'!B22</f>
        <v>3</v>
      </c>
      <c r="F1" s="1214" t="s">
        <v>604</v>
      </c>
      <c r="G1" s="1210">
        <f ca="1">INDIRECT("d"&amp;$K$1)/100</f>
        <v>0.03</v>
      </c>
      <c r="H1" s="1214" t="s">
        <v>634</v>
      </c>
      <c r="I1" s="1210">
        <f ca="1">F4/100</f>
        <v>1.4999999999999999E-2</v>
      </c>
      <c r="J1" s="1215">
        <f>IF(C1&gt;C13,0,MATCH(C1,C$13:C$115,-1))+IF(SUMIF(C13:C115,C1,D13:D115)=0,13,12)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3.5</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1">
        <v>45797</v>
      </c>
      <c r="D13" s="1198">
        <v>3</v>
      </c>
      <c r="E13" s="1198">
        <v>3</v>
      </c>
      <c r="F13" s="1198">
        <f t="shared" ref="F13:F18" si="0">D13</f>
        <v>3</v>
      </c>
      <c r="G13" s="1198">
        <f t="shared" ref="G13:G18" si="1">D13</f>
        <v>3</v>
      </c>
      <c r="H13" s="1198">
        <v>3.5</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45586</v>
      </c>
      <c r="D14" s="1202">
        <v>3.1</v>
      </c>
      <c r="E14" s="1202">
        <f>D14</f>
        <v>3.1</v>
      </c>
      <c r="F14" s="1202">
        <f t="shared" si="0"/>
        <v>3.1</v>
      </c>
      <c r="G14" s="1202">
        <f t="shared" si="1"/>
        <v>3.1</v>
      </c>
      <c r="H14" s="1202">
        <v>3.6</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45495</v>
      </c>
      <c r="D15" s="1202">
        <v>3.35</v>
      </c>
      <c r="E15" s="1202">
        <f>D15</f>
        <v>3.35</v>
      </c>
      <c r="F15" s="1202">
        <f t="shared" si="0"/>
        <v>3.35</v>
      </c>
      <c r="G15" s="1202">
        <f t="shared" si="1"/>
        <v>3.35</v>
      </c>
      <c r="H15" s="1202">
        <v>3.85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45342</v>
      </c>
      <c r="D16" s="1202">
        <v>3.45</v>
      </c>
      <c r="E16" s="1202">
        <f>D16</f>
        <v>3.45</v>
      </c>
      <c r="F16" s="1202">
        <f t="shared" si="0"/>
        <v>3.45</v>
      </c>
      <c r="G16" s="1202">
        <f t="shared" si="1"/>
        <v>3.45</v>
      </c>
      <c r="H16" s="1202">
        <v>3.95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45159</v>
      </c>
      <c r="D17" s="1202">
        <v>3.45</v>
      </c>
      <c r="E17" s="1202">
        <f>D17</f>
        <v>3.45</v>
      </c>
      <c r="F17" s="1202">
        <f t="shared" si="0"/>
        <v>3.45</v>
      </c>
      <c r="G17" s="1202">
        <f t="shared" si="1"/>
        <v>3.45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45097</v>
      </c>
      <c r="D18" s="1202">
        <v>3.55</v>
      </c>
      <c r="E18" s="1202">
        <f>D18</f>
        <v>3.55</v>
      </c>
      <c r="F18" s="1202">
        <f t="shared" si="0"/>
        <v>3.55</v>
      </c>
      <c r="G18" s="1202">
        <f t="shared" si="1"/>
        <v>3.55</v>
      </c>
      <c r="H18" s="1202">
        <v>4.2</v>
      </c>
      <c r="I18" s="1198"/>
      <c r="J18" s="1198"/>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6"/>
      <c r="B19" s="1197"/>
      <c r="C19" s="1203">
        <v>44795</v>
      </c>
      <c r="D19" s="1202">
        <v>3.65</v>
      </c>
      <c r="E19" s="1202">
        <v>3.65</v>
      </c>
      <c r="F19" s="1202">
        <v>3.65</v>
      </c>
      <c r="G19" s="1202">
        <v>3.65</v>
      </c>
      <c r="H19" s="1202">
        <v>4.3</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44701</v>
      </c>
      <c r="D20" s="1202">
        <v>3.7</v>
      </c>
      <c r="E20" s="1202">
        <f>D20</f>
        <v>3.7</v>
      </c>
      <c r="F20" s="1202">
        <f>D20</f>
        <v>3.7</v>
      </c>
      <c r="G20" s="1202">
        <f>D20</f>
        <v>3.7</v>
      </c>
      <c r="H20" s="1202">
        <v>4.45</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c r="C21" s="1203">
        <v>44581</v>
      </c>
      <c r="D21" s="1202">
        <v>3.7</v>
      </c>
      <c r="E21" s="1202">
        <f>D21</f>
        <v>3.7</v>
      </c>
      <c r="F21" s="1202">
        <f>D21</f>
        <v>3.7</v>
      </c>
      <c r="G21" s="1202">
        <f>D21</f>
        <v>3.7</v>
      </c>
      <c r="H21" s="1202">
        <v>4.5999999999999996</v>
      </c>
      <c r="I21" s="1198"/>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44550</v>
      </c>
      <c r="D22" s="1202">
        <v>3.8</v>
      </c>
      <c r="E22" s="1202">
        <f>D22</f>
        <v>3.8</v>
      </c>
      <c r="F22" s="1202">
        <f>D22</f>
        <v>3.8</v>
      </c>
      <c r="G22" s="1202">
        <f>D22</f>
        <v>3.8</v>
      </c>
      <c r="H22" s="1202">
        <v>4.6500000000000004</v>
      </c>
      <c r="I22" s="1202"/>
      <c r="J22" s="1198"/>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2"/>
      <c r="B23" s="1202"/>
      <c r="C23" s="1203">
        <v>43941</v>
      </c>
      <c r="D23" s="1202">
        <v>3.85</v>
      </c>
      <c r="E23" s="1202">
        <v>3.85</v>
      </c>
      <c r="F23" s="1202">
        <v>3.85</v>
      </c>
      <c r="G23" s="1202">
        <v>3.85</v>
      </c>
      <c r="H23" s="1202">
        <v>4.6500000000000004</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43881</v>
      </c>
      <c r="D24" s="1202">
        <v>4.05</v>
      </c>
      <c r="E24" s="1202">
        <v>4.05</v>
      </c>
      <c r="F24" s="1202">
        <v>4.05</v>
      </c>
      <c r="G24" s="1202">
        <v>4.05</v>
      </c>
      <c r="H24" s="1202">
        <v>4.75</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43789</v>
      </c>
      <c r="D25" s="1202">
        <v>4.1500000000000004</v>
      </c>
      <c r="E25" s="1202">
        <v>4.1500000000000004</v>
      </c>
      <c r="F25" s="1202">
        <v>4.1500000000000004</v>
      </c>
      <c r="G25" s="1202">
        <v>4.1500000000000004</v>
      </c>
      <c r="H25" s="1202">
        <v>4.8</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43728</v>
      </c>
      <c r="D26" s="1202">
        <v>4.2</v>
      </c>
      <c r="E26" s="1202">
        <v>4.2</v>
      </c>
      <c r="F26" s="1202">
        <v>4.2</v>
      </c>
      <c r="G26" s="1202">
        <v>4.2</v>
      </c>
      <c r="H26" s="1202">
        <v>4.8499999999999996</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1197" t="s">
        <v>2299</v>
      </c>
      <c r="C27" s="1204">
        <v>43697</v>
      </c>
      <c r="D27" s="2570">
        <v>4.25</v>
      </c>
      <c r="E27" s="2570">
        <v>4.25</v>
      </c>
      <c r="F27" s="2570">
        <v>4.25</v>
      </c>
      <c r="G27" s="2570">
        <v>4.25</v>
      </c>
      <c r="H27" s="2570">
        <v>4.8499999999999996</v>
      </c>
      <c r="I27" s="2570"/>
      <c r="J27" s="2570"/>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ht="14.25">
      <c r="B28" s="2573"/>
      <c r="C28" s="2574">
        <v>42301</v>
      </c>
      <c r="D28" s="2575">
        <v>4.3499999999999996</v>
      </c>
      <c r="E28" s="2575">
        <v>4.3499999999999996</v>
      </c>
      <c r="F28" s="2575">
        <v>4.75</v>
      </c>
      <c r="G28" s="2575">
        <v>4.75</v>
      </c>
      <c r="H28" s="2575">
        <v>4.9000000000000004</v>
      </c>
      <c r="I28" s="2575"/>
      <c r="J28" s="2575"/>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42242</v>
      </c>
      <c r="D29" s="1202">
        <v>4.5999999999999996</v>
      </c>
      <c r="E29" s="1202">
        <v>4.5999999999999996</v>
      </c>
      <c r="F29" s="1202">
        <v>5</v>
      </c>
      <c r="G29" s="1202">
        <v>5</v>
      </c>
      <c r="H29" s="1202">
        <v>5.15</v>
      </c>
      <c r="I29" s="1202">
        <v>2.75</v>
      </c>
      <c r="J29" s="1202">
        <v>3.25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42183</v>
      </c>
      <c r="D30" s="1202">
        <v>4.8499999999999996</v>
      </c>
      <c r="E30" s="1202">
        <v>4.8499999999999996</v>
      </c>
      <c r="F30" s="1202">
        <v>5.25</v>
      </c>
      <c r="G30" s="1202">
        <v>5.25</v>
      </c>
      <c r="H30" s="1202">
        <v>5.4</v>
      </c>
      <c r="I30" s="1202">
        <v>3</v>
      </c>
      <c r="J30" s="1202">
        <v>3.5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42135</v>
      </c>
      <c r="D31" s="1202">
        <v>5.0999999999999996</v>
      </c>
      <c r="E31" s="1202">
        <v>5.0999999999999996</v>
      </c>
      <c r="F31" s="1202">
        <v>5.5</v>
      </c>
      <c r="G31" s="1202">
        <v>5.5</v>
      </c>
      <c r="H31" s="1202">
        <v>5.65</v>
      </c>
      <c r="I31" s="1202">
        <v>3.25</v>
      </c>
      <c r="J31" s="1202">
        <v>3.75</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42064</v>
      </c>
      <c r="D32" s="1202">
        <v>5.35</v>
      </c>
      <c r="E32" s="1202">
        <v>5.35</v>
      </c>
      <c r="F32" s="1202">
        <v>5.75</v>
      </c>
      <c r="G32" s="1202">
        <v>5.75</v>
      </c>
      <c r="H32" s="1202">
        <v>5.9</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41965</v>
      </c>
      <c r="D33" s="1202">
        <v>5.6</v>
      </c>
      <c r="E33" s="1202">
        <v>5.6</v>
      </c>
      <c r="F33" s="1202">
        <v>6</v>
      </c>
      <c r="G33" s="1202">
        <v>6</v>
      </c>
      <c r="H33" s="1202">
        <v>6.15</v>
      </c>
      <c r="I33" s="1202"/>
      <c r="J33" s="1202"/>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41096</v>
      </c>
      <c r="D34" s="1202">
        <v>5.6</v>
      </c>
      <c r="E34" s="1202">
        <v>6</v>
      </c>
      <c r="F34" s="1202">
        <v>6.15</v>
      </c>
      <c r="G34" s="1202">
        <v>6.4</v>
      </c>
      <c r="H34" s="1202">
        <v>6.55</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41068</v>
      </c>
      <c r="D35" s="1202">
        <v>5.85</v>
      </c>
      <c r="E35" s="1202">
        <v>6.31</v>
      </c>
      <c r="F35" s="1202">
        <v>6.4</v>
      </c>
      <c r="G35" s="1202">
        <v>6.65</v>
      </c>
      <c r="H35" s="1202">
        <v>6.8</v>
      </c>
      <c r="I35" s="1202">
        <v>4.2</v>
      </c>
      <c r="J35" s="1202">
        <v>4.7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40731</v>
      </c>
      <c r="D36" s="1202">
        <v>6.1</v>
      </c>
      <c r="E36" s="1202">
        <v>6.56</v>
      </c>
      <c r="F36" s="1202">
        <v>6.65</v>
      </c>
      <c r="G36" s="1202">
        <v>6.9</v>
      </c>
      <c r="H36" s="1202">
        <v>7.05</v>
      </c>
      <c r="I36" s="1202">
        <v>4.45</v>
      </c>
      <c r="J36" s="1202">
        <v>4.9000000000000004</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40639</v>
      </c>
      <c r="D37" s="1202">
        <v>5.85</v>
      </c>
      <c r="E37" s="1202">
        <v>6.31</v>
      </c>
      <c r="F37" s="1202">
        <v>6.4</v>
      </c>
      <c r="G37" s="1202">
        <v>6.65</v>
      </c>
      <c r="H37" s="1202">
        <v>6.8</v>
      </c>
      <c r="I37" s="1202">
        <v>4.2</v>
      </c>
      <c r="J37" s="1202">
        <v>4.7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40583</v>
      </c>
      <c r="D38" s="1202">
        <v>5.6</v>
      </c>
      <c r="E38" s="1202">
        <v>6.06</v>
      </c>
      <c r="F38" s="1202">
        <v>6.1</v>
      </c>
      <c r="G38" s="1202">
        <v>6.45</v>
      </c>
      <c r="H38" s="1202">
        <v>6.6</v>
      </c>
      <c r="I38" s="1202">
        <v>4</v>
      </c>
      <c r="J38" s="1202">
        <v>4.5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40538</v>
      </c>
      <c r="D39" s="1202">
        <v>5.35</v>
      </c>
      <c r="E39" s="1202">
        <v>5.81</v>
      </c>
      <c r="F39" s="1202">
        <v>5.85</v>
      </c>
      <c r="G39" s="1202">
        <v>6.22</v>
      </c>
      <c r="H39" s="1202">
        <v>6.4</v>
      </c>
      <c r="I39" s="1202">
        <v>3.75</v>
      </c>
      <c r="J39" s="1202">
        <v>4.3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40471</v>
      </c>
      <c r="D40" s="1202">
        <v>5.0999999999999996</v>
      </c>
      <c r="E40" s="1202">
        <v>5.56</v>
      </c>
      <c r="F40" s="1202">
        <v>5.6</v>
      </c>
      <c r="G40" s="1202">
        <v>5.96</v>
      </c>
      <c r="H40" s="1202">
        <v>6.14</v>
      </c>
      <c r="I40" s="1202">
        <v>3.5</v>
      </c>
      <c r="J40" s="1202">
        <v>4.05</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39805</v>
      </c>
      <c r="D41" s="1202">
        <v>4.8600000000000003</v>
      </c>
      <c r="E41" s="1202">
        <v>5.31</v>
      </c>
      <c r="F41" s="1202">
        <v>5.4</v>
      </c>
      <c r="G41" s="1202">
        <v>5.76</v>
      </c>
      <c r="H41" s="1202">
        <v>5.94</v>
      </c>
      <c r="I41" s="1202">
        <v>3.33</v>
      </c>
      <c r="J41" s="1202">
        <v>3.87</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39779</v>
      </c>
      <c r="D42" s="1202">
        <v>5.04</v>
      </c>
      <c r="E42" s="1202">
        <v>5.58</v>
      </c>
      <c r="F42" s="1202">
        <v>5.67</v>
      </c>
      <c r="G42" s="1202">
        <v>5.94</v>
      </c>
      <c r="H42" s="1202">
        <v>6.12</v>
      </c>
      <c r="I42" s="1202">
        <v>3.51</v>
      </c>
      <c r="J42" s="1202">
        <v>4.05</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39751</v>
      </c>
      <c r="D43" s="1202">
        <v>6.03</v>
      </c>
      <c r="E43" s="1202">
        <v>6.66</v>
      </c>
      <c r="F43" s="1202">
        <v>6.75</v>
      </c>
      <c r="G43" s="1202">
        <v>7.02</v>
      </c>
      <c r="H43" s="1202">
        <v>7.2</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4">
        <v>39748</v>
      </c>
      <c r="D44" s="1202">
        <v>6.12</v>
      </c>
      <c r="E44" s="1202">
        <v>6.93</v>
      </c>
      <c r="F44" s="1202">
        <v>7.02</v>
      </c>
      <c r="G44" s="1202">
        <v>7.29</v>
      </c>
      <c r="H44" s="1202">
        <v>7.47</v>
      </c>
      <c r="I44" s="1202">
        <v>4.05</v>
      </c>
      <c r="J44" s="1202">
        <v>4.59</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39730</v>
      </c>
      <c r="D45" s="1202">
        <v>6.12</v>
      </c>
      <c r="E45" s="1202">
        <v>6.93</v>
      </c>
      <c r="F45" s="1202">
        <v>7.02</v>
      </c>
      <c r="G45" s="1202">
        <v>7.29</v>
      </c>
      <c r="H45" s="1202">
        <v>7.47</v>
      </c>
      <c r="I45" s="1202">
        <v>4.32</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39707</v>
      </c>
      <c r="D46" s="1202">
        <v>6.21</v>
      </c>
      <c r="E46" s="1202">
        <v>7.2</v>
      </c>
      <c r="F46" s="1202">
        <v>7.29</v>
      </c>
      <c r="G46" s="1202">
        <v>7.56</v>
      </c>
      <c r="H46" s="1202">
        <v>7.74</v>
      </c>
      <c r="I46" s="1202">
        <v>4.59</v>
      </c>
      <c r="J46" s="1202">
        <v>5.13</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39437</v>
      </c>
      <c r="D47" s="1202">
        <v>6.57</v>
      </c>
      <c r="E47" s="1202">
        <v>7.47</v>
      </c>
      <c r="F47" s="1202">
        <v>7.56</v>
      </c>
      <c r="G47" s="1202">
        <v>7.74</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39340</v>
      </c>
      <c r="D48" s="1202">
        <v>6.48</v>
      </c>
      <c r="E48" s="1202">
        <v>7.29</v>
      </c>
      <c r="F48" s="1202">
        <v>7.47</v>
      </c>
      <c r="G48" s="1202">
        <v>7.65</v>
      </c>
      <c r="H48" s="1202">
        <v>7.83</v>
      </c>
      <c r="I48" s="1202">
        <v>4.7699999999999996</v>
      </c>
      <c r="J48" s="1202">
        <v>5.22</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39316</v>
      </c>
      <c r="D49" s="1202">
        <v>6.21</v>
      </c>
      <c r="E49" s="1202">
        <v>7.02</v>
      </c>
      <c r="F49" s="1202">
        <v>7.2</v>
      </c>
      <c r="G49" s="1202">
        <v>7.38</v>
      </c>
      <c r="H49" s="1202">
        <v>7.56</v>
      </c>
      <c r="I49" s="1202">
        <v>4.59</v>
      </c>
      <c r="J49" s="1202">
        <v>5.04</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39284</v>
      </c>
      <c r="D50" s="1202">
        <v>6.03</v>
      </c>
      <c r="E50" s="1202">
        <v>6.84</v>
      </c>
      <c r="F50" s="1202">
        <v>7.02</v>
      </c>
      <c r="G50" s="1202">
        <v>7.2</v>
      </c>
      <c r="H50" s="1202">
        <v>7.38</v>
      </c>
      <c r="I50" s="1202">
        <v>4.5</v>
      </c>
      <c r="J50" s="1202">
        <v>4.95</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39221</v>
      </c>
      <c r="D51" s="1202">
        <v>5.85</v>
      </c>
      <c r="E51" s="1202">
        <v>6.57</v>
      </c>
      <c r="F51" s="1202">
        <v>6.75</v>
      </c>
      <c r="G51" s="1202">
        <v>6.93</v>
      </c>
      <c r="H51" s="1202">
        <v>7.2</v>
      </c>
      <c r="I51" s="1202">
        <v>4.41</v>
      </c>
      <c r="J51" s="1202">
        <v>4.8600000000000003</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39159</v>
      </c>
      <c r="D52" s="1202">
        <v>5.67</v>
      </c>
      <c r="E52" s="1202">
        <v>6.39</v>
      </c>
      <c r="F52" s="1202">
        <v>6.57</v>
      </c>
      <c r="G52" s="1202">
        <v>6.75</v>
      </c>
      <c r="H52" s="1202">
        <v>7.11</v>
      </c>
      <c r="I52" s="1202">
        <v>4.32</v>
      </c>
      <c r="J52" s="1202">
        <v>4.7699999999999996</v>
      </c>
      <c r="L52" s="1202"/>
      <c r="M52" s="1203"/>
      <c r="N52" s="1202"/>
      <c r="O52" s="1202"/>
      <c r="P52" s="1202"/>
      <c r="Q52" s="1202"/>
      <c r="R52" s="1202"/>
      <c r="S52" s="1202"/>
      <c r="T52" s="1202"/>
      <c r="U52" s="1202"/>
      <c r="V52" s="1202"/>
      <c r="W52" s="1202"/>
      <c r="X52" s="1202"/>
      <c r="Y52" s="1202"/>
      <c r="Z52" s="1202"/>
    </row>
    <row r="53" spans="2:26">
      <c r="B53" s="1202"/>
      <c r="C53" s="1203">
        <v>38948</v>
      </c>
      <c r="D53" s="1202">
        <v>5.58</v>
      </c>
      <c r="E53" s="1202">
        <v>6.12</v>
      </c>
      <c r="F53" s="1202">
        <v>6.3</v>
      </c>
      <c r="G53" s="1202">
        <v>6.48</v>
      </c>
      <c r="H53" s="1202">
        <v>6.84</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38835</v>
      </c>
      <c r="D54" s="1202">
        <v>5.4</v>
      </c>
      <c r="E54" s="1202">
        <v>5.85</v>
      </c>
      <c r="F54" s="1202">
        <v>6.03</v>
      </c>
      <c r="G54" s="1202">
        <v>6.12</v>
      </c>
      <c r="H54" s="1202">
        <v>6.39</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38428</v>
      </c>
      <c r="D55" s="1202">
        <v>5.22</v>
      </c>
      <c r="E55" s="1202">
        <v>5.58</v>
      </c>
      <c r="F55" s="1202">
        <v>5.76</v>
      </c>
      <c r="G55" s="1202">
        <v>5.85</v>
      </c>
      <c r="H55" s="1202">
        <v>6.12</v>
      </c>
      <c r="I55" s="1202">
        <v>3.96</v>
      </c>
      <c r="J55" s="1202">
        <v>4.41</v>
      </c>
      <c r="L55" s="1202"/>
      <c r="M55" s="1203"/>
      <c r="N55" s="1202"/>
      <c r="O55" s="1202"/>
      <c r="P55" s="1202"/>
      <c r="Q55" s="1202"/>
      <c r="R55" s="1202"/>
      <c r="S55" s="1202"/>
      <c r="T55" s="1202"/>
      <c r="U55" s="1202"/>
      <c r="V55" s="1202"/>
      <c r="W55" s="1202"/>
      <c r="X55" s="1202"/>
      <c r="Y55" s="1202"/>
      <c r="Z55" s="1202"/>
    </row>
    <row r="56" spans="2:26">
      <c r="B56" s="1202"/>
      <c r="C56" s="1203">
        <v>38289</v>
      </c>
      <c r="D56" s="1202">
        <v>5.22</v>
      </c>
      <c r="E56" s="1202">
        <v>5.58</v>
      </c>
      <c r="F56" s="1202">
        <v>5.76</v>
      </c>
      <c r="G56" s="1202">
        <v>5.85</v>
      </c>
      <c r="H56" s="1202">
        <v>6.12</v>
      </c>
      <c r="I56" s="1202">
        <v>3.78</v>
      </c>
      <c r="J56" s="1202">
        <v>4.2300000000000004</v>
      </c>
      <c r="L56" s="1202"/>
      <c r="M56" s="1203"/>
      <c r="N56" s="1202"/>
      <c r="O56" s="1202"/>
      <c r="P56" s="1202"/>
      <c r="Q56" s="1202"/>
      <c r="R56" s="1202"/>
      <c r="S56" s="1202"/>
      <c r="T56" s="1202"/>
      <c r="U56" s="1202"/>
      <c r="V56" s="1202"/>
      <c r="W56" s="1202"/>
      <c r="X56" s="1202"/>
      <c r="Y56" s="1202"/>
      <c r="Z56" s="1202"/>
    </row>
    <row r="57" spans="2:26">
      <c r="B57" s="1202"/>
      <c r="C57" s="1203">
        <v>37308</v>
      </c>
      <c r="D57" s="1202">
        <v>5.04</v>
      </c>
      <c r="E57" s="1202">
        <v>5.31</v>
      </c>
      <c r="F57" s="1202">
        <v>5.49</v>
      </c>
      <c r="G57" s="1202">
        <v>5.58</v>
      </c>
      <c r="H57" s="1202">
        <v>5.76</v>
      </c>
      <c r="I57" s="1202">
        <v>3.6</v>
      </c>
      <c r="J57" s="1202">
        <v>4.05</v>
      </c>
      <c r="L57" s="1202"/>
      <c r="M57" s="1203"/>
      <c r="N57" s="1202"/>
      <c r="O57" s="1202"/>
      <c r="P57" s="1202"/>
      <c r="Q57" s="1202"/>
      <c r="R57" s="1202"/>
      <c r="S57" s="1202"/>
      <c r="T57" s="1202"/>
      <c r="U57" s="1202"/>
      <c r="V57" s="1202"/>
      <c r="W57" s="1202"/>
      <c r="X57" s="1202"/>
      <c r="Y57" s="1202"/>
      <c r="Z57" s="1202"/>
    </row>
    <row r="58" spans="2:26">
      <c r="B58" s="1202"/>
      <c r="C58" s="1203">
        <v>36321</v>
      </c>
      <c r="D58" s="1202">
        <v>5.58</v>
      </c>
      <c r="E58" s="1202">
        <v>5.85</v>
      </c>
      <c r="F58" s="1202">
        <v>5.94</v>
      </c>
      <c r="G58" s="1202">
        <v>6.03</v>
      </c>
      <c r="H58" s="1202">
        <v>6.21</v>
      </c>
      <c r="I58" s="1202">
        <v>4.1399999999999997</v>
      </c>
      <c r="J58" s="1202">
        <v>4.59</v>
      </c>
    </row>
    <row r="59" spans="2:26">
      <c r="B59" s="1202"/>
      <c r="C59" s="1203">
        <v>36136</v>
      </c>
      <c r="D59" s="1202">
        <v>6.12</v>
      </c>
      <c r="E59" s="1202">
        <v>6.39</v>
      </c>
      <c r="F59" s="1202">
        <v>6.66</v>
      </c>
      <c r="G59" s="1202">
        <v>7.2</v>
      </c>
      <c r="H59" s="1202">
        <v>7.56</v>
      </c>
      <c r="I59" s="1202">
        <v>0</v>
      </c>
      <c r="J59" s="1202">
        <v>0</v>
      </c>
    </row>
    <row r="60" spans="2:26">
      <c r="B60" s="1202"/>
      <c r="C60" s="1203">
        <v>35977</v>
      </c>
      <c r="D60" s="1202">
        <v>6.57</v>
      </c>
      <c r="E60" s="1202">
        <v>6.93</v>
      </c>
      <c r="F60" s="1202">
        <v>7.11</v>
      </c>
      <c r="G60" s="1202">
        <v>7.65</v>
      </c>
      <c r="H60" s="1202">
        <v>8.01</v>
      </c>
      <c r="I60" s="1202">
        <v>0</v>
      </c>
      <c r="J60" s="1202">
        <v>0</v>
      </c>
    </row>
    <row r="61" spans="2:26">
      <c r="B61" s="1202"/>
      <c r="C61" s="1203">
        <v>35879</v>
      </c>
      <c r="D61" s="1202">
        <v>7.02</v>
      </c>
      <c r="E61" s="1202">
        <v>7.92</v>
      </c>
      <c r="F61" s="1202">
        <v>9</v>
      </c>
      <c r="G61" s="1202">
        <v>9.7200000000000006</v>
      </c>
      <c r="H61" s="1202">
        <v>10.35</v>
      </c>
      <c r="I61" s="1202">
        <v>0</v>
      </c>
      <c r="J61" s="1202">
        <v>0</v>
      </c>
    </row>
    <row r="62" spans="2:26">
      <c r="B62" s="1202"/>
      <c r="C62" s="1203">
        <v>35726</v>
      </c>
      <c r="D62" s="1202">
        <v>7.65</v>
      </c>
      <c r="E62" s="1202">
        <v>8.64</v>
      </c>
      <c r="F62" s="1202">
        <v>9.36</v>
      </c>
      <c r="G62" s="1202">
        <v>9.9</v>
      </c>
      <c r="H62" s="1202">
        <v>10.53</v>
      </c>
      <c r="I62" s="1202">
        <v>0</v>
      </c>
      <c r="J62" s="1202">
        <v>0</v>
      </c>
    </row>
    <row r="63" spans="2:26">
      <c r="B63" s="1202"/>
      <c r="C63" s="1203">
        <v>35300</v>
      </c>
      <c r="D63" s="1202">
        <v>9.18</v>
      </c>
      <c r="E63" s="1202">
        <v>10.08</v>
      </c>
      <c r="F63" s="1202">
        <v>10.98</v>
      </c>
      <c r="G63" s="1202">
        <v>11.7</v>
      </c>
      <c r="H63" s="1202">
        <v>12.42</v>
      </c>
      <c r="I63" s="1202">
        <v>0</v>
      </c>
      <c r="J63" s="1202">
        <v>0</v>
      </c>
    </row>
    <row r="64" spans="2:26">
      <c r="B64" s="1202"/>
      <c r="C64" s="1203">
        <v>35186</v>
      </c>
      <c r="D64" s="1202">
        <v>9.7200000000000006</v>
      </c>
      <c r="E64" s="1202">
        <v>10.98</v>
      </c>
      <c r="F64" s="1202">
        <v>13.14</v>
      </c>
      <c r="G64" s="1202">
        <v>14.94</v>
      </c>
      <c r="H64" s="1202">
        <v>15.12</v>
      </c>
      <c r="I64" s="1202">
        <v>0</v>
      </c>
      <c r="J64" s="1202">
        <v>0</v>
      </c>
    </row>
    <row r="65" spans="2:10">
      <c r="B65" s="1202"/>
      <c r="C65" s="1203">
        <v>34881</v>
      </c>
      <c r="D65" s="1202">
        <v>10.08</v>
      </c>
      <c r="E65" s="1202">
        <v>12.06</v>
      </c>
      <c r="F65" s="1202">
        <v>13.5</v>
      </c>
      <c r="G65" s="1202">
        <v>15.12</v>
      </c>
      <c r="H65" s="1202">
        <v>15.3</v>
      </c>
      <c r="I65" s="1202">
        <v>0</v>
      </c>
      <c r="J65" s="1202">
        <v>0</v>
      </c>
    </row>
    <row r="66" spans="2:10">
      <c r="B66" s="1202"/>
      <c r="C66" s="1203">
        <v>34700</v>
      </c>
      <c r="D66" s="1202">
        <v>9</v>
      </c>
      <c r="E66" s="1202">
        <v>10.98</v>
      </c>
      <c r="F66" s="1202">
        <v>12.96</v>
      </c>
      <c r="G66" s="1202">
        <v>14.58</v>
      </c>
      <c r="H66" s="1202">
        <v>14.76</v>
      </c>
      <c r="I66" s="1202">
        <v>0</v>
      </c>
      <c r="J66" s="1202">
        <v>0</v>
      </c>
    </row>
    <row r="67" spans="2:10">
      <c r="B67" s="1202"/>
      <c r="C67" s="1203">
        <v>34161</v>
      </c>
      <c r="D67" s="1202">
        <v>9</v>
      </c>
      <c r="E67" s="1202">
        <v>10.98</v>
      </c>
      <c r="F67" s="1202">
        <v>12.24</v>
      </c>
      <c r="G67" s="1202">
        <v>13.86</v>
      </c>
      <c r="H67" s="1202">
        <v>14.04</v>
      </c>
      <c r="I67" s="1202">
        <v>0</v>
      </c>
      <c r="J67" s="1202">
        <v>0</v>
      </c>
    </row>
    <row r="68" spans="2:10">
      <c r="B68" s="1202"/>
      <c r="C68" s="1203">
        <v>34104</v>
      </c>
      <c r="D68" s="1202">
        <v>8.82</v>
      </c>
      <c r="E68" s="1202">
        <v>9.36</v>
      </c>
      <c r="F68" s="1202">
        <v>10.8</v>
      </c>
      <c r="G68" s="1202">
        <v>12.06</v>
      </c>
      <c r="H68" s="1202">
        <v>12.24</v>
      </c>
      <c r="I68" s="1202">
        <v>0</v>
      </c>
      <c r="J68" s="1202">
        <v>0</v>
      </c>
    </row>
    <row r="69" spans="2:10">
      <c r="B69" s="1202"/>
      <c r="C69" s="1203">
        <v>33349</v>
      </c>
      <c r="D69" s="1202">
        <v>8.1</v>
      </c>
      <c r="E69" s="1202">
        <v>8.64</v>
      </c>
      <c r="F69" s="1202">
        <v>9</v>
      </c>
      <c r="G69" s="1202">
        <v>9.5399999999999991</v>
      </c>
      <c r="H69" s="1202">
        <v>9.7200000000000006</v>
      </c>
      <c r="I69" s="1202">
        <v>0</v>
      </c>
      <c r="J69" s="1202">
        <v>0</v>
      </c>
    </row>
    <row r="70" spans="2:10">
      <c r="B70" s="1202"/>
      <c r="C70" s="1203">
        <v>33318</v>
      </c>
      <c r="D70" s="1202">
        <v>9</v>
      </c>
      <c r="E70" s="1202">
        <v>10.08</v>
      </c>
      <c r="F70" s="1202">
        <v>10.8</v>
      </c>
      <c r="G70" s="1202">
        <v>11.52</v>
      </c>
      <c r="H70" s="1202">
        <v>11.88</v>
      </c>
      <c r="I70" s="1202" t="s">
        <v>633</v>
      </c>
      <c r="J70" s="1202" t="s">
        <v>633</v>
      </c>
    </row>
    <row r="71" spans="2:10">
      <c r="B71" s="1202"/>
      <c r="C71" s="1203">
        <v>33106</v>
      </c>
      <c r="D71" s="1202">
        <v>8.64</v>
      </c>
      <c r="E71" s="1202">
        <v>9.36</v>
      </c>
      <c r="F71" s="1202">
        <v>10.08</v>
      </c>
      <c r="G71" s="1202">
        <v>10.8</v>
      </c>
      <c r="H71" s="1202">
        <v>11.16</v>
      </c>
      <c r="I71" s="1202">
        <v>0</v>
      </c>
      <c r="J71" s="1202">
        <v>0</v>
      </c>
    </row>
    <row r="72" spans="2:10">
      <c r="B72" s="1202"/>
      <c r="C72" s="1203">
        <v>32540</v>
      </c>
      <c r="D72" s="1202">
        <v>11.34</v>
      </c>
      <c r="E72" s="1202">
        <v>11.34</v>
      </c>
      <c r="F72" s="1202">
        <v>12.78</v>
      </c>
      <c r="G72" s="1202">
        <v>14.4</v>
      </c>
      <c r="H72" s="1202">
        <v>19.260000000000002</v>
      </c>
      <c r="I72" s="1202">
        <v>0</v>
      </c>
      <c r="J72" s="1202">
        <v>0</v>
      </c>
    </row>
    <row r="73" spans="2:10">
      <c r="B73" s="1202"/>
      <c r="C73" s="1203"/>
      <c r="D73" s="1202"/>
      <c r="E73" s="1202"/>
      <c r="F73" s="1202"/>
      <c r="G73" s="1202"/>
      <c r="H73" s="1202"/>
      <c r="I73" s="1202"/>
      <c r="J73" s="1202"/>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205"/>
      <c r="C76" s="1206"/>
      <c r="D76" s="1205"/>
      <c r="E76" s="1205"/>
      <c r="F76" s="1205"/>
      <c r="G76" s="1205"/>
      <c r="H76" s="1205"/>
      <c r="I76" s="1205"/>
      <c r="J76" s="1205"/>
    </row>
    <row r="77" spans="2:10">
      <c r="B77" s="1156"/>
      <c r="C77" s="1156"/>
      <c r="D77" s="1156"/>
      <c r="E77" s="1156"/>
      <c r="F77" s="1156"/>
      <c r="G77" s="1156"/>
      <c r="H77" s="1156"/>
      <c r="I77" s="1156"/>
      <c r="J77" s="1156"/>
    </row>
    <row r="78" spans="2:10">
      <c r="B78" s="1156"/>
      <c r="C78" s="1156"/>
      <c r="D78" s="1156"/>
      <c r="E78" s="1156"/>
      <c r="F78" s="1156"/>
      <c r="G78" s="1156"/>
      <c r="H78" s="1156"/>
      <c r="I78" s="1156"/>
      <c r="J78" s="1156"/>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68" t="s">
        <v>956</v>
      </c>
      <c r="B15" s="3263" t="s">
        <v>109</v>
      </c>
      <c r="C15" s="3264"/>
    </row>
    <row r="16" spans="1:7" ht="13.5">
      <c r="A16" s="3269"/>
      <c r="B16" s="3263" t="s">
        <v>42</v>
      </c>
      <c r="C16" s="3264"/>
    </row>
    <row r="17" spans="1:3" ht="13.5">
      <c r="A17" s="3269"/>
      <c r="B17" s="3266" t="s">
        <v>957</v>
      </c>
      <c r="C17" s="1426" t="s">
        <v>956</v>
      </c>
    </row>
    <row r="18" spans="1:3" ht="13.5">
      <c r="A18" s="3269"/>
      <c r="B18" s="3266"/>
      <c r="C18" s="1426" t="s">
        <v>958</v>
      </c>
    </row>
    <row r="19" spans="1:3" ht="13.5">
      <c r="A19" s="3269"/>
      <c r="B19" s="3266"/>
      <c r="C19" s="1426" t="s">
        <v>959</v>
      </c>
    </row>
    <row r="20" spans="1:3" ht="13.5">
      <c r="A20" s="3270"/>
      <c r="B20" s="3265" t="s">
        <v>960</v>
      </c>
      <c r="C20" s="3264"/>
    </row>
    <row r="21" spans="1:3" ht="13.5">
      <c r="A21" s="1427" t="s">
        <v>961</v>
      </c>
      <c r="B21" s="1428"/>
      <c r="C21" s="1429"/>
    </row>
    <row r="22" spans="1:3" ht="13.5">
      <c r="A22" s="3267" t="s">
        <v>962</v>
      </c>
      <c r="B22" s="3265" t="s">
        <v>963</v>
      </c>
      <c r="C22" s="3264"/>
    </row>
    <row r="23" spans="1:3" ht="13.5">
      <c r="A23" s="3267"/>
      <c r="B23" s="3265" t="s">
        <v>964</v>
      </c>
      <c r="C23" s="3264"/>
    </row>
    <row r="24" spans="1:3" ht="13.5">
      <c r="A24" s="3267"/>
      <c r="B24" s="3265" t="s">
        <v>965</v>
      </c>
      <c r="C24" s="3264"/>
    </row>
    <row r="25" spans="1:3" ht="13.5">
      <c r="A25" s="3267"/>
      <c r="B25" s="3266" t="s">
        <v>966</v>
      </c>
      <c r="C25" s="1426" t="s">
        <v>967</v>
      </c>
    </row>
    <row r="26" spans="1:3" ht="13.5">
      <c r="A26" s="3267"/>
      <c r="B26" s="3266"/>
      <c r="C26" s="1426" t="s">
        <v>968</v>
      </c>
    </row>
    <row r="27" spans="1:3" ht="13.5">
      <c r="A27" s="3267"/>
      <c r="B27" s="3266"/>
      <c r="C27" s="1426" t="s">
        <v>969</v>
      </c>
    </row>
    <row r="28" spans="1:3" ht="13.5">
      <c r="A28" s="3267"/>
      <c r="B28" s="3266"/>
      <c r="C28" s="1426" t="s">
        <v>970</v>
      </c>
    </row>
    <row r="29" spans="1:3" ht="13.5">
      <c r="A29" s="3267"/>
      <c r="B29" s="3266"/>
      <c r="C29" s="1426" t="s">
        <v>971</v>
      </c>
    </row>
    <row r="30" spans="1:3" ht="13.5">
      <c r="A30" s="3267"/>
      <c r="B30" s="3266"/>
      <c r="C30" s="1426" t="s">
        <v>972</v>
      </c>
    </row>
    <row r="31" spans="1:3" ht="13.5">
      <c r="A31" s="3267"/>
      <c r="B31" s="3266"/>
      <c r="C31" s="1426" t="s">
        <v>973</v>
      </c>
    </row>
    <row r="32" spans="1:3" ht="13.5">
      <c r="A32" s="3267"/>
      <c r="B32" s="3266"/>
      <c r="C32" s="1426" t="s">
        <v>974</v>
      </c>
    </row>
    <row r="33" spans="1:3" ht="13.5">
      <c r="A33" s="3267"/>
      <c r="B33" s="3266"/>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2138</v>
      </c>
      <c r="B2" s="2152">
        <f ca="1">TODAY()</f>
        <v>45825</v>
      </c>
      <c r="C2" s="2153" t="s">
        <v>2139</v>
      </c>
      <c r="D2" s="2153"/>
      <c r="E2" s="2153"/>
      <c r="F2" s="2149"/>
      <c r="G2" s="2149"/>
      <c r="H2" s="2149"/>
    </row>
    <row r="3" spans="1:8" ht="24" customHeight="1">
      <c r="A3" s="2154" t="s">
        <v>2140</v>
      </c>
      <c r="B3" s="1216" t="s">
        <v>2141</v>
      </c>
      <c r="C3" s="1216" t="s">
        <v>2142</v>
      </c>
      <c r="D3" s="2155" t="s">
        <v>2143</v>
      </c>
      <c r="E3" s="2156" t="s">
        <v>2144</v>
      </c>
      <c r="F3" s="1216" t="s">
        <v>2145</v>
      </c>
      <c r="G3" s="1216" t="s">
        <v>2142</v>
      </c>
      <c r="H3" s="2155" t="s">
        <v>2146</v>
      </c>
    </row>
    <row r="4" spans="1:8" ht="24" customHeight="1">
      <c r="A4" s="1216" t="s">
        <v>2147</v>
      </c>
      <c r="B4" s="1216">
        <f ca="1">IF(C4&lt;B2,"已过期",1119970066)</f>
        <v>1119970066</v>
      </c>
      <c r="C4" s="2157">
        <v>45937</v>
      </c>
      <c r="D4" s="2158" t="str">
        <f ca="1">A4&amp;"（注册号："&amp;B4&amp;"）"</f>
        <v>梁津（注册号：1119970066）</v>
      </c>
      <c r="E4" s="2159" t="s">
        <v>2147</v>
      </c>
      <c r="F4" s="1216">
        <f ca="1">IF(G4&lt;B2,"已过期",96010014)</f>
        <v>96010014</v>
      </c>
      <c r="G4" s="2160">
        <v>47118</v>
      </c>
      <c r="H4" s="2161" t="str">
        <f ca="1">E4&amp;"（注册号："&amp;F4&amp;"）"</f>
        <v>梁津（注册号：96010014）</v>
      </c>
    </row>
    <row r="5" spans="1:8" ht="24" customHeight="1">
      <c r="A5" s="1216" t="s">
        <v>2148</v>
      </c>
      <c r="B5" s="1216">
        <f ca="1">IF(C5&lt;B2,"已过期",1119970111)</f>
        <v>1119970111</v>
      </c>
      <c r="C5" s="2157">
        <v>45937</v>
      </c>
      <c r="D5" s="2158" t="str">
        <f t="shared" ref="D5:D15" ca="1" si="0">A5&amp;"（注册号："&amp;B5&amp;"）"</f>
        <v>叶凌（注册号：1119970111）</v>
      </c>
      <c r="E5" s="2159" t="s">
        <v>2148</v>
      </c>
      <c r="F5" s="1216">
        <f ca="1">IF(G5&lt;B2,"已过期",94010078)</f>
        <v>94010078</v>
      </c>
      <c r="G5" s="2160">
        <v>46387</v>
      </c>
      <c r="H5" s="2161" t="str">
        <f t="shared" ref="H5:H16" ca="1" si="1">E5&amp;"（注册号："&amp;F5&amp;"）"</f>
        <v>叶凌（注册号：94010078）</v>
      </c>
    </row>
    <row r="6" spans="1:8" ht="24" customHeight="1">
      <c r="A6" s="1216" t="s">
        <v>2149</v>
      </c>
      <c r="B6" s="1216" t="str">
        <f ca="1">IF(C6&lt;B2,"已过期",1120050019)</f>
        <v>已过期</v>
      </c>
      <c r="C6" s="2157">
        <v>45410</v>
      </c>
      <c r="D6" s="2158" t="str">
        <f t="shared" ca="1" si="0"/>
        <v>王鹏（注册号：已过期）</v>
      </c>
      <c r="E6" s="2159" t="s">
        <v>2149</v>
      </c>
      <c r="F6" s="1216">
        <f ca="1">IF(G6&lt;B2,"已过期",2002110030)</f>
        <v>2002110030</v>
      </c>
      <c r="G6" s="2160">
        <v>46387</v>
      </c>
      <c r="H6" s="2161" t="str">
        <f t="shared" ca="1" si="1"/>
        <v>王鹏（注册号：2002110030）</v>
      </c>
    </row>
    <row r="7" spans="1:8" ht="24" customHeight="1">
      <c r="A7" s="1216" t="s">
        <v>2150</v>
      </c>
      <c r="B7" s="1216">
        <f ca="1">IF(C7&lt;B2,"已过期",1120000080)</f>
        <v>1120000080</v>
      </c>
      <c r="C7" s="2157">
        <v>45937</v>
      </c>
      <c r="D7" s="2158" t="str">
        <f t="shared" ca="1" si="0"/>
        <v>欧红伟（注册号：1120000080）</v>
      </c>
      <c r="E7" s="2159" t="s">
        <v>2150</v>
      </c>
      <c r="F7" s="1216">
        <f ca="1">IF(G7&lt;B2,"已过期",2000110082)</f>
        <v>2000110082</v>
      </c>
      <c r="G7" s="2160">
        <v>46387</v>
      </c>
      <c r="H7" s="2161" t="str">
        <f t="shared" ca="1" si="1"/>
        <v>欧红伟（注册号：2000110082）</v>
      </c>
    </row>
    <row r="8" spans="1:8" ht="24" customHeight="1">
      <c r="A8" s="1216" t="s">
        <v>2151</v>
      </c>
      <c r="B8" s="1216">
        <f ca="1">IF(C8&lt;B2,"已过期",1419970001)</f>
        <v>1419970001</v>
      </c>
      <c r="C8" s="2157">
        <v>45937</v>
      </c>
      <c r="D8" s="2158" t="str">
        <f t="shared" ca="1" si="0"/>
        <v>吴薇（注册号：1419970001）</v>
      </c>
      <c r="E8" s="2159" t="s">
        <v>2151</v>
      </c>
      <c r="F8" s="1216">
        <f ca="1">IF(G8&lt;B2,"已过期",2002110125)</f>
        <v>2002110125</v>
      </c>
      <c r="G8" s="2160">
        <v>47118</v>
      </c>
      <c r="H8" s="2161" t="str">
        <f t="shared" ca="1" si="1"/>
        <v>吴薇（注册号：2002110125）</v>
      </c>
    </row>
    <row r="9" spans="1:8" ht="24" customHeight="1">
      <c r="A9" s="1216" t="s">
        <v>2152</v>
      </c>
      <c r="B9" s="1216" t="str">
        <f ca="1">IF(C9&lt;B2,"已过期",1120060040)</f>
        <v>已过期</v>
      </c>
      <c r="C9" s="2162">
        <v>45592</v>
      </c>
      <c r="D9" s="2158" t="str">
        <f t="shared" ca="1" si="0"/>
        <v>陈颖（注册号：已过期）</v>
      </c>
      <c r="E9" s="2159" t="s">
        <v>2152</v>
      </c>
      <c r="F9" s="1216">
        <f ca="1">IF(G9&lt;B2,"已过期",2004110096)</f>
        <v>2004110096</v>
      </c>
      <c r="G9" s="2160">
        <v>47118</v>
      </c>
      <c r="H9" s="2161" t="str">
        <f t="shared" ca="1" si="1"/>
        <v>陈颖（注册号：2004110096）</v>
      </c>
    </row>
    <row r="10" spans="1:8" ht="24" customHeight="1">
      <c r="A10" s="1216" t="s">
        <v>2153</v>
      </c>
      <c r="B10" s="1216" t="str">
        <f ca="1">IF(C10&lt;B2,"已过期",1120100036)</f>
        <v>已过期</v>
      </c>
      <c r="C10" s="2162">
        <v>45752</v>
      </c>
      <c r="D10" s="2158" t="str">
        <f t="shared" ca="1" si="0"/>
        <v>崔锴（注册号：已过期）</v>
      </c>
      <c r="E10" s="2159" t="s">
        <v>2153</v>
      </c>
      <c r="F10" s="1216">
        <f ca="1">IF(G10&lt;B2,"已过期",2010110070)</f>
        <v>2010110070</v>
      </c>
      <c r="G10" s="2160">
        <v>47907</v>
      </c>
      <c r="H10" s="2161" t="str">
        <f t="shared" ca="1" si="1"/>
        <v>崔锴（注册号：2010110070）</v>
      </c>
    </row>
    <row r="11" spans="1:8" ht="24" customHeight="1">
      <c r="A11" s="1216" t="s">
        <v>2154</v>
      </c>
      <c r="B11" s="1216">
        <f ca="1">IF(C11&lt;B2,"已过期",1120070131)</f>
        <v>1120070131</v>
      </c>
      <c r="C11" s="2157">
        <v>45937</v>
      </c>
      <c r="D11" s="2158" t="str">
        <f t="shared" ca="1" si="0"/>
        <v>郑燚（注册号：1120070131）</v>
      </c>
      <c r="E11" s="2159" t="s">
        <v>2154</v>
      </c>
      <c r="F11" s="1216">
        <f ca="1">IF(G11&lt;B2,"已过期",2014110011)</f>
        <v>2014110011</v>
      </c>
      <c r="G11" s="2160">
        <v>49302</v>
      </c>
      <c r="H11" s="2161" t="str">
        <f t="shared" ca="1" si="1"/>
        <v>郑燚（注册号：2014110011）</v>
      </c>
    </row>
    <row r="12" spans="1:8" ht="24" customHeight="1">
      <c r="A12" s="1216" t="s">
        <v>2155</v>
      </c>
      <c r="B12" s="1216">
        <f ca="1">IF(C12&lt;B2,"已过期",1120040230)</f>
        <v>1120040230</v>
      </c>
      <c r="C12" s="2162">
        <v>45937</v>
      </c>
      <c r="D12" s="2158" t="str">
        <f t="shared" ca="1" si="0"/>
        <v>苏海（注册号：1120040230）</v>
      </c>
      <c r="E12" s="2159" t="s">
        <v>2155</v>
      </c>
      <c r="F12" s="1216">
        <f ca="1">IF(G12&lt;B2,"已过期",98030020)</f>
        <v>98030020</v>
      </c>
      <c r="G12" s="2160">
        <v>47118</v>
      </c>
      <c r="H12" s="2161" t="str">
        <f t="shared" ca="1" si="1"/>
        <v>苏海（注册号：98030020）</v>
      </c>
    </row>
    <row r="13" spans="1:8" ht="24" customHeight="1">
      <c r="A13" s="1216" t="s">
        <v>2156</v>
      </c>
      <c r="B13" s="1216" t="str">
        <f ca="1">IF(C13&lt;B2,"已过期",1120020033)</f>
        <v>已过期</v>
      </c>
      <c r="C13" s="2157">
        <v>45375</v>
      </c>
      <c r="D13" s="2158" t="str">
        <f t="shared" ca="1" si="0"/>
        <v>刘敬东（注册号：已过期）</v>
      </c>
      <c r="E13" s="2159" t="s">
        <v>2156</v>
      </c>
      <c r="F13" s="1216">
        <f ca="1">IF(G13&lt;B2,"已过期",2000110137)</f>
        <v>2000110137</v>
      </c>
      <c r="G13" s="2160">
        <v>46387</v>
      </c>
      <c r="H13" s="2161" t="str">
        <f t="shared" ca="1" si="1"/>
        <v>刘敬东（注册号：2000110137）</v>
      </c>
    </row>
    <row r="14" spans="1:8" ht="24" customHeight="1">
      <c r="A14" s="1216" t="s">
        <v>2157</v>
      </c>
      <c r="B14" s="1216" t="str">
        <f ca="1">IF(C14&lt;B2,"已过期",1119980106)</f>
        <v>已过期</v>
      </c>
      <c r="C14" s="2162">
        <v>44969</v>
      </c>
      <c r="D14" s="2158" t="str">
        <f t="shared" ca="1" si="0"/>
        <v>刘俊财（注册号：已过期）</v>
      </c>
      <c r="E14" s="2159" t="s">
        <v>2157</v>
      </c>
      <c r="F14" s="1216">
        <f ca="1">IF(G14&lt;B2,"已过期",96010063)</f>
        <v>96010063</v>
      </c>
      <c r="G14" s="2160">
        <v>47483</v>
      </c>
      <c r="H14" s="2161" t="str">
        <f t="shared" ca="1" si="1"/>
        <v>刘俊财（注册号：96010063）</v>
      </c>
    </row>
    <row r="15" spans="1:8" ht="24" customHeight="1">
      <c r="A15" s="1216" t="s">
        <v>2427</v>
      </c>
      <c r="B15" s="1216">
        <v>1120210056</v>
      </c>
      <c r="C15" s="2162">
        <v>45410</v>
      </c>
      <c r="D15" s="2158" t="str">
        <f t="shared" si="0"/>
        <v>宁小鳗（注册号：1120210056）</v>
      </c>
      <c r="E15" s="2159" t="s">
        <v>2158</v>
      </c>
      <c r="F15" s="1216">
        <f ca="1">IF(G15&lt;B2,"已过期",2011110090)</f>
        <v>2011110090</v>
      </c>
      <c r="G15" s="2160">
        <v>48302</v>
      </c>
      <c r="H15" s="2161" t="str">
        <f t="shared" ca="1" si="1"/>
        <v>赵雯（注册号：2011110090）</v>
      </c>
    </row>
    <row r="16" spans="1:8" ht="24" customHeight="1">
      <c r="A16" s="1216"/>
      <c r="B16" s="1216"/>
      <c r="C16" s="1216"/>
      <c r="D16" s="2158" t="str">
        <f>A16&amp;"（注册号："&amp;B16&amp;"）"</f>
        <v>（注册号：）</v>
      </c>
      <c r="E16" s="2159"/>
      <c r="F16" s="1216"/>
      <c r="G16" s="1216"/>
      <c r="H16" s="2163" t="str">
        <f t="shared" si="1"/>
        <v>（注册号：）</v>
      </c>
    </row>
    <row r="17" spans="1:8" ht="24" customHeight="1">
      <c r="A17" s="3271" t="s">
        <v>2159</v>
      </c>
      <c r="B17" s="3271"/>
      <c r="C17" s="3271"/>
      <c r="D17" s="3271"/>
      <c r="E17" s="3271"/>
      <c r="F17" s="3271"/>
      <c r="G17" s="3271"/>
      <c r="H17" s="3271"/>
    </row>
    <row r="18" spans="1:8" ht="24" customHeight="1">
      <c r="A18" s="3272" t="s">
        <v>2160</v>
      </c>
      <c r="B18" s="3272"/>
      <c r="C18" s="3272"/>
      <c r="D18" s="2155"/>
      <c r="E18" s="3273" t="s">
        <v>2161</v>
      </c>
      <c r="F18" s="3272"/>
      <c r="G18" s="3272"/>
    </row>
    <row r="19" spans="1:8" s="2165" customFormat="1" ht="24" customHeight="1">
      <c r="A19" s="2164" t="s">
        <v>2162</v>
      </c>
      <c r="B19" s="1216" t="s">
        <v>2163</v>
      </c>
      <c r="C19" s="1216" t="s">
        <v>2142</v>
      </c>
      <c r="D19" s="2155"/>
      <c r="E19" s="2159" t="s">
        <v>2162</v>
      </c>
      <c r="F19" s="1216" t="s">
        <v>2163</v>
      </c>
      <c r="G19" s="1216" t="s">
        <v>2142</v>
      </c>
    </row>
    <row r="20" spans="1:8" s="2165" customFormat="1" ht="24" customHeight="1">
      <c r="A20" s="2166" t="s">
        <v>2164</v>
      </c>
      <c r="B20" s="2166" t="s">
        <v>2165</v>
      </c>
      <c r="C20" s="2160">
        <v>45898</v>
      </c>
      <c r="D20" s="2167"/>
      <c r="E20" s="2168" t="s">
        <v>2166</v>
      </c>
      <c r="F20" s="2171" t="s">
        <v>2428</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490" priority="32" stopIfTrue="1" operator="equal">
      <formula>"已过期"</formula>
    </cfRule>
  </conditionalFormatting>
  <conditionalFormatting sqref="B4:B15">
    <cfRule type="cellIs" dxfId="1489" priority="4" stopIfTrue="1" operator="equal">
      <formula>"已过期"</formula>
    </cfRule>
  </conditionalFormatting>
  <conditionalFormatting sqref="C7:C12">
    <cfRule type="expression" dxfId="1488" priority="22">
      <formula>AND($C7-TODAY()&lt;30,TODAY()&lt;$C7)</formula>
    </cfRule>
    <cfRule type="cellIs" dxfId="1487" priority="23" stopIfTrue="1" operator="lessThan">
      <formula>$B$2</formula>
    </cfRule>
  </conditionalFormatting>
  <conditionalFormatting sqref="C14:C15">
    <cfRule type="expression" dxfId="1486" priority="7">
      <formula>AND($C14-TODAY()&lt;30,TODAY()&lt;$C14)</formula>
    </cfRule>
    <cfRule type="cellIs" dxfId="1485" priority="8" stopIfTrue="1" operator="lessThan">
      <formula>$B$2</formula>
    </cfRule>
  </conditionalFormatting>
  <conditionalFormatting sqref="C4:D6 D14">
    <cfRule type="cellIs" dxfId="1484" priority="50" stopIfTrue="1" operator="lessThan">
      <formula>$B$2</formula>
    </cfRule>
  </conditionalFormatting>
  <conditionalFormatting sqref="C12:D13">
    <cfRule type="expression" dxfId="1483" priority="47">
      <formula>AND($C12-TODAY()&lt;30,TODAY()&lt;$C12)</formula>
    </cfRule>
  </conditionalFormatting>
  <conditionalFormatting sqref="C13:D14">
    <cfRule type="expression" dxfId="1482" priority="18">
      <formula>AND($C13-TODAY()&lt;30,TODAY()&lt;$C13)</formula>
    </cfRule>
    <cfRule type="cellIs" dxfId="1481" priority="19" stopIfTrue="1" operator="lessThan">
      <formula>$B$2</formula>
    </cfRule>
  </conditionalFormatting>
  <conditionalFormatting sqref="C15:D15">
    <cfRule type="expression" dxfId="1480" priority="5">
      <formula>AND($C15-TODAY()&lt;30,TODAY()&lt;$C15)</formula>
    </cfRule>
    <cfRule type="cellIs" dxfId="1479" priority="6" stopIfTrue="1" operator="lessThan">
      <formula>$B$2</formula>
    </cfRule>
  </conditionalFormatting>
  <conditionalFormatting sqref="C20:D20 C13:D13">
    <cfRule type="cellIs" dxfId="1478" priority="54" stopIfTrue="1" operator="lessThan">
      <formula>$B$2</formula>
    </cfRule>
  </conditionalFormatting>
  <conditionalFormatting sqref="C20:D20">
    <cfRule type="expression" dxfId="1477" priority="52">
      <formula>AND($C20-TODAY()&lt;30,TODAY()&lt;$C20)</formula>
    </cfRule>
  </conditionalFormatting>
  <conditionalFormatting sqref="D7:D12 D16">
    <cfRule type="expression" dxfId="1476" priority="53">
      <formula>AND($C7-TODAY()&lt;30,TODAY()&lt;$C7)</formula>
    </cfRule>
  </conditionalFormatting>
  <conditionalFormatting sqref="D7:D12">
    <cfRule type="cellIs" dxfId="1475" priority="48" stopIfTrue="1" operator="lessThan">
      <formula>$B$2</formula>
    </cfRule>
  </conditionalFormatting>
  <conditionalFormatting sqref="D14 C4:D6">
    <cfRule type="expression" dxfId="1474" priority="49">
      <formula>AND($C4-TODAY()&lt;30,TODAY()&lt;$C4)</formula>
    </cfRule>
  </conditionalFormatting>
  <conditionalFormatting sqref="D15:D16">
    <cfRule type="expression" dxfId="1473" priority="12">
      <formula>AND($C15-TODAY()&lt;30,TODAY()&lt;$C15)</formula>
    </cfRule>
    <cfRule type="cellIs" dxfId="1472" priority="13" stopIfTrue="1" operator="lessThan">
      <formula>$B$2</formula>
    </cfRule>
  </conditionalFormatting>
  <conditionalFormatting sqref="E16:G16">
    <cfRule type="cellIs" dxfId="1471" priority="31" stopIfTrue="1" operator="equal">
      <formula>"已过期"</formula>
    </cfRule>
  </conditionalFormatting>
  <conditionalFormatting sqref="F4:F15">
    <cfRule type="cellIs" dxfId="1470" priority="9" stopIfTrue="1" operator="equal">
      <formula>"已过期"</formula>
    </cfRule>
  </conditionalFormatting>
  <conditionalFormatting sqref="G4:G15">
    <cfRule type="cellIs" dxfId="1469" priority="3" stopIfTrue="1" operator="lessThan">
      <formula>$B$2</formula>
    </cfRule>
  </conditionalFormatting>
  <conditionalFormatting sqref="G20:G21">
    <cfRule type="expression" dxfId="1468" priority="1" stopIfTrue="1">
      <formula>AND(#REF!-TODAY()&lt;30,TODAY()&lt;#REF!)</formula>
    </cfRule>
    <cfRule type="cellIs" dxfId="146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152</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未售清单-住宅</vt:lpstr>
      <vt:lpstr>未售清单-仓储</vt:lpstr>
      <vt:lpstr>未售清单-车位</vt:lpstr>
      <vt:lpstr>新范围-住宅</vt:lpstr>
      <vt:lpstr>新范围-仓储</vt:lpstr>
      <vt:lpstr>新范围-车位</vt:lpstr>
      <vt:lpstr>最新范围-住宅</vt:lpstr>
      <vt:lpstr>最新范围-仓储</vt:lpstr>
      <vt:lpstr>最新范围-车位</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项目成交情况</vt:lpstr>
      <vt:lpstr>比较法-住宅</vt:lpstr>
      <vt:lpstr>比较法-商业</vt:lpstr>
      <vt:lpstr>比较法-办公</vt:lpstr>
      <vt:lpstr>比较法-工业</vt:lpstr>
      <vt:lpstr>住宅案例</vt:lpstr>
      <vt:lpstr>比较法-车位</vt:lpstr>
      <vt:lpstr>车位案例</vt:lpstr>
      <vt:lpstr>比较法-仓储</vt:lpstr>
      <vt:lpstr>仓储案例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2025-06-17T02:43:06Z</dcterms:modified>
</cp:coreProperties>
</file>