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 i="68" l="1"/>
  <c r="D33" i="43"/>
  <c r="G84" i="43"/>
  <c r="G85" i="43"/>
  <c r="G86" i="43"/>
  <c r="G87" i="43"/>
  <c r="G88" i="43"/>
  <c r="G89" i="43"/>
  <c r="G90" i="43"/>
  <c r="G83" i="43"/>
  <c r="Y6" i="1"/>
  <c r="N6" i="1"/>
  <c r="N18" i="1"/>
  <c r="L6" i="1"/>
  <c r="B60" i="1" l="1"/>
  <c r="F19" i="6"/>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C5" i="74" l="1"/>
  <c r="C6" i="74"/>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1" i="15"/>
  <c r="D42" i="15" s="1"/>
  <c r="E22" i="6"/>
  <c r="E23" i="6"/>
  <c r="K10" i="1" s="1"/>
  <c r="M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67"/>
  <c r="B9" i="76"/>
  <c r="F20" i="31"/>
  <c r="M21" i="15"/>
  <c r="F36" i="67"/>
  <c r="F26" i="67"/>
  <c r="M8" i="67"/>
  <c r="F34" i="15"/>
  <c r="M9" i="15"/>
  <c r="F16" i="67"/>
  <c r="F8" i="67"/>
  <c r="F4" i="73"/>
  <c r="F48" i="15"/>
  <c r="D6" i="73"/>
  <c r="M27" i="15"/>
  <c r="E13" i="76"/>
  <c r="F40" i="67"/>
  <c r="F6" i="15"/>
  <c r="J15" i="67"/>
  <c r="M8" i="15"/>
  <c r="M28" i="67"/>
  <c r="M28" i="15"/>
  <c r="C76" i="67"/>
  <c r="B8" i="76"/>
  <c r="AO13" i="1"/>
  <c r="M22" i="15"/>
  <c r="E12" i="76"/>
  <c r="M25" i="15"/>
  <c r="F7" i="15"/>
  <c r="F21" i="15"/>
  <c r="M24" i="67"/>
  <c r="E7" i="76"/>
  <c r="B13" i="76"/>
  <c r="F43" i="67"/>
  <c r="F7" i="67"/>
  <c r="F6" i="73"/>
  <c r="F44" i="15"/>
  <c r="M23" i="15"/>
  <c r="M6" i="67"/>
  <c r="F9" i="15"/>
  <c r="B12" i="76"/>
  <c r="E10" i="76"/>
  <c r="L47" i="67"/>
  <c r="E8" i="76"/>
  <c r="B11" i="76"/>
  <c r="M26" i="67"/>
  <c r="F3" i="73"/>
  <c r="F42" i="67"/>
  <c r="F8" i="15"/>
  <c r="E9" i="76"/>
  <c r="F7" i="73"/>
  <c r="L52" i="15"/>
  <c r="M29" i="67"/>
  <c r="E2" i="69"/>
  <c r="M6" i="15"/>
  <c r="F25" i="15"/>
  <c r="F9" i="67"/>
  <c r="M9" i="67"/>
  <c r="F27" i="15"/>
  <c r="B7" i="76"/>
  <c r="F38" i="67"/>
  <c r="F13" i="67"/>
  <c r="M32" i="15"/>
  <c r="F22" i="15"/>
  <c r="F37" i="67"/>
  <c r="B10" i="76"/>
  <c r="F5" i="73"/>
  <c r="F29" i="15"/>
  <c r="F23" i="15"/>
  <c r="M22" i="67"/>
  <c r="C83" i="15"/>
  <c r="E11" i="76"/>
  <c r="F6" i="67"/>
  <c r="F19" i="15" l="1"/>
  <c r="F69" i="15" s="1"/>
  <c r="M20" i="67"/>
  <c r="D41" i="15"/>
  <c r="BB5" i="3"/>
  <c r="BL18" i="3"/>
  <c r="AZ16" i="3"/>
  <c r="AZ17" i="3"/>
  <c r="BL16" i="3"/>
  <c r="G29" i="6"/>
  <c r="B13" i="53"/>
  <c r="B29" i="72"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C7" i="15"/>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D15" i="68"/>
  <c r="C18" i="81"/>
  <c r="F7" i="81"/>
  <c r="C16" i="67"/>
  <c r="F23" i="81"/>
  <c r="C83" i="81"/>
  <c r="D5" i="73"/>
  <c r="M8" i="81"/>
  <c r="D3" i="73"/>
  <c r="F29" i="81"/>
  <c r="F22" i="81"/>
  <c r="D4" i="73"/>
  <c r="L53" i="81"/>
  <c r="F6" i="81"/>
  <c r="M21" i="81"/>
  <c r="M28" i="81"/>
  <c r="F21" i="81"/>
  <c r="D7" i="73"/>
  <c r="M27" i="81"/>
  <c r="F44" i="81"/>
  <c r="F9" i="81"/>
  <c r="F48" i="81"/>
  <c r="L52" i="81"/>
  <c r="L48" i="67"/>
  <c r="F34" i="81"/>
  <c r="F8" i="81"/>
  <c r="L53" i="15"/>
  <c r="M25" i="81"/>
  <c r="M9" i="81"/>
  <c r="M6" i="81"/>
  <c r="M32" i="81"/>
  <c r="F25" i="81"/>
  <c r="M22" i="81"/>
  <c r="F27" i="81"/>
  <c r="C34" i="15"/>
  <c r="M23" i="81"/>
  <c r="N64" i="15" l="1"/>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C18" i="15"/>
  <c r="G1" i="73"/>
  <c r="C34" i="81"/>
  <c r="E58" i="40" l="1"/>
  <c r="E16" i="6"/>
  <c r="E27" i="6"/>
  <c r="K26" i="6" s="1"/>
  <c r="M26" i="6" s="1"/>
  <c r="I26" i="6" s="1"/>
  <c r="S26" i="6" s="1"/>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F26" i="15"/>
  <c r="M26" i="15"/>
  <c r="M26" i="81"/>
  <c r="F41" i="67"/>
  <c r="F26" i="81"/>
  <c r="AA12" i="40" l="1"/>
  <c r="K19" i="6"/>
  <c r="S6" i="1" s="1"/>
  <c r="E31" i="6"/>
  <c r="K22" i="6"/>
  <c r="K23" i="6"/>
  <c r="K24" i="6"/>
  <c r="K20" i="6"/>
  <c r="M20" i="6" s="1"/>
  <c r="I20" i="6" s="1"/>
  <c r="S20" i="6" s="1"/>
  <c r="D19" i="11"/>
  <c r="C19" i="11" s="1"/>
  <c r="C20" i="11" s="1"/>
  <c r="C28" i="11" s="1"/>
  <c r="C27" i="11" s="1"/>
  <c r="D37" i="11"/>
  <c r="D3" i="33"/>
  <c r="E6" i="6"/>
  <c r="D23" i="83" s="1"/>
  <c r="D24" i="83" s="1"/>
  <c r="C24" i="83" s="1"/>
  <c r="W12" i="40"/>
  <c r="C23" i="15"/>
  <c r="D16" i="80"/>
  <c r="C16" i="80" s="1"/>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68" i="81"/>
  <c r="C35" i="15"/>
  <c r="C35" i="81"/>
  <c r="C32" i="81"/>
  <c r="C17" i="67"/>
  <c r="C68" i="15"/>
  <c r="C14" i="67"/>
  <c r="C30" i="43" l="1"/>
  <c r="C23" i="83"/>
  <c r="D22" i="12"/>
  <c r="C22" i="12" s="1"/>
  <c r="D10" i="11"/>
  <c r="C10" i="11" s="1"/>
  <c r="H24" i="6"/>
  <c r="R24" i="6" s="1"/>
  <c r="R11" i="1" s="1"/>
  <c r="H21" i="6"/>
  <c r="R21" i="6" s="1"/>
  <c r="R8" i="1" s="1"/>
  <c r="D17" i="80"/>
  <c r="C17" i="80" s="1"/>
  <c r="D6" i="6"/>
  <c r="D16" i="68"/>
  <c r="D17" i="68" s="1"/>
  <c r="D10" i="69"/>
  <c r="C10" i="69" s="1"/>
  <c r="C8" i="69"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E6" i="76"/>
  <c r="C32" i="15"/>
  <c r="D18" i="80" l="1"/>
  <c r="C18" i="80" s="1"/>
  <c r="C44" i="80" s="1"/>
  <c r="C40" i="80" s="1"/>
  <c r="C47" i="80" s="1"/>
  <c r="C53" i="80" s="1"/>
  <c r="C52" i="80" s="1"/>
  <c r="D19" i="69"/>
  <c r="C19" i="69" s="1"/>
  <c r="C16" i="68"/>
  <c r="D31" i="6"/>
  <c r="I5"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I6" i="6"/>
  <c r="E2" i="76"/>
  <c r="B2" i="76"/>
  <c r="I71" i="39"/>
  <c r="J69" i="39"/>
  <c r="I65" i="40"/>
  <c r="H67" i="40"/>
  <c r="I58" i="21"/>
  <c r="J58" i="21" s="1"/>
  <c r="K58" i="21" s="1"/>
  <c r="L58" i="21" s="1"/>
  <c r="M58" i="21" s="1"/>
  <c r="N58" i="21" s="1"/>
  <c r="O58" i="21" s="1"/>
  <c r="H7" i="21" s="1"/>
  <c r="J48" i="35"/>
  <c r="C10" i="68"/>
  <c r="C11" i="68" s="1"/>
  <c r="B29" i="1" l="1"/>
  <c r="D37" i="69"/>
  <c r="C37" i="69" s="1"/>
  <c r="C33" i="69" s="1"/>
  <c r="C39" i="69" s="1"/>
  <c r="C43" i="69" s="1"/>
  <c r="C50" i="80"/>
  <c r="C49" i="80" s="1"/>
  <c r="C51" i="12"/>
  <c r="C41" i="68"/>
  <c r="C20" i="68"/>
  <c r="C46" i="68" s="1"/>
  <c r="C19" i="68"/>
  <c r="C45" i="68" s="1"/>
  <c r="C42" i="68"/>
  <c r="C41" i="81"/>
  <c r="C40" i="81" s="1"/>
  <c r="C26" i="82"/>
  <c r="C25" i="82" s="1"/>
  <c r="C28" i="82"/>
  <c r="C61" i="12"/>
  <c r="C60" i="12" s="1"/>
  <c r="C55" i="12"/>
  <c r="C24" i="69"/>
  <c r="C31"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1" i="83" l="1"/>
  <c r="C20" i="83" s="1"/>
  <c r="C14" i="80"/>
  <c r="C13" i="80" s="1"/>
  <c r="C9" i="80" s="1"/>
  <c r="C20" i="12"/>
  <c r="C14" i="68"/>
  <c r="C13" i="68" s="1"/>
  <c r="C9" i="68" s="1"/>
  <c r="C21" i="68" s="1"/>
  <c r="C25" i="68" s="1"/>
  <c r="C23" i="68" s="1"/>
  <c r="C56" i="80"/>
  <c r="C57" i="80" s="1"/>
  <c r="C31" i="80"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F20" i="15"/>
  <c r="F20" i="81"/>
  <c r="M20" i="81"/>
  <c r="M20" i="15"/>
  <c r="C54" i="12" l="1"/>
  <c r="C19" i="12"/>
  <c r="C21" i="80"/>
  <c r="C28" i="80" s="1"/>
  <c r="C27" i="80" s="1"/>
  <c r="C30" i="83"/>
  <c r="C29" i="83"/>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31" i="83" l="1"/>
  <c r="C32" i="83" s="1"/>
  <c r="C33" i="83" s="1"/>
  <c r="C34" i="83" s="1"/>
  <c r="B2" i="83" s="1"/>
  <c r="B5" i="83" s="1"/>
  <c r="C53" i="12"/>
  <c r="C49" i="12" s="1"/>
  <c r="C15" i="12"/>
  <c r="C25" i="80"/>
  <c r="C23" i="80" s="1"/>
  <c r="C59" i="80"/>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4" i="83" l="1"/>
  <c r="B3" i="83"/>
  <c r="C27" i="12"/>
  <c r="C31" i="12" s="1"/>
  <c r="C29" i="12" s="1"/>
  <c r="C63" i="12" s="1"/>
  <c r="C5" i="80"/>
  <c r="C32" i="80"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C19" i="9"/>
  <c r="L51" i="67"/>
  <c r="C35" i="12" l="1"/>
  <c r="C33" i="12" s="1"/>
  <c r="C64" i="12" s="1"/>
  <c r="C59" i="12"/>
  <c r="C48" i="12" s="1"/>
  <c r="C33" i="80"/>
  <c r="D3" i="80" s="1"/>
  <c r="C64" i="80"/>
  <c r="C63" i="80" s="1"/>
  <c r="J65" i="15"/>
  <c r="Q53" i="15" s="1"/>
  <c r="C102" i="9"/>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D34" i="9"/>
  <c r="D35" i="9"/>
  <c r="F2" i="34"/>
  <c r="F2" i="35"/>
  <c r="C20" i="9"/>
  <c r="F2" i="36"/>
  <c r="F2" i="37"/>
  <c r="C36" i="12" l="1"/>
  <c r="C65" i="12" s="1"/>
  <c r="B2" i="80"/>
  <c r="B3" i="80"/>
  <c r="C51" i="81"/>
  <c r="C28" i="81"/>
  <c r="C29" i="81" s="1"/>
  <c r="Q70" i="81"/>
  <c r="Q61" i="81"/>
  <c r="Q52" i="81"/>
  <c r="Q58" i="81" s="1"/>
  <c r="J14" i="15"/>
  <c r="J13" i="15" s="1"/>
  <c r="J24" i="15" s="1"/>
  <c r="J25" i="15" s="1"/>
  <c r="J28" i="15" s="1"/>
  <c r="Q71" i="81"/>
  <c r="Q62" i="81"/>
  <c r="L51" i="81"/>
  <c r="D3" i="81" s="1"/>
  <c r="C61" i="15"/>
  <c r="C72" i="15" s="1"/>
  <c r="C67" i="15" s="1"/>
  <c r="C65" i="15" s="1"/>
  <c r="C64"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87" i="15" l="1"/>
  <c r="C86" i="15" s="1"/>
  <c r="C25" i="15"/>
  <c r="C28" i="15" s="1"/>
  <c r="C37" i="12"/>
  <c r="B2" i="12" s="1"/>
  <c r="B5" i="12"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B3" i="12" l="1"/>
  <c r="B4" i="12"/>
  <c r="C49" i="39"/>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B3" i="40"/>
  <c r="B4" i="40"/>
  <c r="B5" i="40"/>
  <c r="C90" i="15"/>
  <c r="C89" i="15" s="1"/>
  <c r="E14" i="74"/>
  <c r="F14" i="74"/>
  <c r="B5" i="74"/>
  <c r="D5" i="74" s="1"/>
  <c r="AO6" i="1"/>
  <c r="AO8" i="1"/>
  <c r="AO9" i="1"/>
  <c r="B9" i="70" l="1"/>
  <c r="B8" i="70"/>
  <c r="B6" i="70"/>
  <c r="B3" i="15"/>
  <c r="B6" i="74"/>
  <c r="D6" i="74" s="1"/>
  <c r="D20" i="9"/>
  <c r="D103" i="9" l="1"/>
  <c r="G20" i="9"/>
  <c r="C32" i="9" s="1"/>
  <c r="B2" i="70"/>
  <c r="B3" i="70" s="1"/>
  <c r="C35" i="9" l="1"/>
  <c r="C34" i="9" s="1"/>
  <c r="N117" i="9"/>
  <c r="I118" i="9" s="1"/>
  <c r="N119" i="9"/>
  <c r="H118" i="9" s="1"/>
  <c r="L119" i="9" l="1"/>
  <c r="L117" i="9"/>
  <c r="I4" i="52"/>
  <c r="C105" i="9"/>
  <c r="H102" i="9"/>
  <c r="D7" i="53" s="1"/>
  <c r="B21" i="72" s="1"/>
  <c r="H4" i="52"/>
  <c r="H119" i="9"/>
  <c r="H5" i="52" s="1"/>
  <c r="C104" i="9"/>
  <c r="H101" i="9"/>
  <c r="M117" i="9"/>
  <c r="M119" i="9"/>
  <c r="F118" i="9" s="1"/>
  <c r="G118" i="9" s="1"/>
  <c r="D118" i="9" l="1"/>
  <c r="D5" i="53"/>
  <c r="M48" i="9"/>
  <c r="H107" i="9"/>
  <c r="D45" i="9"/>
  <c r="D56" i="9" l="1"/>
  <c r="H65" i="9"/>
  <c r="H64" i="9" s="1"/>
  <c r="H63" i="9" s="1"/>
  <c r="C85" i="9"/>
  <c r="C64" i="9"/>
  <c r="C63" i="9" s="1"/>
  <c r="C67" i="9" s="1"/>
  <c r="D55" i="9"/>
  <c r="M53" i="9" s="1"/>
  <c r="D52" i="9"/>
  <c r="C72" i="9"/>
  <c r="H108" i="9"/>
  <c r="D15" i="53" s="1"/>
  <c r="B31" i="72" s="1"/>
  <c r="M49" i="9"/>
  <c r="D122" i="9"/>
  <c r="D13" i="53"/>
  <c r="B20" i="72"/>
  <c r="D6" i="53"/>
  <c r="B22" i="72" s="1"/>
  <c r="D119" i="9"/>
  <c r="D5" i="52" s="1"/>
  <c r="B49" i="72" s="1"/>
  <c r="D4" i="52"/>
  <c r="B47" i="72" s="1"/>
  <c r="F119" i="9"/>
  <c r="F5" i="52" s="1"/>
  <c r="B53" i="72" s="1"/>
  <c r="F4" i="52"/>
  <c r="B51" i="72" s="1"/>
  <c r="C68" i="9" l="1"/>
  <c r="D59" i="9"/>
  <c r="M55" i="9" s="1"/>
  <c r="B30" i="72"/>
  <c r="D14" i="53"/>
  <c r="B32" i="72" s="1"/>
  <c r="C78" i="9"/>
  <c r="C73" i="9" s="1"/>
  <c r="C79" i="9" s="1"/>
  <c r="C93" i="9"/>
  <c r="C86" i="9" s="1"/>
  <c r="C95" i="9" s="1"/>
  <c r="D8" i="52"/>
  <c r="D123" i="9"/>
  <c r="D9" i="52" s="1"/>
  <c r="D53" i="9"/>
  <c r="D54" i="9"/>
  <c r="L65" i="9"/>
  <c r="M65" i="9" s="1"/>
  <c r="L68" i="9"/>
  <c r="M68" i="9" s="1"/>
  <c r="L63" i="9"/>
  <c r="M63" i="9" s="1"/>
  <c r="L66" i="9"/>
  <c r="M66" i="9" s="1"/>
  <c r="L64" i="9"/>
  <c r="M64" i="9" s="1"/>
  <c r="L67" i="9"/>
  <c r="M67" i="9" s="1"/>
  <c r="G4" i="52"/>
  <c r="B52" i="72" s="1"/>
  <c r="E118" i="9"/>
  <c r="E4" i="52" s="1"/>
  <c r="B48" i="72" s="1"/>
  <c r="M69" i="9" l="1"/>
  <c r="N69" i="9" s="1"/>
  <c r="C96" i="9"/>
  <c r="E96" i="9" s="1"/>
  <c r="E97" i="9" s="1"/>
  <c r="C80" i="9"/>
  <c r="E80" i="9" s="1"/>
  <c r="E81" i="9" s="1"/>
  <c r="C97" i="9" l="1"/>
  <c r="D58" i="9" s="1"/>
  <c r="M54" i="9" s="1"/>
  <c r="N57" i="9" s="1"/>
  <c r="N58" i="9" s="1"/>
  <c r="C81" i="9"/>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<sst xmlns="http://schemas.openxmlformats.org/spreadsheetml/2006/main" count="8971" uniqueCount="3885">
  <si>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</si>
  <si>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</si>
  <si>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</si>
  <si>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</si>
  <si>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</si>
  <si>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</si>
  <si>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</si>
  <si>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</si>
  <si>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</si>
  <si>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</si>
  <si>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</si>
  <si>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</si>
  <si>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</si>
  <si>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</si>
  <si>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</si>
  <si>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</si>
  <si>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</si>
  <si>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</si>
  <si>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</si>
  <si>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</si>
  <si>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</si>
  <si>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</si>
  <si>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</si>
  <si>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</si>
  <si>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</si>
  <si>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</si>
  <si>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</si>
  <si>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</si>
  <si>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</si>
  <si>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</si>
  <si>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</si>
  <si>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</si>
  <si>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</si>
  <si>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</si>
  <si>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</si>
  <si>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</si>
  <si>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</si>
  <si>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</si>
  <si>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</si>
  <si>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</si>
  <si>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</si>
  <si>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</si>
  <si>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</si>
  <si>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</si>
  <si>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</si>
  <si>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</si>
  <si>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</si>
  <si>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</si>
  <si>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</si>
  <si>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</si>
  <si>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</si>
  <si>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</si>
  <si>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</si>
  <si>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</si>
  <si>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</si>
  <si>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</si>
  <si>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</si>
  <si>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</si>
  <si>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</si>
  <si>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</si>
  <si>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</si>
  <si>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</si>
  <si>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</si>
  <si>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</si>
  <si>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</si>
  <si>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</si>
  <si>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</si>
  <si>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</si>
  <si>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</si>
  <si>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</si>
  <si>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</si>
  <si>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</si>
  <si>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</si>
  <si>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</si>
  <si>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</si>
  <si>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</si>
  <si>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</si>
  <si>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</si>
  <si>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</si>
  <si>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</si>
  <si>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</si>
  <si>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</si>
  <si>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</si>
  <si>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</si>
  <si>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</si>
  <si>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</si>
  <si>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</si>
  <si>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</si>
  <si>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</si>
  <si>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</si>
  <si>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</si>
  <si>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</si>
  <si>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</si>
  <si>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</si>
  <si>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</si>
  <si>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</si>
  <si>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</si>
  <si>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</si>
  <si>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</si>
  <si>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</si>
  <si>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</si>
  <si>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</si>
  <si>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</si>
  <si>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</si>
  <si>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</si>
  <si>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</si>
  <si>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</si>
  <si>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</si>
  <si>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</si>
  <si>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</si>
  <si>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</si>
  <si>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</si>
  <si>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</si>
  <si>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</si>
  <si>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</si>
  <si>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</si>
  <si>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</si>
  <si>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</si>
  <si>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</si>
  <si>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</si>
  <si>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</si>
  <si>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</si>
  <si>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</si>
  <si>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</si>
  <si>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</si>
  <si>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</si>
  <si>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</si>
  <si>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</si>
  <si>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</si>
  <si>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</si>
  <si>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</si>
  <si>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</si>
  <si>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</si>
  <si>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</si>
  <si>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</si>
  <si>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</si>
  <si>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</si>
  <si>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</si>
  <si>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</si>
  <si>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</si>
  <si>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</si>
  <si>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</si>
  <si>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</si>
  <si>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</si>
  <si>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</si>
  <si>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</si>
  <si>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</si>
  <si>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</si>
  <si>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</si>
  <si>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</si>
  <si>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</si>
  <si>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</si>
  <si>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</si>
  <si>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</si>
  <si>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</si>
  <si>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</si>
  <si>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</si>
  <si>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</si>
  <si>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</si>
  <si>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</si>
  <si>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</si>
  <si>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</si>
  <si>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</si>
  <si>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</si>
  <si>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</si>
  <si>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</si>
  <si>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</si>
  <si>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</si>
  <si>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</si>
  <si>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</si>
  <si>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</si>
  <si>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</si>
  <si>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</si>
  <si>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</si>
  <si>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</si>
  <si>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</si>
  <si>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</si>
  <si>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</si>
  <si>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</si>
  <si>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</si>
  <si>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</si>
  <si>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</si>
  <si>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</si>
  <si>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</si>
  <si>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</si>
  <si>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</si>
  <si>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</si>
  <si>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</si>
  <si>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</si>
  <si>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</si>
  <si>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</si>
  <si>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</si>
  <si>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</si>
  <si>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</si>
  <si>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</si>
  <si>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</si>
  <si>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</si>
  <si>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</si>
  <si>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</si>
  <si>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</si>
  <si>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</si>
  <si>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</si>
  <si>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</si>
  <si>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</si>
  <si>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</si>
  <si>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</si>
  <si>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</si>
  <si>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</si>
  <si>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</si>
  <si>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</si>
  <si>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</si>
  <si>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</si>
  <si>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</si>
  <si>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</si>
  <si>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</si>
  <si>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</si>
  <si>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</si>
  <si>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</si>
  <si>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</si>
  <si>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</si>
  <si>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</si>
  <si>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</si>
  <si>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</si>
  <si>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</si>
  <si>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</si>
  <si>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</si>
  <si>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</si>
  <si>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</si>
  <si>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</si>
  <si>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</si>
  <si>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</si>
  <si>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</si>
  <si>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</si>
  <si>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</si>
  <si>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</si>
  <si>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</si>
  <si>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</si>
  <si>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</si>
  <si>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</si>
  <si>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</si>
  <si>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</si>
  <si>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</si>
  <si>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</si>
  <si>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</si>
  <si>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</si>
  <si>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</si>
  <si>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</si>
  <si>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</si>
  <si>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</si>
  <si>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</si>
  <si>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</si>
  <si>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</si>
  <si>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</si>
  <si>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</si>
  <si>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</si>
  <si>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</si>
  <si>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</si>
  <si>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</si>
  <si>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</si>
  <si>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</si>
  <si>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</si>
  <si>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</si>
  <si>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</si>
  <si>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</si>
  <si>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</si>
  <si>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</si>
  <si>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</si>
  <si>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</si>
  <si>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</si>
  <si>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</si>
  <si>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</si>
  <si>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</si>
  <si>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</si>
  <si>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</si>
  <si>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</si>
  <si>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</si>
  <si>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</si>
  <si>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</si>
  <si>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</si>
  <si>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</si>
  <si>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</si>
  <si>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</si>
  <si>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</si>
  <si>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</si>
  <si>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</si>
  <si>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</si>
  <si>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</si>
  <si>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</si>
  <si>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</si>
  <si>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</si>
  <si>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</si>
  <si>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</si>
  <si>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</si>
  <si>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</si>
  <si>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</si>
  <si>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</si>
  <si>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</si>
  <si>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</si>
  <si>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</si>
  <si>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</si>
  <si>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</si>
  <si>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</si>
  <si>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</si>
  <si>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</si>
  <si>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</si>
  <si>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</si>
  <si>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</si>
  <si>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</si>
  <si>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</si>
  <si>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</si>
  <si>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</si>
  <si>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</si>
  <si>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</si>
  <si>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</si>
  <si>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</si>
  <si>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</si>
  <si>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</si>
  <si>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</si>
  <si>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</si>
  <si>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</si>
  <si>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</si>
  <si>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</si>
  <si>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</si>
  <si>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</si>
  <si>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</si>
  <si>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</si>
  <si>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</si>
  <si>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</si>
  <si>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</si>
  <si>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</si>
  <si>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</si>
  <si>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</si>
  <si>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</si>
  <si>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</si>
  <si>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</si>
  <si>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</si>
  <si>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</si>
  <si>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</si>
  <si>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</si>
  <si>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</si>
  <si>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</si>
  <si>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</si>
  <si>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</si>
  <si>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</si>
  <si>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</si>
  <si>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</si>
  <si>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</si>
  <si>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</si>
  <si>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</si>
  <si>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</si>
  <si>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</si>
  <si>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</si>
  <si>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</si>
  <si>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</si>
  <si>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</si>
  <si>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</si>
  <si>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</si>
  <si>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</si>
  <si>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</si>
  <si>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</si>
  <si>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</si>
  <si>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</si>
  <si>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</si>
  <si>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</si>
  <si>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</si>
  <si>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</si>
  <si>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</si>
  <si>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</si>
  <si>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</si>
  <si>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</si>
  <si>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</si>
  <si>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</si>
  <si>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</si>
  <si>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</si>
  <si>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</si>
  <si>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</si>
  <si>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</si>
  <si>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</si>
  <si>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</si>
  <si>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</si>
  <si>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</si>
  <si>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</si>
  <si>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</si>
  <si>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</si>
  <si>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</si>
  <si>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</si>
  <si>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</si>
  <si>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</si>
  <si>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</si>
  <si>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</si>
  <si>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</si>
  <si>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</si>
  <si>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</si>
  <si>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</si>
  <si>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</si>
  <si>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</si>
  <si>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</si>
  <si>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</si>
  <si>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</si>
  <si>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</si>
  <si>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</si>
  <si>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</si>
  <si>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</si>
  <si>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</si>
  <si>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</si>
  <si>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</si>
  <si>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</si>
  <si>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</si>
  <si>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</si>
  <si>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</si>
  <si>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</si>
  <si>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</si>
  <si>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</si>
  <si>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</si>
  <si>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</si>
  <si>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</si>
  <si>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</si>
  <si>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</si>
  <si>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</si>
  <si>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</si>
  <si>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</si>
  <si>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</si>
  <si>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</si>
  <si>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</si>
  <si>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</si>
  <si>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</si>
  <si>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</si>
  <si>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</si>
  <si>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</si>
  <si>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</si>
  <si>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</si>
  <si>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</si>
  <si>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</si>
  <si>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</si>
  <si>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</si>
  <si>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</si>
  <si>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</si>
  <si>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</si>
  <si>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</si>
  <si>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</si>
  <si>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</si>
  <si>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</si>
  <si>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</si>
  <si>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</si>
  <si>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</si>
  <si>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</si>
  <si>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</si>
  <si>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</si>
  <si>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</si>
  <si>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</si>
  <si>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</si>
  <si>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</si>
  <si>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</si>
  <si>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</si>
  <si>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</si>
  <si>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</si>
  <si>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</si>
  <si>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</si>
  <si>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</si>
  <si>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</si>
  <si>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</si>
  <si>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</si>
  <si>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</si>
  <si>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</si>
  <si>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</si>
  <si>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</si>
  <si>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</si>
  <si>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</si>
  <si>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</si>
  <si>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</si>
  <si>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</si>
  <si>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</si>
  <si>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</si>
  <si>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</si>
  <si>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</si>
  <si>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</si>
  <si>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</si>
  <si>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</si>
  <si>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</si>
  <si>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</si>
  <si>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</si>
  <si>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</si>
  <si>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</si>
  <si>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</si>
  <si>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</si>
  <si>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</si>
  <si>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</si>
  <si>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</si>
  <si>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</si>
  <si>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</si>
  <si>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</si>
  <si>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</si>
  <si>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</si>
  <si>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</si>
  <si>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</si>
  <si>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</si>
  <si>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</si>
  <si>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</si>
  <si>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</si>
  <si>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</si>
  <si>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</si>
  <si>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</si>
  <si>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</si>
  <si>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</si>
  <si>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</si>
  <si>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</si>
  <si>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</si>
  <si>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</si>
  <si>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</si>
  <si>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</si>
  <si>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</si>
  <si>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</si>
  <si>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</si>
  <si>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</si>
  <si>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</si>
  <si>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</si>
  <si>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</si>
  <si>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</si>
  <si>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</si>
  <si>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</si>
  <si>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</si>
  <si>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</si>
  <si>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</si>
  <si>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</si>
  <si>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</si>
  <si>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</si>
  <si>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</si>
  <si>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</si>
  <si>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</si>
  <si>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</si>
  <si>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</si>
  <si>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</si>
  <si>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</si>
  <si>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</si>
  <si>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</si>
  <si>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</si>
  <si>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</si>
  <si>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</si>
  <si>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</si>
  <si>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</si>
  <si>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</si>
  <si>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</si>
  <si>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</si>
  <si>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</si>
  <si>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</si>
  <si>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</si>
  <si>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</si>
  <si>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</si>
  <si>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</si>
  <si>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</si>
  <si>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</si>
  <si>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</si>
  <si>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</si>
  <si>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</si>
  <si>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</si>
  <si>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</si>
  <si>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</si>
  <si>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</si>
  <si>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</si>
  <si>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</si>
  <si>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</si>
  <si>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</si>
  <si>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</si>
  <si>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</si>
  <si>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</si>
  <si>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</si>
  <si>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</si>
  <si>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</si>
  <si>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</si>
  <si>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</si>
  <si>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</si>
  <si>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</si>
  <si>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</si>
  <si>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</si>
  <si>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</si>
  <si>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</si>
  <si>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</si>
  <si>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</si>
  <si>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</si>
  <si>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</si>
  <si>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</si>
  <si>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</si>
  <si>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</si>
  <si>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</si>
  <si>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</si>
  <si>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</si>
  <si>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</si>
  <si>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</si>
  <si>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</si>
  <si>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</si>
  <si>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</si>
  <si>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</si>
  <si>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</si>
  <si>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</si>
  <si>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</si>
  <si>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</si>
  <si>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</si>
  <si>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</si>
  <si>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</si>
  <si>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</si>
  <si>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</si>
  <si>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</si>
  <si>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</si>
  <si>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</si>
  <si>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</si>
  <si>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</si>
  <si>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</si>
  <si>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</si>
  <si>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</si>
  <si>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</si>
  <si>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</si>
  <si>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</si>
  <si>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</si>
  <si>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</si>
  <si>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</si>
  <si>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</si>
  <si>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</si>
  <si>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</si>
  <si>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</si>
  <si>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</si>
  <si>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</si>
  <si>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</si>
  <si>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</si>
  <si>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</si>
  <si>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</si>
  <si>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</si>
  <si>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</si>
  <si>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</si>
  <si>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</si>
  <si>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</si>
  <si>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</si>
  <si>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</si>
  <si>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</si>
  <si>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</si>
  <si>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</si>
  <si>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</si>
  <si>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</si>
  <si>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</si>
  <si>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</si>
  <si>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</si>
  <si>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</si>
  <si>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</si>
  <si>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</si>
  <si>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</si>
  <si>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</si>
  <si>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</si>
  <si>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</si>
  <si>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</si>
  <si>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</si>
  <si>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</si>
  <si>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</si>
  <si>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</si>
  <si>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</si>
  <si>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</si>
  <si>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</si>
  <si>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</si>
  <si>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</si>
  <si>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</si>
  <si>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</si>
  <si>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</si>
  <si>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</si>
  <si>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</si>
  <si>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</si>
  <si>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</si>
  <si>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</si>
  <si>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</si>
  <si>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</si>
  <si>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</si>
  <si>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</si>
  <si>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</si>
  <si>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</si>
  <si>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</si>
  <si>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</si>
  <si>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</si>
  <si>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</si>
  <si>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</si>
  <si>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</si>
  <si>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</si>
  <si>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</si>
  <si>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</si>
  <si>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</si>
  <si>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</si>
  <si>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</si>
  <si>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</si>
  <si>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</si>
  <si>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</si>
  <si>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</si>
  <si>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</si>
  <si>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</si>
  <si>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</si>
  <si>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</si>
  <si>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</si>
  <si>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</si>
  <si>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</si>
  <si>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</si>
  <si>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</si>
  <si>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</si>
  <si>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</si>
  <si>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</si>
  <si>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</si>
  <si>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</si>
  <si>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</si>
  <si>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</si>
  <si>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</si>
  <si>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</si>
  <si>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</si>
  <si>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</si>
  <si>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</si>
  <si>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</si>
  <si>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</si>
  <si>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</si>
  <si>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</si>
  <si>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</si>
  <si>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</si>
  <si>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</si>
  <si>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</si>
  <si>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</si>
  <si>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</si>
  <si>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</si>
  <si>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</si>
  <si>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</si>
  <si>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</si>
  <si>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</si>
  <si>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</si>
  <si>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</si>
  <si>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</si>
  <si>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</si>
  <si>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</si>
  <si>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</si>
  <si>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</si>
  <si>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</si>
  <si>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</si>
  <si>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</si>
  <si>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</si>
  <si>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</si>
  <si>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</si>
  <si>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</si>
  <si>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</si>
  <si>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</si>
  <si>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</si>
  <si>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</si>
  <si>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</si>
  <si>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</si>
  <si>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</si>
  <si>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</si>
  <si>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</si>
  <si>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</si>
  <si>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</si>
  <si>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</si>
  <si>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</si>
  <si>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</si>
  <si>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</si>
  <si>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</si>
  <si>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</si>
  <si>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</si>
  <si>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</si>
  <si>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</si>
  <si>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</si>
  <si>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</si>
  <si>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</si>
  <si>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</si>
  <si>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</si>
  <si>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</si>
  <si>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</si>
  <si>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</si>
  <si>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</si>
  <si>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</si>
  <si>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</si>
  <si>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</si>
  <si>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</si>
  <si>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</si>
  <si>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</si>
  <si>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</si>
  <si>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</si>
  <si>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</si>
  <si>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</si>
  <si>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</si>
  <si>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</si>
  <si>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</si>
  <si>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</si>
  <si>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</si>
  <si>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</si>
  <si>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</si>
  <si>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</si>
  <si>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</si>
  <si>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</si>
  <si>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</si>
  <si>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</si>
  <si>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</si>
  <si>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</si>
  <si>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</si>
  <si>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</si>
  <si>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</si>
  <si>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</si>
  <si>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</si>
  <si>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</si>
  <si>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</si>
  <si>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</si>
  <si>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</si>
  <si>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</si>
  <si>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</si>
  <si>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</si>
  <si>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</si>
  <si>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</si>
  <si>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</si>
  <si>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</si>
  <si>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</si>
  <si>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</si>
  <si>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</si>
  <si>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</si>
  <si>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</si>
  <si>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</si>
  <si>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</si>
  <si>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</si>
  <si>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</si>
  <si>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</si>
  <si>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</si>
  <si>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</si>
  <si>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</si>
  <si>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</si>
  <si>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</si>
  <si>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</si>
  <si>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</si>
  <si>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</si>
  <si>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</si>
  <si>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</si>
  <si>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</si>
  <si>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</si>
  <si>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</si>
  <si>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</si>
  <si>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</si>
  <si>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</si>
  <si>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</si>
  <si>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</si>
  <si>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</si>
  <si>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</si>
  <si>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</si>
  <si>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</si>
  <si>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</si>
  <si>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</si>
  <si>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</si>
  <si>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</si>
  <si>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</si>
  <si>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</si>
  <si>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</si>
  <si>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</si>
  <si>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</si>
  <si>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</si>
  <si>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</si>
  <si>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</si>
  <si>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</si>
  <si>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</si>
  <si>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</si>
  <si>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</si>
  <si>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</si>
  <si>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</si>
  <si>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</si>
  <si>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</si>
  <si>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</si>
  <si>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</si>
  <si>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</si>
  <si>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</si>
  <si>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</si>
  <si>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</si>
  <si>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</si>
  <si>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</si>
  <si>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</si>
  <si>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</si>
  <si>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</si>
  <si>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</si>
  <si>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</si>
  <si>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</si>
  <si>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</si>
  <si>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</si>
  <si>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</si>
  <si>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</si>
  <si>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</si>
  <si>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</si>
  <si>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</si>
  <si>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</si>
  <si>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</si>
  <si>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</si>
  <si>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</si>
  <si>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</si>
  <si>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</si>
  <si>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</si>
  <si>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</si>
  <si>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</si>
  <si>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</si>
  <si>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</si>
  <si>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</si>
  <si>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</si>
  <si>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</si>
  <si>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</si>
  <si>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</si>
  <si>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</si>
  <si>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</si>
  <si>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</si>
  <si>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</si>
  <si>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</si>
  <si>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</si>
  <si>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</si>
  <si>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</si>
  <si>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</si>
  <si>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</si>
  <si>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</si>
  <si>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</si>
  <si>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</si>
  <si>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</si>
  <si>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</si>
  <si>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</si>
  <si>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</si>
  <si>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</si>
  <si>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</si>
  <si>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</si>
  <si>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</si>
  <si>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</si>
  <si>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</si>
  <si>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</si>
  <si>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</si>
  <si>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</si>
  <si>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</si>
  <si>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</si>
  <si>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</si>
  <si>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</si>
  <si>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</si>
  <si>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</si>
  <si>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</si>
  <si>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</si>
  <si>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</si>
  <si>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</si>
  <si>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</si>
  <si>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</si>
  <si>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</si>
  <si>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</si>
  <si>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</si>
  <si>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</si>
  <si>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</si>
  <si>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</si>
  <si>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</si>
  <si>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</si>
  <si>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</si>
  <si>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</si>
  <si>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</si>
  <si>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</si>
  <si>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</si>
  <si>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</si>
  <si>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</si>
  <si>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</si>
  <si>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</si>
  <si>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</si>
  <si>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</si>
  <si>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</si>
  <si>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</si>
  <si>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</si>
  <si>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</si>
  <si>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</si>
  <si>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</si>
  <si>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</si>
  <si>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</si>
  <si>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</si>
  <si>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</si>
  <si>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</si>
  <si>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</si>
  <si>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</si>
  <si>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</si>
  <si>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</si>
  <si>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</si>
  <si>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</si>
  <si>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</si>
  <si>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</si>
  <si>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</si>
  <si>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</si>
  <si>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</si>
  <si>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</si>
  <si>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</si>
  <si>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</si>
  <si>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</si>
  <si>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</si>
  <si>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</si>
  <si>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</si>
  <si>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</si>
  <si>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</si>
  <si>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</si>
  <si>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</si>
  <si>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</si>
  <si>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</si>
  <si>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</si>
  <si>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</si>
  <si>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</si>
  <si>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</si>
  <si>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</si>
  <si>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</si>
  <si>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</si>
  <si>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</si>
  <si>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</si>
  <si>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</si>
  <si>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</si>
  <si>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</si>
  <si>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</si>
  <si>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</si>
  <si>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</si>
  <si>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</si>
  <si>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</si>
  <si>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</si>
  <si>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</si>
  <si>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</si>
  <si>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</si>
  <si>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</si>
  <si>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</si>
  <si>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</si>
  <si>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</si>
  <si>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</si>
  <si>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</si>
  <si>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</si>
  <si>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</si>
  <si>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</si>
  <si>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</si>
  <si>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</si>
  <si>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</si>
  <si>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</si>
  <si>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</si>
  <si>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</si>
  <si>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</si>
  <si>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</si>
  <si>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</si>
  <si>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</si>
  <si>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</si>
  <si>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</si>
  <si>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</si>
  <si>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</si>
  <si>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</si>
  <si>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</si>
  <si>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</si>
  <si>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</si>
  <si>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</si>
  <si>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</si>
  <si>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</si>
  <si>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</si>
  <si>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</si>
  <si>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</si>
  <si>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</si>
  <si>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</si>
  <si>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</si>
  <si>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</si>
  <si>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</si>
  <si>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</si>
  <si>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</si>
  <si>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</si>
  <si>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</si>
  <si>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</si>
  <si>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</si>
  <si>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</si>
  <si>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</si>
  <si>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</si>
  <si>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</si>
  <si>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</si>
  <si>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</si>
  <si>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</si>
  <si>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</si>
  <si>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</si>
  <si>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</si>
  <si>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</si>
  <si>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</si>
  <si>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</si>
  <si>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</si>
  <si>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</si>
  <si>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</si>
  <si>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</si>
  <si>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</si>
  <si>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</si>
  <si>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</si>
  <si>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</si>
  <si>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</si>
  <si>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</si>
  <si>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</si>
  <si>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</si>
  <si>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</si>
  <si>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</si>
  <si>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</si>
  <si>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</si>
  <si>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</si>
  <si>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</si>
  <si>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</si>
  <si>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</si>
  <si>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</si>
  <si>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</si>
  <si>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</si>
  <si>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</si>
  <si>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</si>
  <si>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</si>
  <si>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</si>
  <si>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</si>
  <si>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</si>
  <si>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</si>
  <si>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</si>
  <si>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</si>
  <si>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</si>
  <si>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</si>
  <si>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</si>
  <si>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</si>
  <si>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</si>
  <si>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</si>
  <si>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</si>
  <si>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</si>
  <si>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</si>
  <si>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</si>
  <si>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</si>
  <si>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</si>
  <si>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</si>
  <si>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</si>
  <si>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</si>
  <si>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</si>
  <si>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</si>
  <si>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</si>
  <si>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</si>
  <si>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</si>
  <si>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</si>
  <si>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</si>
  <si>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</si>
  <si>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</si>
  <si>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</si>
  <si>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</si>
  <si>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</si>
  <si>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</si>
  <si>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</si>
  <si>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</si>
  <si>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</si>
  <si>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</si>
  <si>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</si>
  <si>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</si>
  <si>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</si>
  <si>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</si>
  <si>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</si>
  <si>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</si>
  <si>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</si>
  <si>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</si>
  <si>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</si>
  <si>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</si>
  <si>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</si>
  <si>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</si>
  <si>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</si>
  <si>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</si>
  <si>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</si>
  <si>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</si>
  <si>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</si>
  <si>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</si>
  <si>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</si>
  <si>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</si>
  <si>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</si>
  <si>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</si>
  <si>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</si>
  <si>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</si>
  <si>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</si>
  <si>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</si>
  <si>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</si>
  <si>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</si>
  <si>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</si>
  <si>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</si>
  <si>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</si>
  <si>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</si>
  <si>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</si>
  <si>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</si>
  <si>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</si>
  <si>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</si>
  <si>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</si>
  <si>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</si>
  <si>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</si>
  <si>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</si>
  <si>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</si>
  <si>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</si>
  <si>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</si>
  <si>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</si>
  <si>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</si>
  <si>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</si>
  <si>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</si>
  <si>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</si>
  <si>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</si>
  <si>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</si>
  <si>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</si>
  <si>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</si>
  <si>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</si>
  <si>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</si>
  <si>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</si>
  <si>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</si>
  <si>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</si>
  <si>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</si>
  <si>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</si>
  <si>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</si>
  <si>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</si>
  <si>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</si>
  <si>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</si>
  <si>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</si>
  <si>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</si>
  <si>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</si>
  <si>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</si>
  <si>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</si>
  <si>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</si>
  <si>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</si>
  <si>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</si>
  <si>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</si>
  <si>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</si>
  <si>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</si>
  <si>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</si>
  <si>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</si>
  <si>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</si>
  <si>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</si>
  <si>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</si>
  <si>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</si>
  <si>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</si>
  <si>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</si>
  <si>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</si>
  <si>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</si>
  <si>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</si>
  <si>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</si>
  <si>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</si>
  <si>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</si>
  <si>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</si>
  <si>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</si>
  <si>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</si>
  <si>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</si>
  <si>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</si>
  <si>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</si>
  <si>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</si>
  <si>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</si>
  <si>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</si>
  <si>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</si>
  <si>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</si>
  <si>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</si>
  <si>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</si>
  <si>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</si>
  <si>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</si>
  <si>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</si>
  <si>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</si>
  <si>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</si>
  <si>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</si>
  <si>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</si>
  <si>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</si>
  <si>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</si>
  <si>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</si>
  <si>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</si>
  <si>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</si>
  <si>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</si>
  <si>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</si>
  <si>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</si>
  <si>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</si>
  <si>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</si>
  <si>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</si>
  <si>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</si>
  <si>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</si>
  <si>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</si>
  <si>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</si>
  <si>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</si>
  <si>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</si>
  <si>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</si>
  <si>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</si>
  <si>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</si>
  <si>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</si>
  <si>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</si>
  <si>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</si>
  <si>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</si>
  <si>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</si>
  <si>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</si>
  <si>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</si>
  <si>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</si>
  <si>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</si>
  <si>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</si>
  <si>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</si>
  <si>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</si>
  <si>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</si>
  <si>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</si>
  <si>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</si>
  <si>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</si>
  <si>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</si>
  <si>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</si>
  <si>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</si>
  <si>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</si>
  <si>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</si>
  <si>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</si>
  <si>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</si>
  <si>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</si>
  <si>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</si>
  <si>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</si>
  <si>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</si>
  <si>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</si>
  <si>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</si>
  <si>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</si>
  <si>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</si>
  <si>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</si>
  <si>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</si>
  <si>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</si>
  <si>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</si>
  <si>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</si>
  <si>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</si>
  <si>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</si>
  <si>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</si>
  <si>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</si>
  <si>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</si>
  <si>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</si>
  <si>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</si>
  <si>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</si>
  <si>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</si>
  <si>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</si>
  <si>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</si>
  <si>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</si>
  <si>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</si>
  <si>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</si>
  <si>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</si>
  <si>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</si>
  <si>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</si>
  <si>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</si>
  <si>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</si>
  <si>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</si>
  <si>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</si>
  <si>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</si>
  <si>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</si>
  <si>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</si>
  <si>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</si>
  <si>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</si>
  <si>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</si>
  <si>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</si>
  <si>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</si>
  <si>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</si>
  <si>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</si>
  <si>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</si>
  <si>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</si>
  <si>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</si>
  <si>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</si>
  <si>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</si>
  <si>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</si>
  <si>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</si>
  <si>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</si>
  <si>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</si>
  <si>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</si>
  <si>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</si>
  <si>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</si>
  <si>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</si>
  <si>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</si>
  <si>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</si>
  <si>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</si>
  <si>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</si>
  <si>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</si>
  <si>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</si>
  <si>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</si>
  <si>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</si>
  <si>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</si>
  <si>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</si>
  <si>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</si>
  <si>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</si>
  <si>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</si>
  <si>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</si>
  <si>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</si>
  <si>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</si>
  <si>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</si>
  <si>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</si>
  <si>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</si>
  <si>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</si>
  <si>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</si>
  <si>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</si>
  <si>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</si>
  <si>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</si>
  <si>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</si>
  <si>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</si>
  <si>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</si>
  <si>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</si>
  <si>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</si>
  <si>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</si>
  <si>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</si>
  <si>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</si>
  <si>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</si>
  <si>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</si>
  <si>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</si>
  <si>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</si>
  <si>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</si>
  <si>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</si>
  <si>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</si>
  <si>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</si>
  <si>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</si>
  <si>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</si>
  <si>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</si>
  <si>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</si>
  <si>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</si>
  <si>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</si>
  <si>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</si>
  <si>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</si>
  <si>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</si>
  <si>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</si>
  <si>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</si>
  <si>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</si>
  <si>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</si>
  <si>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</si>
  <si>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</si>
  <si>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</si>
  <si>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</si>
  <si>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</si>
  <si>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</si>
  <si>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</si>
  <si>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</si>
  <si>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</si>
  <si>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</si>
  <si>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</si>
  <si>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</si>
  <si>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</si>
  <si>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</si>
  <si>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</si>
  <si>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</si>
  <si>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</si>
  <si>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</si>
  <si>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</si>
  <si>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</si>
  <si>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</si>
  <si>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</si>
  <si>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</si>
  <si>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</si>
  <si>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</si>
  <si>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</si>
  <si>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</si>
  <si>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</si>
  <si>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</si>
  <si>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</si>
  <si>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</si>
  <si>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</si>
  <si>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</si>
  <si>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</si>
  <si>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</si>
  <si>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</si>
  <si>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</si>
  <si>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</si>
  <si>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</si>
  <si>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</si>
  <si>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</si>
  <si>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</si>
  <si>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</si>
  <si>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</si>
  <si>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</si>
  <si>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</si>
  <si>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</si>
  <si>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</si>
  <si>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</si>
  <si>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</si>
  <si>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</si>
  <si>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</si>
  <si>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</si>
  <si>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</si>
  <si>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</si>
  <si>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</si>
  <si>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</si>
  <si>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</si>
  <si>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</si>
  <si>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</si>
  <si>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</si>
  <si>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</si>
  <si>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</si>
  <si>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</si>
  <si>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</si>
  <si>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</si>
  <si>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</si>
  <si>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</si>
  <si>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</si>
  <si>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</si>
  <si>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</si>
  <si>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</si>
  <si>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</si>
  <si>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</si>
  <si>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</si>
  <si>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</si>
  <si>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</si>
  <si>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</si>
  <si>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</si>
  <si>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</si>
  <si>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</si>
  <si>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</si>
  <si>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</si>
  <si>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</si>
  <si>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</si>
  <si>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</si>
  <si>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</si>
  <si>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</si>
  <si>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</si>
  <si>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</si>
  <si>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</si>
  <si>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</si>
  <si>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</si>
  <si>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</si>
  <si>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</si>
  <si>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</si>
  <si>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</si>
  <si>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</si>
  <si>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</si>
  <si>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</si>
  <si>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</si>
  <si>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</si>
  <si>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</si>
  <si>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</si>
  <si>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</si>
  <si>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</si>
  <si>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</si>
  <si>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</si>
  <si>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</si>
  <si>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</si>
  <si>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</si>
  <si>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</si>
  <si>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</si>
  <si>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</si>
  <si>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</si>
  <si>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</si>
  <si>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</si>
  <si>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</si>
  <si>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</si>
  <si>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</si>
  <si>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</si>
  <si>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</si>
  <si>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</si>
  <si>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</si>
  <si>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</si>
  <si>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</si>
  <si>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</si>
  <si>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</si>
  <si>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</si>
  <si>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</si>
  <si>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</si>
  <si>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</si>
  <si>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</si>
  <si>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</si>
  <si>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</si>
  <si>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</si>
  <si>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</si>
  <si>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</si>
  <si>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</si>
  <si>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</si>
  <si>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</si>
  <si>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</si>
  <si>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</si>
  <si>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</si>
  <si>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</si>
  <si>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</si>
  <si>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</si>
  <si>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</si>
  <si>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</si>
  <si>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</si>
  <si>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</si>
  <si>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</si>
  <si>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</si>
  <si>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</si>
  <si>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</si>
  <si>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</si>
  <si>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</si>
  <si>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</si>
  <si>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</si>
  <si>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</si>
  <si>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</si>
  <si>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</si>
  <si>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</si>
  <si>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</si>
  <si>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</si>
  <si>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</si>
  <si>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</si>
  <si>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</si>
  <si>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</si>
  <si>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</si>
  <si>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</si>
  <si>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</si>
  <si>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</si>
  <si>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</si>
  <si>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</si>
  <si>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</si>
  <si>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</si>
  <si>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</si>
  <si>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</si>
  <si>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</si>
  <si>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</si>
  <si>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</si>
  <si>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</si>
  <si>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</si>
  <si>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</si>
  <si>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</si>
  <si>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</si>
  <si>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</si>
  <si>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</si>
  <si>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</si>
  <si>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</si>
  <si>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</si>
  <si>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</si>
  <si>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</si>
  <si>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</si>
  <si>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</si>
  <si>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</si>
  <si>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</si>
  <si>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</si>
  <si>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</si>
  <si>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</si>
  <si>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</si>
  <si>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</si>
  <si>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</si>
  <si>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</si>
  <si>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</si>
  <si>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</si>
  <si>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</si>
  <si>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</si>
  <si>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</si>
  <si>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</si>
  <si>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</si>
  <si>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</si>
  <si>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</si>
  <si>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</si>
  <si>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</si>
  <si>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</si>
  <si>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</si>
  <si>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</si>
  <si>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</si>
  <si>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</si>
  <si>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</si>
  <si>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</si>
  <si>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</si>
  <si>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</si>
  <si>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</si>
  <si>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</si>
  <si>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</si>
  <si>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</si>
  <si>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</si>
  <si>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</si>
  <si>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</si>
  <si>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</si>
  <si>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</si>
  <si>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</si>
  <si>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</si>
  <si>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</si>
  <si>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</si>
  <si>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</si>
  <si>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</si>
  <si>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</si>
  <si>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</si>
  <si>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</si>
  <si>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</si>
  <si>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</si>
  <si>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</si>
  <si>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</si>
  <si>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</si>
  <si>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</si>
  <si>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</si>
  <si>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</si>
  <si>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</si>
  <si>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</si>
  <si>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</si>
  <si>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</si>
  <si>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</si>
  <si>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</si>
  <si>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</si>
  <si>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</si>
  <si>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</si>
  <si>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</si>
  <si>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</si>
  <si>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</si>
  <si>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</si>
  <si>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</si>
  <si>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</si>
  <si>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</si>
  <si>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</si>
  <si>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</si>
  <si>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</si>
  <si>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</si>
  <si>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</si>
  <si>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</si>
  <si>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</si>
  <si>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</si>
  <si>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</si>
  <si>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</si>
  <si>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</si>
  <si>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</si>
  <si>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</si>
  <si>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</si>
  <si>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</si>
  <si>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</si>
  <si>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</si>
  <si>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</si>
  <si>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</si>
  <si>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</si>
  <si>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</si>
  <si>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</si>
  <si>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</si>
  <si>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</si>
  <si>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</si>
  <si>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</si>
  <si>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</si>
  <si>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</si>
  <si>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</si>
  <si>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</si>
  <si>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</si>
  <si>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</si>
  <si>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</si>
  <si>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</si>
  <si>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</si>
  <si>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</si>
  <si>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</si>
  <si>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</si>
  <si>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</si>
  <si>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</si>
  <si>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</si>
  <si>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</si>
  <si>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</si>
  <si>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</si>
  <si>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</si>
  <si>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</si>
  <si>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</si>
  <si>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</si>
  <si>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</si>
  <si>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</si>
  <si>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</si>
  <si>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</si>
  <si>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</si>
  <si>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</si>
  <si>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</si>
  <si>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</si>
  <si>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</si>
  <si>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</si>
  <si>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</si>
  <si>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</si>
  <si>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</si>
  <si>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</si>
  <si>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</si>
  <si>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</si>
  <si>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</si>
  <si>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</si>
  <si>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</si>
  <si>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</si>
  <si>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</si>
  <si>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</si>
  <si>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</si>
  <si>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</si>
  <si>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</si>
  <si>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</si>
  <si>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</si>
  <si>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</si>
  <si>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</si>
  <si>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</si>
  <si>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</si>
  <si>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</si>
  <si>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</si>
  <si>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</si>
  <si>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</si>
  <si>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</si>
  <si>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</si>
  <si>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</si>
  <si>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</si>
  <si>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</si>
  <si>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</si>
  <si>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</si>
  <si>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</si>
  <si>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</si>
  <si>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</si>
  <si>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</si>
  <si>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</si>
  <si>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</si>
  <si>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</si>
  <si>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</si>
  <si>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</si>
  <si>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</si>
  <si>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</si>
  <si>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</si>
  <si>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</si>
  <si>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</si>
  <si>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</si>
  <si>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</si>
  <si>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</si>
  <si>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</si>
  <si>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</si>
  <si>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</si>
  <si>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</si>
  <si>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</si>
  <si>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</si>
  <si>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</si>
  <si>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</si>
  <si>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</si>
  <si>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</si>
  <si>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</si>
  <si>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</si>
  <si>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</si>
  <si>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</si>
  <si>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</si>
  <si>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</si>
  <si>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</si>
  <si>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</si>
  <si>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</si>
  <si>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</si>
  <si>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</si>
  <si>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</si>
  <si>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</si>
  <si>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</si>
  <si>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</si>
  <si>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</si>
  <si>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</si>
  <si>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</si>
  <si>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</si>
  <si>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</si>
  <si>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</si>
  <si>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</si>
  <si>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</si>
  <si>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</si>
  <si>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</si>
  <si>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</si>
  <si>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</si>
  <si>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</si>
  <si>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</si>
  <si>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</si>
  <si>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</si>
  <si>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</si>
  <si>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</si>
  <si>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</si>
  <si>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</si>
  <si>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</si>
  <si>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</si>
  <si>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</si>
  <si>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</si>
  <si>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</si>
  <si>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</si>
  <si>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</si>
  <si>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</si>
  <si>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</si>
  <si>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</si>
  <si>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</si>
  <si>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</si>
  <si>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</si>
  <si>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</si>
  <si>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</si>
  <si>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</si>
  <si>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</si>
  <si>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</si>
  <si>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</si>
  <si>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</si>
  <si>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</si>
  <si>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</si>
  <si>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</si>
  <si>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</si>
  <si>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</si>
  <si>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</si>
  <si>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</si>
  <si>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</si>
  <si>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</si>
  <si>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</si>
  <si>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</si>
  <si>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</si>
  <si>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</si>
  <si>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</si>
  <si>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</si>
  <si>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</si>
  <si>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</si>
  <si>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</si>
  <si>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</si>
  <si>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</si>
  <si>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</si>
  <si>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</si>
  <si>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</si>
  <si>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</si>
  <si>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</si>
  <si>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</si>
  <si>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</si>
  <si>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</si>
  <si>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</si>
  <si>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</si>
  <si>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</si>
  <si>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</si>
  <si>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</si>
  <si>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</si>
  <si>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</si>
  <si>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</si>
  <si>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</si>
  <si>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</si>
  <si>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</si>
  <si>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</si>
  <si>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</si>
  <si>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</si>
  <si>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</si>
  <si>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</si>
  <si>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</si>
  <si>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</si>
  <si>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</si>
  <si>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</si>
  <si>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</si>
  <si>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</si>
  <si>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</si>
  <si>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</si>
  <si>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</si>
  <si>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</si>
  <si>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</si>
  <si>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</si>
  <si>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</si>
  <si>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</si>
  <si>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</si>
  <si>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</si>
  <si>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</si>
  <si>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</si>
  <si>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</si>
  <si>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</si>
  <si>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</si>
  <si>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</si>
  <si>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</si>
  <si>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</si>
  <si>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</si>
  <si>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</si>
  <si>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</si>
  <si>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</si>
  <si>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</si>
  <si>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</si>
  <si>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</si>
  <si>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</si>
  <si>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</si>
  <si>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</si>
  <si>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</si>
  <si>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</si>
  <si>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</si>
  <si>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</si>
  <si>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</si>
  <si>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</si>
  <si>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</si>
  <si>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</si>
  <si>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</si>
  <si>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</si>
  <si>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</si>
  <si>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</si>
  <si>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</si>
  <si>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</si>
  <si>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</si>
  <si>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</si>
  <si>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</si>
  <si>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</si>
  <si>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</si>
  <si>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</si>
  <si>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</si>
  <si>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</si>
  <si>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</si>
  <si>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</si>
  <si>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</si>
  <si>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</si>
  <si>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</si>
  <si>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</si>
  <si>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</si>
  <si>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</si>
  <si>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</si>
  <si>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</si>
  <si>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</si>
  <si>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</si>
  <si>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</si>
  <si>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</si>
  <si>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</si>
  <si>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</si>
  <si>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</si>
  <si>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</si>
  <si>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</si>
  <si>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</si>
  <si>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</si>
  <si>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</si>
  <si>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</si>
  <si>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</si>
  <si>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</si>
  <si>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</si>
  <si>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</si>
  <si>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</si>
  <si>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</si>
  <si>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</si>
  <si>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</si>
  <si>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</si>
  <si>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</si>
  <si>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</si>
  <si>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</si>
  <si>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</si>
  <si>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</si>
  <si>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</si>
  <si>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</si>
  <si>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</si>
  <si>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</si>
  <si>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</si>
  <si>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</si>
  <si>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</si>
  <si>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</si>
  <si>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</si>
  <si>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</si>
  <si>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</si>
  <si>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</si>
  <si>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</si>
  <si>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</si>
  <si>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</si>
  <si>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</si>
  <si>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</si>
  <si>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</si>
  <si>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</si>
  <si>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</si>
  <si>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</si>
  <si>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</si>
  <si>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</si>
  <si>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</si>
  <si>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</si>
  <si>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</si>
  <si>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</si>
  <si>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</si>
  <si>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</si>
  <si>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</si>
  <si>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</si>
  <si>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</si>
  <si>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</si>
  <si>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</si>
  <si>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</si>
  <si>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</si>
  <si>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</si>
  <si>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</si>
  <si>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</si>
  <si>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</si>
  <si>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</si>
  <si>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</si>
  <si>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</si>
  <si>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</si>
  <si>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</si>
  <si>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</si>
  <si>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</si>
  <si>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</si>
  <si>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</si>
  <si>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</si>
  <si>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</si>
  <si>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</si>
  <si>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</si>
  <si>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</si>
  <si>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</si>
  <si>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</si>
  <si>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</si>
  <si>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</si>
  <si>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</si>
  <si>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</si>
  <si>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</si>
  <si>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</si>
  <si>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</si>
  <si>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</si>
  <si>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</si>
  <si>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</si>
  <si>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</si>
  <si>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</si>
  <si>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</si>
  <si>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</si>
  <si>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</si>
  <si>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</si>
  <si>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</si>
  <si>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</si>
  <si>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</si>
  <si>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</si>
  <si>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</si>
  <si>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</si>
  <si>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</si>
  <si>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</si>
  <si>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</si>
  <si>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</si>
  <si>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</si>
  <si>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</si>
  <si>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</si>
  <si>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</si>
  <si>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</si>
  <si>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</si>
  <si>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</si>
  <si>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</si>
  <si>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</si>
  <si>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</si>
  <si>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</si>
  <si>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</si>
  <si>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</si>
  <si>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</si>
  <si>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</si>
  <si>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</si>
  <si>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</si>
  <si>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</si>
  <si>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</si>
  <si>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</si>
  <si>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</si>
  <si>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</si>
  <si>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</si>
  <si>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</si>
  <si>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</si>
  <si>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</si>
  <si>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</si>
  <si>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</si>
  <si>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</si>
  <si>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</si>
  <si>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</si>
  <si>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</si>
  <si>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</si>
  <si>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</si>
  <si>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</si>
  <si>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</si>
  <si>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</si>
  <si>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</si>
  <si>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</si>
  <si>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</si>
  <si>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</si>
  <si>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</si>
  <si>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</si>
  <si>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</si>
  <si>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</si>
  <si>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</si>
  <si>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</si>
  <si>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</si>
  <si>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</si>
  <si>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</si>
  <si>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</si>
  <si>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</si>
  <si>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</si>
  <si>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</si>
  <si>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</si>
  <si>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</si>
  <si>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</si>
  <si>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</si>
  <si>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</si>
  <si>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</si>
  <si>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</si>
  <si>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</si>
  <si>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</si>
  <si>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</si>
  <si>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</si>
  <si>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</si>
  <si>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</si>
  <si>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</si>
  <si>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</si>
  <si>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</si>
  <si>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</si>
  <si>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</si>
  <si>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</si>
  <si>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</si>
  <si>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</si>
  <si>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</si>
  <si>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</si>
  <si>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</si>
  <si>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</si>
  <si>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</si>
  <si>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</si>
  <si>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</si>
  <si>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</si>
  <si>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</si>
  <si>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</si>
  <si>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</si>
  <si>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</si>
  <si>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</si>
  <si>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</si>
  <si>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</si>
  <si>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</si>
  <si>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</si>
  <si>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</si>
  <si>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</si>
  <si>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</si>
  <si>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</si>
  <si>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</si>
  <si>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</si>
  <si>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</si>
  <si>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</si>
  <si>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</si>
  <si>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</si>
  <si>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</si>
  <si>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</si>
  <si>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</si>
  <si>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</si>
  <si>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</si>
  <si>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</si>
  <si>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</si>
  <si>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</si>
  <si>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</si>
  <si>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</si>
  <si>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</si>
  <si>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</si>
  <si>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</si>
  <si>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</si>
  <si>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</si>
  <si>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</si>
  <si>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</si>
  <si>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</si>
  <si>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</si>
  <si>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</si>
  <si>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</si>
  <si>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</si>
  <si>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</si>
  <si>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</si>
  <si>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</si>
  <si>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</si>
  <si>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</si>
  <si>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</si>
  <si>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</si>
  <si>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</si>
  <si>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</si>
  <si>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</si>
  <si>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</si>
  <si>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</si>
  <si>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</si>
  <si>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</si>
  <si>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</si>
  <si>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</si>
  <si>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</si>
  <si>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</si>
  <si>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</si>
  <si>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</si>
  <si>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</si>
  <si>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</si>
  <si>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</si>
  <si>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</si>
  <si>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</si>
  <si>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</si>
  <si>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</si>
  <si>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</si>
  <si>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</si>
  <si>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</si>
  <si>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</si>
  <si>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</si>
  <si>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</si>
  <si>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</si>
  <si>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</si>
  <si>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</si>
  <si>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</si>
  <si>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</si>
  <si>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</si>
  <si>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</si>
  <si>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</si>
  <si>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</si>
  <si>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</si>
  <si>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</si>
  <si>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</si>
  <si>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</si>
  <si>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</si>
  <si>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</si>
  <si>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</si>
  <si>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</si>
  <si>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</si>
  <si>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</si>
  <si>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</si>
  <si>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</si>
  <si>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</si>
  <si>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</si>
  <si>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</si>
  <si>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</si>
  <si>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</si>
  <si>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</si>
  <si>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</si>
  <si>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</si>
  <si>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</si>
  <si>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</si>
  <si>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</si>
  <si>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</si>
  <si>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</si>
  <si>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</si>
  <si>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</si>
  <si>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</si>
  <si>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</si>
  <si>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</si>
  <si>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</si>
  <si>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</si>
  <si>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</si>
  <si>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</si>
  <si>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</si>
  <si>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</si>
  <si>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</si>
  <si>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</si>
  <si>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</si>
  <si>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</si>
  <si>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</si>
  <si>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</si>
  <si>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</si>
  <si>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</si>
  <si>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</si>
  <si>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</si>
  <si>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</si>
  <si>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</si>
  <si>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</si>
  <si>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</si>
  <si>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</si>
  <si>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</si>
  <si>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</si>
  <si>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</si>
  <si>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</si>
  <si>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</si>
  <si>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</si>
  <si>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</si>
  <si>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</si>
  <si>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</si>
  <si>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</si>
  <si>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</si>
  <si>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</si>
  <si>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</si>
  <si>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</si>
  <si>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</si>
  <si>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</si>
  <si>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</si>
  <si>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</si>
  <si>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</si>
  <si>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</si>
  <si>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</si>
  <si>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</si>
  <si>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</si>
  <si>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</si>
  <si>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</si>
  <si>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</si>
  <si>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</si>
  <si>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</si>
  <si>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</si>
  <si>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</si>
  <si>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</si>
  <si>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</si>
  <si>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</si>
  <si>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</si>
  <si>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</si>
  <si>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</si>
  <si>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</si>
  <si>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</si>
  <si>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</si>
  <si>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</si>
  <si>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</si>
  <si>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</si>
  <si>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</si>
  <si>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</si>
  <si>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</si>
  <si>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</si>
  <si>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</si>
  <si>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</si>
  <si>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</si>
  <si>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</si>
  <si>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</si>
  <si>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</si>
  <si>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</si>
  <si>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</si>
  <si>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</si>
  <si>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</si>
  <si>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</si>
  <si>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</si>
  <si>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</si>
  <si>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</si>
  <si>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</si>
  <si>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</si>
  <si>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</si>
  <si>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</si>
  <si>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</si>
  <si>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</si>
  <si>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</si>
  <si>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</si>
  <si>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</si>
  <si>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</si>
  <si>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</si>
  <si>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</si>
  <si>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</si>
  <si>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</si>
  <si>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</si>
  <si>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</si>
  <si>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</si>
  <si>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</si>
  <si>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</si>
  <si>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</si>
  <si>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</si>
  <si>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</si>
  <si>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</si>
  <si>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</si>
  <si>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</si>
  <si>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</si>
  <si>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</si>
  <si>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</si>
  <si>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</si>
  <si>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</si>
  <si>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</si>
  <si>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</si>
  <si>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</si>
  <si>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</si>
  <si>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</si>
  <si>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</si>
  <si>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</si>
  <si>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</si>
  <si>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</si>
  <si>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</si>
  <si>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</si>
  <si>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</si>
  <si>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</si>
  <si>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</si>
  <si>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</si>
  <si>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</si>
  <si>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</si>
  <si>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</si>
  <si>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</si>
  <si>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</si>
  <si>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</si>
  <si>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</si>
  <si>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</si>
  <si>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</si>
  <si>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</si>
  <si>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</si>
  <si>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</si>
  <si>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</si>
  <si>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</si>
  <si>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</si>
  <si>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</si>
  <si>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</si>
  <si>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</si>
  <si>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</si>
  <si>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</si>
  <si>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</si>
  <si>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</si>
  <si>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</si>
  <si>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</si>
  <si>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</si>
  <si>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</si>
  <si>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</si>
  <si>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</si>
  <si>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</si>
  <si>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</si>
  <si>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</si>
  <si>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</si>
  <si>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</si>
  <si>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</si>
  <si>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</si>
  <si>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</si>
  <si>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</si>
  <si>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</si>
  <si>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</si>
  <si>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</si>
  <si>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</si>
  <si>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</si>
  <si>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</si>
  <si>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</si>
  <si>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</si>
  <si>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</si>
  <si>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</si>
  <si>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</si>
  <si>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</si>
  <si>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</si>
  <si>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</si>
  <si>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</si>
  <si>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</si>
  <si>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</si>
  <si>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</si>
  <si>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</si>
  <si>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</si>
  <si>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</si>
  <si>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</si>
  <si>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</si>
  <si>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</si>
  <si>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</si>
  <si>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</si>
  <si>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</si>
  <si>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</si>
  <si>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</si>
  <si>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</si>
  <si>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</si>
  <si>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</si>
  <si>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</si>
  <si>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</si>
  <si>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</si>
  <si>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</si>
  <si>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</si>
  <si>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</si>
  <si>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</si>
  <si>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</si>
  <si>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</si>
  <si>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</si>
  <si>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</si>
  <si>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</si>
  <si>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</si>
  <si>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</si>
  <si>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</si>
  <si>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</si>
  <si>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</si>
  <si>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</si>
  <si>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</si>
  <si>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</si>
  <si>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</si>
  <si>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</si>
  <si>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</si>
  <si>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</si>
  <si>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</si>
  <si>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</si>
  <si>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</si>
  <si>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</si>
  <si>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</si>
  <si>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</si>
  <si>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</si>
  <si>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</si>
  <si>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</si>
  <si>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</si>
  <si>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</si>
  <si>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</si>
  <si>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</si>
  <si>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</si>
  <si>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</si>
  <si>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</si>
  <si>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</si>
  <si>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</si>
  <si>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</si>
  <si>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</si>
  <si>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</si>
  <si>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</si>
  <si>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</si>
  <si>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</si>
  <si>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</si>
  <si>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</si>
  <si>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</si>
  <si>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</si>
  <si>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</si>
  <si>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</si>
  <si>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</si>
  <si>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</si>
  <si>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</si>
  <si>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</si>
  <si>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</si>
  <si>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</si>
  <si>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</si>
  <si>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</si>
  <si>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</si>
  <si>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</si>
  <si>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</si>
  <si>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</si>
  <si>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</si>
  <si>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</si>
  <si>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</si>
  <si>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</si>
  <si>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</si>
  <si>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</si>
  <si>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</si>
  <si>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</si>
  <si>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</si>
  <si>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</si>
  <si>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</si>
  <si>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</si>
  <si>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</si>
  <si>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</si>
  <si>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</si>
  <si>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</si>
  <si>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</si>
  <si>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</si>
  <si>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</si>
  <si>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</si>
  <si>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</si>
  <si>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</si>
  <si>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</si>
  <si>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</si>
  <si>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</si>
  <si>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</si>
  <si>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</si>
  <si>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</si>
  <si>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</si>
  <si>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</si>
  <si>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</si>
  <si>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</si>
  <si>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</si>
  <si>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</si>
  <si>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</si>
  <si>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</si>
  <si>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</si>
  <si>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</si>
  <si>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</si>
  <si>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</si>
  <si>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</si>
  <si>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</si>
  <si>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</si>
  <si>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</si>
  <si>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</si>
  <si>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</si>
  <si>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</si>
  <si>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</si>
  <si>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</si>
  <si>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</si>
  <si>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</si>
  <si>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</si>
  <si>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</si>
  <si>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</si>
  <si>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</si>
  <si>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</si>
  <si>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</si>
  <si>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</si>
  <si>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</si>
  <si>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</si>
  <si>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</si>
  <si>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</si>
  <si>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</si>
  <si>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</si>
  <si>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</si>
  <si>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</si>
  <si>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</si>
  <si>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</si>
  <si>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</si>
  <si>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</si>
  <si>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</si>
  <si>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</si>
  <si>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</si>
  <si>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</si>
  <si>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</si>
  <si>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</si>
  <si>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</si>
  <si>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</si>
  <si>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</si>
  <si>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</si>
  <si>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</si>
  <si>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</si>
  <si>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</si>
  <si>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</si>
  <si>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</si>
  <si>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</si>
  <si>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</si>
  <si>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</si>
  <si>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</si>
  <si>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</si>
  <si>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</si>
  <si>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</si>
  <si>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</si>
  <si>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</si>
  <si>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</si>
  <si>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</si>
  <si>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</si>
  <si>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</si>
  <si>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</si>
  <si>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</si>
  <si>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</si>
  <si>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</si>
  <si>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</si>
  <si>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</si>
  <si>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</si>
  <si>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</si>
  <si>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</si>
  <si>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</si>
  <si>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</si>
  <si>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</si>
  <si>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</si>
  <si>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</si>
  <si>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</si>
  <si>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</si>
  <si>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</si>
  <si>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</si>
  <si>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</si>
  <si>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</si>
  <si>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</si>
  <si>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</si>
  <si>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</si>
  <si>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</si>
  <si>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</si>
  <si>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</si>
  <si>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</si>
  <si>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</si>
  <si>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</si>
  <si>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</si>
  <si>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</si>
  <si>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</si>
  <si>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</si>
  <si>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</si>
  <si>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</si>
  <si>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</si>
  <si>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</si>
  <si>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</si>
  <si>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</si>
  <si>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</si>
  <si>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</si>
  <si>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</si>
  <si>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</si>
  <si>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</si>
  <si>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</si>
  <si>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</si>
  <si>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</si>
  <si>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</si>
  <si>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</si>
  <si>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</si>
  <si>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</si>
  <si>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</si>
  <si>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</si>
  <si>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</si>
  <si>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</si>
  <si>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</si>
  <si>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</si>
  <si>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</si>
  <si>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</si>
  <si>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</si>
  <si>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</si>
  <si>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</si>
  <si>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</si>
  <si>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</si>
  <si>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</si>
  <si>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</si>
  <si>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</si>
  <si>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</si>
  <si>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</si>
  <si>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</si>
  <si>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</si>
  <si>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</si>
  <si>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</si>
  <si>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</si>
  <si>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</si>
  <si>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</si>
  <si>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</si>
  <si>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</si>
  <si>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</si>
  <si>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</si>
  <si>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</si>
  <si>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</si>
  <si>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</si>
  <si>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</si>
  <si>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</si>
  <si>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</si>
  <si>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</si>
  <si>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</si>
  <si>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</si>
  <si>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</si>
  <si>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</si>
  <si>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</si>
  <si>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</si>
  <si>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</si>
  <si>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</si>
  <si>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</si>
  <si>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</si>
  <si>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</si>
  <si>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</si>
  <si>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</si>
  <si>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</si>
  <si>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</si>
  <si>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</si>
  <si>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</si>
  <si>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</si>
  <si>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</si>
  <si>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</si>
  <si>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</si>
  <si>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</si>
  <si>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</si>
  <si>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</si>
  <si>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</si>
  <si>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</si>
  <si>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</si>
  <si>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</si>
  <si>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</si>
  <si>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</si>
  <si>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</si>
  <si>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</si>
  <si>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</si>
  <si>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</si>
  <si>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</si>
  <si>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</si>
  <si>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</si>
  <si>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</si>
  <si>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</si>
  <si>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</si>
  <si>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</si>
  <si>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</si>
  <si>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</si>
  <si>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</si>
  <si>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</si>
  <si>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</si>
  <si>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</si>
  <si>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</si>
  <si>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</si>
  <si>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</si>
  <si>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</si>
  <si>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</si>
  <si>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</si>
  <si>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</si>
  <si>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</si>
  <si>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</si>
  <si>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</si>
  <si>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</si>
  <si>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</si>
  <si>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</si>
  <si>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</si>
  <si>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</si>
  <si>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</si>
  <si>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</si>
  <si>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</si>
  <si>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</si>
  <si>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</si>
  <si>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</si>
  <si>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</si>
  <si>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</si>
  <si>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</si>
  <si>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</si>
  <si>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</si>
  <si>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</si>
  <si>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</si>
  <si>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</si>
  <si>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</si>
  <si>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</si>
  <si>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</si>
  <si>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</si>
  <si>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</si>
  <si>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</si>
  <si>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</si>
  <si>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</si>
  <si>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</si>
  <si>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</si>
  <si>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</si>
  <si>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</si>
  <si>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</si>
  <si>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</si>
  <si>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</si>
  <si>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</si>
  <si>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</si>
  <si>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</si>
  <si>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</si>
  <si>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</si>
  <si>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</si>
  <si>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</si>
  <si>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</si>
  <si>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</si>
  <si>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</si>
  <si>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</si>
  <si>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</si>
  <si>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</si>
  <si>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</si>
  <si>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</si>
  <si>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</si>
  <si>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</si>
  <si>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</si>
  <si>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</si>
  <si>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</si>
  <si>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</si>
  <si>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</si>
  <si>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</si>
  <si>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</si>
  <si>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</si>
  <si>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</si>
  <si>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</si>
  <si>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</si>
  <si>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</si>
  <si>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</si>
  <si>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</si>
  <si>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</si>
  <si>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</si>
  <si>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</si>
  <si>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</si>
  <si>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</si>
  <si>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</si>
  <si>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</si>
  <si>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</si>
  <si>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</si>
  <si>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</si>
  <si>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</si>
  <si>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</si>
  <si>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</si>
  <si>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</si>
  <si>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</si>
  <si>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</si>
  <si>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</si>
  <si>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</si>
  <si>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</si>
  <si>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</si>
  <si>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</si>
  <si>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</si>
  <si>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</si>
  <si>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</si>
  <si>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</si>
  <si>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</si>
  <si>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</si>
  <si>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</si>
  <si>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</si>
  <si>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</si>
  <si>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</si>
  <si>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</si>
  <si>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</si>
  <si>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</si>
  <si>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</si>
  <si>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</si>
  <si>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</si>
  <si>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</si>
  <si>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</si>
  <si>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</si>
  <si>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</si>
  <si>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</si>
  <si>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</si>
  <si>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</si>
  <si>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</si>
  <si>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</si>
  <si>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</si>
  <si>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</si>
  <si>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</si>
  <si>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</si>
  <si>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</si>
  <si>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</si>
  <si>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</si>
  <si>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</si>
  <si>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</si>
  <si>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</si>
  <si>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</si>
  <si>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</si>
  <si>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</si>
  <si>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</si>
  <si>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</si>
  <si>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</si>
  <si>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</si>
  <si>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</si>
  <si>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</si>
  <si>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</si>
  <si>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</si>
  <si>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</si>
  <si>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</si>
  <si>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</si>
  <si>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</si>
  <si>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</si>
  <si>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</si>
  <si>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</si>
  <si>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</si>
  <si>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</si>
  <si>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</si>
  <si>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</si>
  <si>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</si>
  <si>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</si>
  <si>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</si>
  <si>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</si>
  <si>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</si>
  <si>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</si>
  <si>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</si>
  <si>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</si>
  <si>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</si>
  <si>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</si>
  <si>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</si>
  <si>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</si>
  <si>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</si>
  <si>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</si>
  <si>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</si>
  <si>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</si>
  <si>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</si>
  <si>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</si>
  <si>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</si>
  <si>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</si>
  <si>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</si>
  <si>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</si>
  <si>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</si>
  <si>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</si>
  <si>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</si>
  <si>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</si>
  <si>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</si>
  <si>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</si>
  <si>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</si>
  <si>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</si>
  <si>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</si>
  <si>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</si>
  <si>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</si>
  <si>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</si>
  <si>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</si>
  <si>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</si>
  <si>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</si>
  <si>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</si>
  <si>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</si>
  <si>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</si>
  <si>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</si>
  <si>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</si>
  <si>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</si>
  <si>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</si>
  <si>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</si>
  <si>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</si>
  <si>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</si>
  <si>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</si>
  <si>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</si>
  <si>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</si>
  <si>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</si>
  <si>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</si>
  <si>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</si>
  <si>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</si>
  <si>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</si>
  <si>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</si>
  <si>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</si>
  <si>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</si>
  <si>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</si>
  <si>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</si>
  <si>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</si>
  <si>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</si>
  <si>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</si>
  <si>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</si>
  <si>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</si>
  <si>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</si>
  <si>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</si>
  <si>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</si>
  <si>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</si>
  <si>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</si>
  <si>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</si>
  <si>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</si>
  <si>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</si>
  <si>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</si>
  <si>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</si>
  <si>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</si>
  <si>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</si>
  <si>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</si>
  <si>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</si>
  <si>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</si>
  <si>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</si>
  <si>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</si>
  <si>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</si>
  <si>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</si>
  <si>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</si>
  <si>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</si>
  <si>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</si>
  <si>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</si>
  <si>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</si>
  <si>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</si>
  <si>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</si>
  <si>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</si>
  <si>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</si>
  <si>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</si>
  <si>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</si>
  <si>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</si>
  <si>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</si>
  <si>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</si>
  <si>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</si>
  <si>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</si>
  <si>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</si>
  <si>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</si>
  <si>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</si>
  <si>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</si>
  <si>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</si>
  <si>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</si>
  <si>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</si>
  <si>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</si>
  <si>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</si>
  <si>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</si>
  <si>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</si>
  <si>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</si>
  <si>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</si>
  <si>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</si>
  <si>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</si>
  <si>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</si>
  <si>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</si>
  <si>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</si>
  <si>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</si>
  <si>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</si>
  <si>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</si>
  <si>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</si>
  <si>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</si>
  <si>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</si>
  <si>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</si>
  <si>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</si>
  <si>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</si>
  <si>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</si>
  <si>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</si>
  <si>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</si>
  <si>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</si>
  <si>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</si>
  <si>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</si>
  <si>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</si>
  <si>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</si>
  <si>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</si>
  <si>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</si>
  <si>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</si>
  <si>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</si>
  <si>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</si>
  <si>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</si>
  <si>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</si>
  <si>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</si>
  <si>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</si>
  <si>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</si>
  <si>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</si>
  <si>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</si>
  <si>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</si>
  <si>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</si>
  <si>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</si>
  <si>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</si>
  <si>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</si>
  <si>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</si>
  <si>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</si>
  <si>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</si>
  <si>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</si>
  <si>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</si>
  <si>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</si>
  <si>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</si>
  <si>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</si>
  <si>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</si>
  <si>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</si>
  <si>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</si>
  <si>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</si>
  <si>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</si>
  <si>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</si>
  <si>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</si>
  <si>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</si>
  <si>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</si>
  <si>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</si>
  <si>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</si>
  <si>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</si>
  <si>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</si>
  <si>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</si>
  <si>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</si>
  <si>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</si>
  <si>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</si>
  <si>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</si>
  <si>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</si>
  <si>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</si>
  <si>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</si>
  <si>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</si>
  <si>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</si>
  <si>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</si>
  <si>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</si>
  <si>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</si>
  <si>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</si>
  <si>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</si>
  <si>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</si>
  <si>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</si>
  <si>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</si>
  <si>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</si>
  <si>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</si>
  <si>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</si>
  <si>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</si>
  <si>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</si>
  <si>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</si>
  <si>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</si>
  <si>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</si>
  <si>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</si>
  <si>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</si>
  <si>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</si>
  <si>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</si>
  <si>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</si>
  <si>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</si>
  <si>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</si>
  <si>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</si>
  <si>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</si>
  <si>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</si>
  <si>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</si>
  <si>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</si>
  <si>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</si>
  <si>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</si>
  <si>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</si>
  <si>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</si>
  <si>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</si>
  <si>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</si>
  <si>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</si>
  <si>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</si>
  <si>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</si>
  <si>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</si>
  <si>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</si>
  <si>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</si>
  <si>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</si>
  <si>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</si>
  <si>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</si>
  <si>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</si>
  <si>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</si>
  <si>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</si>
  <si>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</si>
  <si>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</si>
  <si>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</si>
  <si>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</si>
  <si>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</si>
  <si>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</si>
  <si>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</si>
  <si>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</si>
  <si>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</si>
  <si>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</si>
  <si>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</si>
  <si>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</si>
  <si>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</si>
  <si>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</si>
  <si>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</si>
  <si>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</si>
  <si>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</si>
  <si>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</si>
  <si>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</si>
  <si>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</si>
  <si>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</si>
  <si>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</si>
  <si>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</si>
  <si>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</si>
  <si>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</si>
  <si>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</si>
  <si>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</si>
  <si>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</si>
  <si>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</si>
  <si>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</si>
  <si>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</si>
  <si>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</si>
  <si>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</si>
  <si>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</si>
  <si>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</si>
  <si>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</si>
  <si>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</si>
  <si>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</si>
  <si>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</si>
  <si>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</si>
  <si>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</si>
  <si>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</si>
  <si>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</si>
  <si>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</si>
  <si>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</si>
  <si>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</si>
  <si>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</si>
  <si>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</si>
  <si>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</si>
  <si>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</si>
  <si>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</si>
  <si>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</si>
  <si>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</si>
  <si>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</si>
  <si>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</si>
  <si>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</si>
  <si>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</si>
  <si>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</si>
  <si>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</si>
  <si>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</si>
  <si>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</si>
  <si>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</si>
  <si>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</si>
  <si>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</si>
  <si>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</si>
  <si>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</si>
  <si>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</si>
  <si>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</si>
  <si>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</si>
  <si>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</si>
  <si>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</si>
  <si>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</si>
  <si>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</si>
  <si>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</si>
  <si>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</si>
  <si>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</si>
  <si>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</si>
  <si>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</si>
  <si>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</si>
  <si>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</si>
  <si>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</si>
  <si>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</si>
  <si>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</si>
  <si>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</si>
  <si>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</si>
  <si>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</si>
  <si>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</si>
  <si>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</si>
  <si>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</si>
  <si>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</si>
  <si>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</si>
  <si>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</si>
  <si>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</si>
  <si>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</si>
  <si>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</si>
  <si>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</si>
  <si>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</si>
  <si>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</si>
  <si>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</si>
  <si>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</si>
  <si>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</si>
  <si>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</si>
  <si>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</si>
  <si>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</si>
  <si>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</si>
  <si>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</si>
  <si>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</si>
  <si>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</si>
  <si>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</si>
  <si>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</si>
  <si>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</si>
  <si>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</si>
  <si>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</si>
  <si>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</si>
  <si>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</si>
  <si>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</si>
  <si>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</si>
  <si>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</si>
  <si>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</si>
  <si>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</si>
  <si>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</si>
  <si>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</si>
  <si>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</si>
  <si>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</si>
  <si>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</si>
  <si>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</si>
  <si>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</si>
  <si>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</si>
  <si>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</si>
  <si>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</si>
  <si>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</si>
  <si>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</si>
  <si>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</si>
  <si>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</si>
  <si>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</si>
  <si>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</si>
  <si>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</si>
  <si>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</si>
  <si>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</si>
  <si>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</si>
  <si>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</si>
  <si>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</si>
  <si>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</si>
  <si>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</si>
  <si>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</si>
  <si>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</si>
  <si>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</si>
  <si>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</si>
  <si>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</si>
  <si>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</si>
  <si>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</si>
  <si>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</si>
  <si>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</si>
  <si>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</si>
  <si>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</si>
  <si>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</si>
  <si>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</si>
  <si>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</si>
  <si>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</si>
  <si>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</si>
  <si>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</si>
  <si>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</si>
  <si>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</si>
  <si>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</si>
  <si>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</si>
  <si>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</si>
  <si>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</si>
  <si>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</si>
  <si>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</si>
  <si>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</si>
  <si>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</si>
  <si>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</si>
  <si>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</si>
  <si>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</si>
  <si>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</si>
  <si>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</si>
  <si>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</si>
  <si>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</si>
  <si>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</si>
  <si>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</si>
  <si>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</si>
  <si>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</si>
  <si>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</si>
  <si>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</si>
  <si>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</si>
  <si>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</si>
  <si>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</si>
  <si>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</si>
  <si>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</si>
  <si>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</si>
  <si>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</si>
  <si>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</si>
  <si>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</si>
  <si>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</si>
  <si>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</si>
  <si>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</si>
  <si>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</si>
  <si>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</si>
  <si>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</si>
  <si>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</si>
  <si>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</si>
  <si>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</si>
  <si>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</si>
  <si>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</si>
  <si>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</si>
  <si>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</si>
  <si>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</si>
  <si>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</si>
  <si>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</si>
  <si>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</si>
  <si>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</si>
  <si>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</si>
  <si>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</si>
  <si>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</si>
  <si>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</si>
  <si>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</si>
  <si>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</si>
  <si>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</si>
  <si>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</si>
  <si>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</si>
  <si>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</si>
  <si>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</si>
  <si>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</si>
  <si>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</si>
  <si>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</si>
  <si>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</si>
  <si>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</si>
  <si>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</si>
  <si>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</si>
  <si>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</si>
  <si>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</si>
  <si>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</si>
  <si>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</si>
  <si>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</si>
  <si>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</si>
  <si>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</si>
  <si>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</si>
  <si>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</si>
  <si>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</si>
  <si>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</si>
  <si>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</si>
  <si>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</si>
  <si>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</si>
  <si>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</si>
  <si>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</si>
  <si>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</si>
  <si>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</si>
  <si>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</si>
  <si>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</si>
  <si>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</si>
  <si>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</si>
  <si>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</si>
  <si>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</si>
  <si>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</si>
  <si>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</si>
  <si>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</si>
  <si>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</si>
  <si>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</si>
  <si>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</si>
  <si>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</si>
  <si>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</si>
  <si>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</si>
  <si>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</si>
  <si>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</si>
  <si>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</si>
  <si>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</si>
  <si>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</si>
  <si>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</si>
  <si>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</si>
  <si>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</si>
  <si>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</si>
  <si>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</si>
  <si>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</si>
  <si>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</si>
  <si>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</si>
  <si>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</si>
  <si>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</si>
  <si>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</si>
  <si>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</si>
  <si>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</si>
  <si>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</si>
  <si>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</si>
  <si>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</si>
  <si>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</si>
  <si>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</si>
  <si>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</si>
  <si>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</si>
  <si>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</si>
  <si>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</si>
  <si>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</si>
  <si>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</si>
  <si>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</si>
  <si>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</si>
  <si>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</si>
  <si>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</si>
  <si>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</si>
  <si>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</si>
  <si>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</si>
  <si>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</si>
  <si>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</si>
  <si>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</si>
  <si>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</si>
  <si>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</si>
  <si>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</si>
  <si>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</si>
  <si>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</si>
  <si>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</si>
  <si>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</si>
  <si>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</si>
  <si>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</si>
  <si>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</si>
  <si>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</si>
  <si>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</si>
  <si>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</si>
  <si>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</si>
  <si>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</si>
  <si>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</si>
  <si>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</si>
  <si>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</si>
  <si>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</si>
  <si>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</si>
  <si>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</si>
  <si>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</si>
  <si>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</si>
  <si>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</si>
  <si>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</si>
  <si>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</si>
  <si>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</si>
  <si>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</si>
  <si>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</si>
  <si>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</si>
  <si>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</si>
  <si>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</si>
  <si>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</si>
  <si>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</si>
  <si>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</si>
  <si>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</si>
  <si>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</si>
  <si>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</si>
  <si>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</si>
  <si>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</si>
  <si>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</si>
  <si>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</si>
  <si>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</si>
  <si>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</si>
  <si>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</si>
  <si>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</si>
  <si>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</si>
  <si>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</si>
  <si>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</si>
  <si>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</si>
  <si>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</si>
  <si>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</si>
  <si>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</si>
  <si>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</si>
  <si>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</si>
  <si>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</si>
  <si>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</si>
  <si>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</si>
  <si>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</si>
  <si>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</si>
  <si>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</si>
  <si>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</si>
  <si>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</si>
  <si>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</si>
  <si>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</si>
  <si>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</si>
  <si>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</si>
  <si>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</si>
  <si>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</si>
  <si>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</si>
  <si>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</si>
  <si>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</si>
  <si>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</si>
  <si>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</si>
  <si>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</si>
  <si>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</si>
  <si>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</si>
  <si>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</si>
  <si>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</si>
  <si>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</si>
  <si>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</si>
  <si>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</si>
  <si>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</si>
  <si>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</si>
  <si>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</si>
  <si>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</si>
  <si>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</si>
  <si>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</si>
  <si>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</si>
  <si>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</si>
  <si>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</si>
  <si>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</si>
  <si>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</si>
  <si>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</si>
  <si>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</si>
  <si>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</si>
  <si>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</si>
  <si>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</si>
  <si>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</si>
  <si>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</si>
  <si>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</si>
  <si>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</si>
  <si>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</si>
  <si>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</si>
  <si>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</si>
  <si>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</si>
  <si>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</si>
  <si>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</si>
  <si>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</si>
  <si>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</si>
  <si>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</si>
  <si>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</si>
  <si>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</si>
  <si>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</si>
  <si>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</si>
  <si>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</si>
  <si>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</si>
  <si>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</si>
  <si>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</si>
  <si>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</si>
  <si>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</si>
  <si>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</si>
  <si>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</si>
  <si>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</si>
  <si>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</si>
  <si>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</si>
  <si>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</si>
  <si>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</si>
  <si>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</si>
  <si>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</si>
  <si>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</si>
  <si>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</si>
  <si>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</si>
  <si>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</si>
  <si>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</si>
  <si>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</si>
  <si>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</si>
  <si>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</si>
  <si>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</si>
  <si>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</si>
  <si>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</si>
  <si>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</si>
  <si>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</si>
  <si>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</si>
  <si>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</si>
  <si>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</si>
  <si>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</si>
  <si>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</si>
  <si>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</si>
  <si>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</si>
  <si>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</si>
  <si>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</si>
  <si>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</si>
  <si>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</si>
  <si>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</si>
  <si>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</si>
  <si>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</si>
  <si>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</si>
  <si>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</si>
  <si>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</si>
  <si>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</si>
  <si>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</si>
  <si>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</si>
  <si>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</si>
  <si>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</si>
  <si>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</si>
  <si>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</si>
  <si>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</si>
  <si>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</si>
  <si>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</si>
  <si>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</si>
  <si>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</si>
  <si>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</si>
  <si>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</si>
  <si>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</si>
  <si>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</si>
  <si>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</si>
  <si>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</si>
  <si>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</si>
  <si>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</si>
  <si>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</si>
  <si>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</si>
  <si>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</si>
  <si>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</si>
  <si>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</si>
  <si>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</si>
  <si>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</si>
  <si>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</si>
  <si>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</si>
  <si>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</si>
  <si>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</si>
  <si>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</si>
  <si>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</si>
  <si>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</si>
  <si>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</si>
  <si>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</si>
  <si>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</si>
  <si>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</si>
  <si>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</si>
  <si>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</si>
  <si>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</si>
  <si>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</si>
  <si>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</si>
  <si>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</si>
  <si>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</si>
  <si>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</si>
  <si>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</si>
  <si>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</si>
  <si>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</si>
  <si>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</si>
  <si>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</si>
  <si>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</si>
  <si>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</si>
  <si>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</si>
  <si>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</si>
  <si>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</si>
  <si>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</si>
  <si>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</si>
  <si>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</si>
  <si>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</si>
  <si>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</si>
  <si>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</si>
  <si>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</si>
  <si>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</si>
  <si>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</si>
  <si>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</si>
  <si>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</si>
  <si>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</si>
  <si>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</si>
  <si>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</si>
  <si>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</si>
  <si>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</si>
  <si>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</si>
  <si>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</si>
  <si>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</si>
  <si>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</si>
  <si>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</si>
  <si>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</si>
  <si>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</si>
  <si>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</si>
  <si>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</si>
  <si>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</si>
  <si>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</si>
  <si>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</si>
  <si>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</si>
  <si>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</si>
  <si>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</si>
  <si>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</si>
  <si>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</si>
  <si>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</si>
  <si>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</si>
  <si>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</si>
  <si>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</si>
  <si>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</si>
  <si>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</si>
  <si>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</si>
  <si>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</si>
  <si>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</si>
  <si>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</si>
  <si>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</si>
  <si>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</si>
  <si>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</si>
  <si>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</si>
  <si>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</si>
  <si>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</si>
  <si>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</si>
  <si>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</si>
  <si>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</si>
  <si>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</si>
  <si>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</si>
  <si>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</si>
  <si>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</si>
  <si>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</si>
  <si>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</si>
  <si>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</si>
  <si>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</si>
  <si>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</si>
  <si>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</si>
  <si>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</si>
  <si>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</si>
  <si>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</si>
  <si>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</si>
  <si>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</si>
  <si>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</si>
  <si>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</si>
  <si>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</si>
  <si>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</si>
  <si>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</si>
  <si>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</si>
  <si>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</si>
  <si>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</si>
  <si>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</si>
  <si>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</si>
  <si>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</si>
  <si>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</si>
  <si>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</si>
  <si>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</si>
  <si>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</si>
  <si>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</si>
  <si>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</si>
  <si>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</si>
  <si>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</si>
  <si>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</si>
  <si>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</si>
  <si>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</si>
  <si>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</si>
  <si>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</si>
  <si>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</si>
  <si>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</si>
  <si>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</si>
  <si>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</si>
  <si>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</si>
  <si>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</si>
  <si>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</si>
  <si>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</si>
  <si>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</si>
  <si>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</si>
  <si>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</si>
  <si>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</si>
  <si>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</si>
  <si>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</si>
  <si>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</si>
  <si>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</si>
  <si>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</si>
  <si>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</si>
  <si>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</si>
  <si>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</si>
  <si>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</si>
  <si>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</si>
  <si>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</si>
  <si>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</si>
  <si>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</si>
  <si>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</si>
  <si>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</si>
  <si>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</si>
  <si>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</si>
  <si>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</si>
  <si>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</si>
  <si>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</si>
  <si>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</si>
  <si>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</si>
  <si>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</si>
  <si>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</si>
  <si>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</si>
  <si>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</si>
  <si>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</si>
  <si>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</si>
  <si>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</si>
  <si>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</si>
  <si>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</si>
  <si>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</si>
  <si>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</si>
  <si>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</si>
  <si>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</si>
  <si>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</si>
  <si>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</si>
  <si>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</si>
  <si>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</si>
  <si>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</si>
  <si>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</si>
  <si>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</si>
  <si>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</si>
  <si>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</si>
  <si>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</si>
  <si>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</si>
  <si>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</si>
  <si>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</si>
  <si>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</si>
  <si>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</si>
  <si>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</si>
  <si>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</si>
  <si>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</si>
  <si>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</si>
  <si>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</si>
  <si>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</si>
  <si>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</si>
  <si>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</si>
  <si>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</si>
  <si>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</si>
  <si>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</si>
  <si>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</si>
  <si>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</si>
  <si>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</si>
  <si>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</si>
  <si>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</si>
  <si>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</si>
  <si>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</si>
  <si>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</si>
  <si>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</si>
  <si>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</si>
  <si>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</si>
  <si>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</si>
  <si>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</si>
  <si>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</si>
  <si>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</si>
  <si>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</si>
  <si>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</si>
  <si>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</si>
  <si>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</si>
  <si>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</si>
  <si>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</si>
  <si>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</si>
  <si>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</si>
  <si>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</si>
  <si>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</si>
  <si>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</si>
  <si>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</si>
  <si>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</si>
  <si>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</si>
  <si>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</si>
  <si>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</si>
  <si>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</si>
  <si>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</si>
  <si>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</si>
  <si>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</si>
  <si>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</si>
  <si>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</si>
  <si>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</si>
  <si>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</si>
  <si>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</si>
  <si>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</si>
  <si>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</si>
  <si>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</si>
  <si>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</si>
  <si>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</si>
  <si>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</si>
  <si>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</si>
  <si>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</si>
  <si>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</si>
  <si>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</si>
  <si>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</si>
  <si>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</si>
  <si>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</si>
  <si>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</si>
  <si>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</si>
  <si>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</si>
  <si>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</si>
  <si>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</si>
  <si>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现房</t>
  </si>
  <si>
    <t>工业项目</t>
  </si>
  <si>
    <t>无</t>
  </si>
  <si>
    <t>否</t>
  </si>
  <si>
    <t>是</t>
  </si>
  <si>
    <t>地上</t>
  </si>
  <si>
    <t>工业</t>
    <phoneticPr fontId="7" type="noConversion"/>
  </si>
  <si>
    <t>自定义容积率</t>
  </si>
  <si>
    <t>与级别开发程度一致</t>
  </si>
  <si>
    <t>按公示增长率计算</t>
  </si>
  <si>
    <t>容积率修正</t>
  </si>
  <si>
    <t>Ⅷ-通州开发区东</t>
  </si>
  <si>
    <t>成新度</t>
  </si>
  <si>
    <t>收益法</t>
  </si>
  <si>
    <t>不临65条商业街</t>
  </si>
  <si>
    <t>中心城区</t>
  </si>
  <si>
    <t>未包含在土地购买价格中</t>
  </si>
  <si>
    <t>全部缴纳</t>
  </si>
  <si>
    <t>已包含在土地取得成本中</t>
  </si>
  <si>
    <t>含税</t>
  </si>
  <si>
    <t>押一</t>
  </si>
  <si>
    <t>按不含税租金收入计税</t>
  </si>
  <si>
    <t>钢混</t>
  </si>
  <si>
    <t>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</si>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</sst>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估价对象为北京市房地产，为所有。根据《国有土地使用证》[]，估价对象（分摊）出让国有建设用地使用权面积为15789.4平方米，建筑面积为11046.05平方米。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估价对象为北京市房地产,属开发建设的工业项目，该项目尚在开发建设中。根据《国有土地使用证》[]，估价对象（分摊）出让国有建设用地使用权面积为15789.4平方米，规划建筑面积为11046.05平方米。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5525</v>
      </c>
    </row>
    <row r="21" spans="1:2" s="879" customFormat="1">
      <c r="A21" s="877" t="s">
        <v>531</v>
      </c>
      <c r="B21" s="878">
        <f ca="1">'预评函-2'!D7</f>
        <v>5002</v>
      </c>
    </row>
    <row r="22" spans="1:2" s="879" customFormat="1">
      <c r="A22" s="877" t="s">
        <v>532</v>
      </c>
      <c r="B22" s="878" t="str">
        <f ca="1">'预评函-2'!D6</f>
        <v>伍仟伍佰贰拾伍万元整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5525</v>
      </c>
    </row>
    <row r="31" spans="1:2" s="879" customFormat="1">
      <c r="A31" s="877" t="s">
        <v>570</v>
      </c>
      <c r="B31" s="878">
        <f ca="1">'预评函-2'!D15</f>
        <v>5002</v>
      </c>
    </row>
    <row r="32" spans="1:2" s="879" customFormat="1">
      <c r="A32" s="877" t="s">
        <v>537</v>
      </c>
      <c r="B32" s="878" t="str">
        <f ca="1">'预评函-2'!D14</f>
        <v>伍仟伍佰贰拾伍万元整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11046.05</v>
      </c>
    </row>
    <row r="44" spans="1:2" s="879" customFormat="1">
      <c r="A44" s="877" t="s">
        <v>569</v>
      </c>
      <c r="B44" s="878" t="str">
        <f>'预评函-3'!C2</f>
        <v>(分摊)土地面积</v>
      </c>
    </row>
    <row r="45" spans="1:2" s="879" customFormat="1">
      <c r="A45" s="877" t="s">
        <v>541</v>
      </c>
      <c r="B45" s="878">
        <f>'预评函-3'!C4</f>
        <v>15789.4</v>
      </c>
    </row>
    <row r="46" spans="1:2" s="879" customFormat="1">
      <c r="A46" s="877" t="s">
        <v>567</v>
      </c>
      <c r="B46" s="878" t="str">
        <f>'预评函-3'!D2</f>
        <v>出让国有建设用地使用权价值</v>
      </c>
    </row>
    <row r="47" spans="1:2" s="879" customFormat="1">
      <c r="A47" s="877" t="s">
        <v>542</v>
      </c>
      <c r="B47" s="878">
        <f ca="1">'预评函-3'!D4</f>
        <v>2387</v>
      </c>
    </row>
    <row r="48" spans="1:2" s="879" customFormat="1">
      <c r="A48" s="877" t="s">
        <v>543</v>
      </c>
      <c r="B48" s="878">
        <f ca="1">'预评函-3'!E4</f>
        <v>2161</v>
      </c>
    </row>
    <row r="49" spans="1:2" s="879" customFormat="1">
      <c r="A49" s="877" t="s">
        <v>544</v>
      </c>
      <c r="B49" s="878" t="str">
        <f ca="1">'预评函-3'!D5</f>
        <v>贰仟叁佰捌拾柒万元整</v>
      </c>
    </row>
    <row r="50" spans="1:2" s="879" customFormat="1">
      <c r="A50" s="877" t="s">
        <v>568</v>
      </c>
      <c r="B50" s="878">
        <f>'预评函-3'!F2</f>
        <v>0</v>
      </c>
    </row>
    <row r="51" spans="1:2" s="879" customFormat="1">
      <c r="A51" s="877" t="s">
        <v>545</v>
      </c>
      <c r="B51" s="878">
        <f ca="1">'预评函-3'!F4</f>
        <v>3138</v>
      </c>
    </row>
    <row r="52" spans="1:2" s="879" customFormat="1">
      <c r="A52" s="877" t="s">
        <v>546</v>
      </c>
      <c r="B52" s="878">
        <f ca="1">'预评函-3'!G4</f>
        <v>2841</v>
      </c>
    </row>
    <row r="53" spans="1:2" s="879" customFormat="1">
      <c r="A53" s="877" t="s">
        <v>574</v>
      </c>
      <c r="B53" s="878" t="str">
        <f ca="1">'预评函-3'!F5</f>
        <v>叁仟壹佰叁拾捌万元整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3258</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3295</v>
      </c>
      <c r="AA1" s="1187" t="s">
        <v>3294</v>
      </c>
      <c r="AB1" s="1187" t="s">
        <v>3</v>
      </c>
    </row>
    <row r="2" spans="1:28">
      <c r="A2" s="1191" t="s">
        <v>17</v>
      </c>
      <c r="B2" s="1191" t="s">
        <v>980</v>
      </c>
      <c r="C2" s="1192" t="s">
        <v>313</v>
      </c>
      <c r="D2" s="1193" t="s">
        <v>981</v>
      </c>
      <c r="E2" s="1193" t="s">
        <v>982</v>
      </c>
      <c r="F2" s="1193" t="s">
        <v>983</v>
      </c>
      <c r="G2" s="3988">
        <v>20</v>
      </c>
      <c r="H2" s="1193" t="s">
        <v>983</v>
      </c>
      <c r="I2" s="1193" t="s">
        <v>3244</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2349</v>
      </c>
      <c r="Y2" s="1196" t="s">
        <v>3301</v>
      </c>
      <c r="Z2" s="1196" t="s">
        <v>2362</v>
      </c>
      <c r="AA2" s="1196" t="s">
        <v>3302</v>
      </c>
      <c r="AB2" s="1196" t="s">
        <v>2389</v>
      </c>
    </row>
    <row r="3" spans="1:28">
      <c r="A3" s="1191" t="s">
        <v>988</v>
      </c>
      <c r="B3" s="1194" t="s">
        <v>442</v>
      </c>
      <c r="C3" s="1195" t="s">
        <v>314</v>
      </c>
      <c r="D3" s="1193" t="s">
        <v>989</v>
      </c>
      <c r="E3" s="1193" t="s">
        <v>12</v>
      </c>
      <c r="F3" s="1193" t="s">
        <v>990</v>
      </c>
      <c r="G3" s="3988">
        <v>40</v>
      </c>
      <c r="H3" s="1193" t="s">
        <v>990</v>
      </c>
      <c r="I3" s="1193" t="s">
        <v>3245</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2351</v>
      </c>
      <c r="Z3" s="1196" t="s">
        <v>2364</v>
      </c>
      <c r="AB3" s="1196" t="s">
        <v>2391</v>
      </c>
    </row>
    <row r="4" spans="1:28">
      <c r="A4" s="1191" t="s">
        <v>995</v>
      </c>
      <c r="B4" s="1191" t="s">
        <v>996</v>
      </c>
      <c r="C4" s="1192" t="s">
        <v>315</v>
      </c>
      <c r="D4" s="1193" t="s">
        <v>383</v>
      </c>
      <c r="E4" s="1193" t="s">
        <v>997</v>
      </c>
      <c r="F4" s="1193" t="s">
        <v>998</v>
      </c>
      <c r="G4" s="3988">
        <v>50</v>
      </c>
      <c r="H4" s="1193" t="s">
        <v>998</v>
      </c>
      <c r="I4" s="1193" t="s">
        <v>3246</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2353</v>
      </c>
      <c r="Z4" s="1196" t="s">
        <v>2366</v>
      </c>
      <c r="AB4" s="1196" t="s">
        <v>2393</v>
      </c>
    </row>
    <row r="5" spans="1:28">
      <c r="A5" s="1191" t="s">
        <v>1001</v>
      </c>
      <c r="B5" s="1191" t="s">
        <v>1002</v>
      </c>
      <c r="C5" s="1192" t="s">
        <v>316</v>
      </c>
      <c r="F5" s="1193" t="s">
        <v>1003</v>
      </c>
      <c r="G5" s="3988">
        <v>70</v>
      </c>
      <c r="H5" s="1193" t="s">
        <v>1004</v>
      </c>
      <c r="I5" s="1193" t="s">
        <v>3247</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2355</v>
      </c>
      <c r="Z5" s="1196" t="s">
        <v>2368</v>
      </c>
      <c r="AB5" s="1196" t="s">
        <v>3303</v>
      </c>
    </row>
    <row r="6" spans="1:28">
      <c r="A6" s="1191" t="s">
        <v>1007</v>
      </c>
      <c r="B6" s="1194" t="s">
        <v>443</v>
      </c>
      <c r="C6" s="1197" t="s">
        <v>22</v>
      </c>
      <c r="F6" s="1193" t="s">
        <v>1004</v>
      </c>
      <c r="H6" s="1193" t="s">
        <v>1008</v>
      </c>
      <c r="I6" s="1193" t="s">
        <v>3248</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2357</v>
      </c>
      <c r="Z6" s="1196" t="s">
        <v>2370</v>
      </c>
      <c r="AB6" s="1196" t="s">
        <v>2396</v>
      </c>
    </row>
    <row r="7" spans="1:28">
      <c r="A7" s="1191" t="s">
        <v>1010</v>
      </c>
      <c r="B7" s="1194" t="s">
        <v>444</v>
      </c>
      <c r="C7" s="1192" t="s">
        <v>23</v>
      </c>
      <c r="F7" s="1193" t="s">
        <v>1011</v>
      </c>
      <c r="H7" s="1193" t="s">
        <v>1012</v>
      </c>
      <c r="I7" s="1193" t="s">
        <v>3249</v>
      </c>
      <c r="X7" s="1196" t="s">
        <v>2359</v>
      </c>
      <c r="Z7" s="1196" t="s">
        <v>2372</v>
      </c>
      <c r="AB7" s="1196" t="s">
        <v>2398</v>
      </c>
    </row>
    <row r="8" spans="1:28">
      <c r="A8" s="1191" t="s">
        <v>1013</v>
      </c>
      <c r="B8" s="1191" t="s">
        <v>2343</v>
      </c>
      <c r="C8" s="1192" t="s">
        <v>317</v>
      </c>
      <c r="F8" s="1193" t="s">
        <v>1015</v>
      </c>
      <c r="H8" s="1193" t="s">
        <v>2487</v>
      </c>
      <c r="I8" s="1193" t="s">
        <v>3250</v>
      </c>
      <c r="X8" s="1196" t="s">
        <v>3304</v>
      </c>
      <c r="Z8" s="1196" t="s">
        <v>2374</v>
      </c>
      <c r="AB8" s="1196" t="s">
        <v>2400</v>
      </c>
    </row>
    <row r="9" spans="1:28">
      <c r="A9" s="1191" t="s">
        <v>1016</v>
      </c>
      <c r="B9" s="1191" t="s">
        <v>1014</v>
      </c>
      <c r="C9" s="1192" t="s">
        <v>318</v>
      </c>
      <c r="F9" s="1193" t="s">
        <v>1018</v>
      </c>
      <c r="H9" s="1193"/>
      <c r="I9" s="1196" t="s">
        <v>3251</v>
      </c>
      <c r="X9" s="1196" t="s">
        <v>3305</v>
      </c>
      <c r="Z9" s="1196" t="s">
        <v>2376</v>
      </c>
      <c r="AB9" s="1196" t="s">
        <v>2402</v>
      </c>
    </row>
    <row r="10" spans="1:28">
      <c r="A10" s="1191" t="s">
        <v>1019</v>
      </c>
      <c r="B10" s="1191" t="s">
        <v>1017</v>
      </c>
      <c r="C10" s="1192" t="s">
        <v>319</v>
      </c>
      <c r="F10" s="1193" t="s">
        <v>2488</v>
      </c>
      <c r="I10" s="1196" t="s">
        <v>3252</v>
      </c>
      <c r="Z10" s="1196" t="s">
        <v>2378</v>
      </c>
      <c r="AB10" s="1196" t="s">
        <v>2404</v>
      </c>
    </row>
    <row r="11" spans="1:28">
      <c r="A11" s="1191" t="s">
        <v>1021</v>
      </c>
      <c r="B11" s="1191" t="s">
        <v>1020</v>
      </c>
      <c r="C11" s="1192" t="s">
        <v>320</v>
      </c>
      <c r="F11" s="1193" t="s">
        <v>12</v>
      </c>
      <c r="I11" s="1196" t="s">
        <v>3253</v>
      </c>
      <c r="Z11" s="1196" t="s">
        <v>2380</v>
      </c>
      <c r="AB11" s="1196" t="s">
        <v>2406</v>
      </c>
    </row>
    <row r="12" spans="1:28">
      <c r="A12" s="1191" t="s">
        <v>1023</v>
      </c>
      <c r="B12" s="1191" t="s">
        <v>1022</v>
      </c>
      <c r="C12" s="1192" t="s">
        <v>321</v>
      </c>
      <c r="I12" s="1196" t="s">
        <v>3254</v>
      </c>
      <c r="Z12" s="1196" t="s">
        <v>2382</v>
      </c>
      <c r="AB12" s="1196" t="s">
        <v>2408</v>
      </c>
    </row>
    <row r="13" spans="1:28">
      <c r="A13" s="1191" t="s">
        <v>1025</v>
      </c>
      <c r="B13" s="1191" t="s">
        <v>1024</v>
      </c>
      <c r="C13" s="1192" t="s">
        <v>322</v>
      </c>
      <c r="I13" s="1196" t="s">
        <v>3255</v>
      </c>
      <c r="Z13" s="1196" t="s">
        <v>2384</v>
      </c>
    </row>
    <row r="14" spans="1:28">
      <c r="A14" s="1191" t="s">
        <v>1027</v>
      </c>
      <c r="B14" s="1191" t="s">
        <v>1026</v>
      </c>
      <c r="C14" s="1193" t="s">
        <v>12</v>
      </c>
      <c r="I14" s="1196" t="s">
        <v>3256</v>
      </c>
      <c r="Z14" s="1196" t="s">
        <v>2386</v>
      </c>
    </row>
    <row r="15" spans="1:28">
      <c r="A15" s="1191" t="s">
        <v>1029</v>
      </c>
      <c r="B15" s="1191" t="s">
        <v>2209</v>
      </c>
      <c r="C15" s="1192"/>
      <c r="I15" s="1196" t="s">
        <v>3257</v>
      </c>
    </row>
    <row r="16" spans="1:28">
      <c r="A16" s="1191" t="s">
        <v>1031</v>
      </c>
      <c r="B16" s="1191" t="s">
        <v>1028</v>
      </c>
      <c r="C16" s="1192"/>
    </row>
    <row r="17" spans="1:3">
      <c r="A17" s="1191" t="s">
        <v>1032</v>
      </c>
      <c r="B17" s="1191" t="s">
        <v>1030</v>
      </c>
      <c r="C17" s="1192"/>
    </row>
    <row r="18" spans="1:3">
      <c r="A18" s="1191" t="s">
        <v>1033</v>
      </c>
      <c r="B18" s="1191" t="s">
        <v>3569</v>
      </c>
      <c r="C18" s="1192"/>
    </row>
    <row r="19" spans="1:3">
      <c r="A19" s="1191" t="s">
        <v>1034</v>
      </c>
      <c r="B19" s="1191" t="s">
        <v>3570</v>
      </c>
      <c r="C19" s="1192"/>
    </row>
    <row r="20" spans="1:3">
      <c r="A20" s="1191" t="s">
        <v>1035</v>
      </c>
      <c r="B20" s="1191" t="s">
        <v>310</v>
      </c>
      <c r="C20" s="1192"/>
    </row>
    <row r="21" spans="1:3">
      <c r="A21" s="1191" t="s">
        <v>1036</v>
      </c>
      <c r="B21" s="1191" t="s">
        <v>2209</v>
      </c>
      <c r="C21" s="1192"/>
    </row>
    <row r="22" spans="1:3">
      <c r="A22" s="1191" t="s">
        <v>1037</v>
      </c>
      <c r="B22" s="1191" t="s">
        <v>3674</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15"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5"/>
      <c r="B54" s="1199" t="s">
        <v>379</v>
      </c>
      <c r="C54" s="1196" t="s">
        <v>577</v>
      </c>
    </row>
    <row r="55" spans="1:4">
      <c r="A55" s="4515"/>
      <c r="B55" s="1199" t="s">
        <v>380</v>
      </c>
      <c r="C55" s="1196" t="s">
        <v>578</v>
      </c>
    </row>
    <row r="56" spans="1:4">
      <c r="A56" s="4515"/>
      <c r="B56" s="1199" t="s">
        <v>381</v>
      </c>
      <c r="C56" s="1196" t="s">
        <v>582</v>
      </c>
    </row>
    <row r="57" spans="1:4">
      <c r="A57" s="4515"/>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2410</v>
      </c>
      <c r="B1" s="2438"/>
      <c r="C1" s="2438"/>
      <c r="D1" s="2438"/>
      <c r="E1" s="2438"/>
      <c r="F1" s="2439"/>
      <c r="I1" s="2799" t="s">
        <v>2503</v>
      </c>
      <c r="J1" s="4017"/>
      <c r="K1" s="4017"/>
      <c r="L1" s="4017"/>
      <c r="M1" s="4017"/>
      <c r="N1" s="4018"/>
      <c r="O1" s="4018"/>
      <c r="P1" s="4018"/>
      <c r="Q1" s="4018"/>
      <c r="R1" s="4019"/>
    </row>
    <row r="2" spans="1:18">
      <c r="A2" s="2441"/>
      <c r="B2" s="2442"/>
      <c r="C2" s="2442"/>
      <c r="D2" s="2442"/>
      <c r="E2" s="2442"/>
      <c r="F2" s="2443"/>
      <c r="I2" s="4516" t="s">
        <v>2490</v>
      </c>
      <c r="J2" s="4517"/>
      <c r="K2" s="4517"/>
      <c r="L2" s="4517"/>
      <c r="M2" s="4517"/>
      <c r="N2" s="4517"/>
      <c r="O2" s="4517"/>
      <c r="P2" s="4517"/>
      <c r="Q2" s="4517"/>
      <c r="R2" s="4518"/>
    </row>
    <row r="3" spans="1:18">
      <c r="A3" s="2444" t="s">
        <v>2411</v>
      </c>
      <c r="B3" s="2445">
        <f>项目基本情况!D3</f>
        <v>46041</v>
      </c>
      <c r="C3" s="2446"/>
      <c r="D3" s="2446"/>
      <c r="E3" s="2446"/>
      <c r="F3" s="2443"/>
      <c r="I3" s="3992"/>
      <c r="J3" s="2800" t="s">
        <v>2494</v>
      </c>
      <c r="K3" s="2800" t="s">
        <v>2495</v>
      </c>
      <c r="L3" s="2800" t="s">
        <v>2496</v>
      </c>
      <c r="M3" s="2800" t="s">
        <v>2497</v>
      </c>
      <c r="N3" s="2801" t="s">
        <v>2498</v>
      </c>
      <c r="O3" s="2801" t="s">
        <v>2499</v>
      </c>
      <c r="P3" s="2801" t="s">
        <v>2500</v>
      </c>
      <c r="Q3" s="2801" t="s">
        <v>2501</v>
      </c>
      <c r="R3" s="3993" t="s">
        <v>2502</v>
      </c>
    </row>
    <row r="4" spans="1:18">
      <c r="A4" s="2444" t="s">
        <v>2412</v>
      </c>
      <c r="B4" s="2446" t="s">
        <v>2413</v>
      </c>
      <c r="C4" s="2446" t="s">
        <v>2414</v>
      </c>
      <c r="D4" s="2446" t="s">
        <v>2415</v>
      </c>
      <c r="E4" s="2446" t="s">
        <v>2416</v>
      </c>
      <c r="F4" s="2443"/>
      <c r="I4" s="3992" t="s">
        <v>2491</v>
      </c>
      <c r="J4" s="3989">
        <v>80</v>
      </c>
      <c r="K4" s="3989">
        <v>70</v>
      </c>
      <c r="L4" s="3989">
        <v>20</v>
      </c>
      <c r="M4" s="3989">
        <v>30</v>
      </c>
      <c r="N4" s="3499">
        <v>45</v>
      </c>
      <c r="O4" s="3499">
        <v>60</v>
      </c>
      <c r="P4" s="3499">
        <v>50</v>
      </c>
      <c r="Q4" s="3499">
        <v>20</v>
      </c>
      <c r="R4" s="3994">
        <v>375</v>
      </c>
    </row>
    <row r="5" spans="1:18">
      <c r="A5" s="4020">
        <v>40</v>
      </c>
      <c r="B5" s="2445">
        <v>46375</v>
      </c>
      <c r="C5" s="4021">
        <f>ROUNDDOWN(MIN((B5-B3)/365,A5),2)</f>
        <v>0.91</v>
      </c>
      <c r="D5" s="4022">
        <f>IF(ISERROR(ROUND(POWER(1+E5,A5-C5)*(POWER(1+E5,C5)-1)/(POWER(1+E5,A5)-1),3)),0,ROUND(POWER(1+E5,A5-C5)*(POWER(1+E5,C5)-1)/(POWER(1+E5,A5)-1),4))</f>
        <v>4.4299999999999999E-2</v>
      </c>
      <c r="E5" s="4023">
        <v>0.04</v>
      </c>
      <c r="F5" s="2443"/>
      <c r="I5" s="3992" t="s">
        <v>2492</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10.92</v>
      </c>
      <c r="D6" s="4022">
        <f>IF(ISERROR(ROUND(POWER(1+E6,A6-C6)*(POWER(1+E6,C6)-1)/(POWER(1+E6,A6)-1),3)),0,ROUND(POWER(1+E6,A6-C6)*(POWER(1+E6,C6)-1)/(POWER(1+E6,A6)-1),4))</f>
        <v>0.40539999999999998</v>
      </c>
      <c r="E6" s="4023">
        <v>0.04</v>
      </c>
      <c r="F6" s="2443"/>
      <c r="I6" s="3995" t="s">
        <v>2493</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3721</v>
      </c>
      <c r="J7" s="4000" t="s">
        <v>3724</v>
      </c>
      <c r="K7" s="4001">
        <v>3.5</v>
      </c>
      <c r="L7" s="4002" t="s">
        <v>3723</v>
      </c>
      <c r="M7" s="3991"/>
      <c r="N7" s="2438"/>
      <c r="O7" s="2438"/>
      <c r="P7" s="2438"/>
      <c r="Q7" s="2438"/>
      <c r="R7" s="2439"/>
    </row>
    <row r="8" spans="1:18">
      <c r="A8" s="2441"/>
      <c r="B8" s="2442"/>
      <c r="C8" s="2442"/>
      <c r="D8" s="2442"/>
      <c r="E8" s="2442"/>
      <c r="F8" s="2443"/>
      <c r="I8" s="4516" t="s">
        <v>3722</v>
      </c>
      <c r="J8" s="4517"/>
      <c r="K8" s="4517"/>
      <c r="L8" s="4517"/>
      <c r="M8" s="4517"/>
      <c r="N8" s="4517"/>
      <c r="O8" s="4517"/>
      <c r="P8" s="4517"/>
      <c r="Q8" s="4517"/>
      <c r="R8" s="4518"/>
    </row>
    <row r="9" spans="1:18">
      <c r="A9" s="2444" t="s">
        <v>2417</v>
      </c>
      <c r="B9" s="2446"/>
      <c r="C9" s="2446"/>
      <c r="D9" s="2446"/>
      <c r="E9" s="2446"/>
      <c r="F9" s="2447"/>
      <c r="I9" s="3992"/>
      <c r="J9" s="2800" t="s">
        <v>2494</v>
      </c>
      <c r="K9" s="2800" t="s">
        <v>2495</v>
      </c>
      <c r="L9" s="2800" t="s">
        <v>2496</v>
      </c>
      <c r="M9" s="2800" t="s">
        <v>2497</v>
      </c>
      <c r="N9" s="2801" t="s">
        <v>2498</v>
      </c>
      <c r="O9" s="2801" t="s">
        <v>2499</v>
      </c>
      <c r="P9" s="2801" t="s">
        <v>2500</v>
      </c>
      <c r="Q9" s="2801" t="s">
        <v>2501</v>
      </c>
      <c r="R9" s="3993" t="s">
        <v>2502</v>
      </c>
    </row>
    <row r="10" spans="1:18">
      <c r="A10" s="2444" t="s">
        <v>2418</v>
      </c>
      <c r="B10" s="2446"/>
      <c r="C10" s="2446"/>
      <c r="D10" s="2446" t="s">
        <v>2416</v>
      </c>
      <c r="E10" s="2446"/>
      <c r="F10" s="2447" t="s">
        <v>2415</v>
      </c>
      <c r="I10" s="3992" t="s">
        <v>2491</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2419</v>
      </c>
      <c r="B11" s="4024">
        <v>70</v>
      </c>
      <c r="C11" s="4027" t="s">
        <v>2420</v>
      </c>
      <c r="D11" s="4023">
        <v>4.4999999999999998E-2</v>
      </c>
      <c r="E11" s="4027" t="s">
        <v>2421</v>
      </c>
      <c r="F11" s="4025">
        <f>ROUND(1-(1/(POWER(1+D11,B11))),4)</f>
        <v>0.95409999999999995</v>
      </c>
      <c r="I11" s="3992" t="s">
        <v>2492</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2422</v>
      </c>
      <c r="B12" s="4024">
        <v>40</v>
      </c>
      <c r="C12" s="4027" t="s">
        <v>2423</v>
      </c>
      <c r="D12" s="4023">
        <v>4.4999999999999998E-2</v>
      </c>
      <c r="E12" s="4027" t="s">
        <v>2424</v>
      </c>
      <c r="F12" s="4025">
        <f>ROUND(1-(1/(POWER(1+D12,B12))),4)</f>
        <v>0.82809999999999995</v>
      </c>
      <c r="I12" s="4003" t="s">
        <v>2493</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2425</v>
      </c>
      <c r="B13" s="2446"/>
      <c r="C13" s="2446"/>
      <c r="D13" s="2442"/>
      <c r="E13" s="2442"/>
      <c r="F13" s="2443"/>
      <c r="I13" s="3990" t="s">
        <v>3725</v>
      </c>
      <c r="J13" s="4009">
        <v>2.5</v>
      </c>
      <c r="K13" s="3991" t="s">
        <v>3726</v>
      </c>
      <c r="L13" s="4010">
        <v>0.92630000000000001</v>
      </c>
      <c r="M13" s="3991"/>
      <c r="N13" s="2438"/>
      <c r="O13" s="2438"/>
      <c r="P13" s="2438"/>
      <c r="Q13" s="2438"/>
      <c r="R13" s="2439"/>
    </row>
    <row r="14" spans="1:18">
      <c r="A14" s="4026" t="s">
        <v>2426</v>
      </c>
      <c r="B14" s="4028">
        <v>5000</v>
      </c>
      <c r="C14" s="4029"/>
      <c r="D14" s="2442"/>
      <c r="E14" s="2442"/>
      <c r="F14" s="2443"/>
      <c r="I14" s="3992"/>
      <c r="J14" s="2800" t="s">
        <v>2494</v>
      </c>
      <c r="K14" s="2800" t="s">
        <v>2495</v>
      </c>
      <c r="L14" s="2800" t="s">
        <v>2496</v>
      </c>
      <c r="M14" s="2800" t="s">
        <v>2497</v>
      </c>
      <c r="N14" s="2801" t="s">
        <v>2498</v>
      </c>
      <c r="O14" s="2801" t="s">
        <v>2499</v>
      </c>
      <c r="P14" s="2801" t="s">
        <v>2500</v>
      </c>
      <c r="Q14" s="2801" t="s">
        <v>2501</v>
      </c>
      <c r="R14" s="3993" t="s">
        <v>2502</v>
      </c>
    </row>
    <row r="15" spans="1:18">
      <c r="A15" s="4026" t="s">
        <v>2427</v>
      </c>
      <c r="B15" s="4030">
        <f>ROUND(B14*F12/F11,2)</f>
        <v>4339.6899999999996</v>
      </c>
      <c r="C15" s="4022">
        <f>ROUND(F12/F11,4)</f>
        <v>0.8679</v>
      </c>
      <c r="D15" s="2442"/>
      <c r="E15" s="2442"/>
      <c r="F15" s="2443"/>
      <c r="I15" s="3992" t="s">
        <v>2491</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2428</v>
      </c>
      <c r="B16" s="2930"/>
      <c r="C16" s="2930"/>
      <c r="D16" s="2442"/>
      <c r="E16" s="2442"/>
      <c r="F16" s="2443"/>
      <c r="I16" s="3992" t="s">
        <v>2492</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2427</v>
      </c>
      <c r="B17" s="4031">
        <v>4810</v>
      </c>
      <c r="C17" s="4029"/>
      <c r="D17" s="2442"/>
      <c r="E17" s="2442"/>
      <c r="F17" s="2443"/>
      <c r="I17" s="3995" t="s">
        <v>2493</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2426</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2429</v>
      </c>
      <c r="B20" s="4015"/>
      <c r="C20" s="4015"/>
      <c r="D20" s="4015"/>
      <c r="E20" s="4015"/>
      <c r="F20" s="4015"/>
      <c r="G20" s="4016"/>
      <c r="I20" s="4005" t="s">
        <v>2474</v>
      </c>
      <c r="J20" s="4005" t="s">
        <v>2479</v>
      </c>
      <c r="K20" s="4005"/>
      <c r="L20" s="4005"/>
      <c r="M20" s="4005"/>
    </row>
    <row r="21" spans="1:18">
      <c r="A21" s="2451"/>
      <c r="B21" s="2452" t="s">
        <v>2430</v>
      </c>
      <c r="C21" s="2452" t="s">
        <v>2431</v>
      </c>
      <c r="D21" s="2452" t="s">
        <v>2432</v>
      </c>
      <c r="E21" s="2452" t="s">
        <v>2433</v>
      </c>
      <c r="F21" s="2452" t="s">
        <v>2434</v>
      </c>
      <c r="G21" s="2453" t="s">
        <v>2435</v>
      </c>
      <c r="I21" s="2932">
        <v>5</v>
      </c>
      <c r="J21" s="2931">
        <v>54.2</v>
      </c>
      <c r="K21" s="2931"/>
    </row>
    <row r="22" spans="1:18">
      <c r="A22" s="2451" t="s">
        <v>2436</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2437</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2477</v>
      </c>
      <c r="N23" s="2808" t="s">
        <v>2478</v>
      </c>
    </row>
    <row r="24" spans="1:18">
      <c r="A24" s="2451" t="s">
        <v>2438</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2476</v>
      </c>
      <c r="N24" s="2933">
        <v>10</v>
      </c>
    </row>
    <row r="25" spans="1:18">
      <c r="A25" s="2451" t="s">
        <v>2439</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2480</v>
      </c>
      <c r="N25" s="2933">
        <v>8</v>
      </c>
    </row>
    <row r="26" spans="1:18">
      <c r="A26" s="2454"/>
      <c r="B26" s="2455"/>
      <c r="C26" s="2455"/>
      <c r="D26" s="2455"/>
      <c r="E26" s="2455"/>
      <c r="F26" s="2455"/>
      <c r="G26" s="2456"/>
      <c r="I26" s="2932">
        <v>30</v>
      </c>
      <c r="J26" s="2931">
        <v>90.5</v>
      </c>
      <c r="K26" s="2931">
        <f t="shared" si="7"/>
        <v>4.2000000000000028</v>
      </c>
      <c r="L26" s="2472" t="s">
        <v>2481</v>
      </c>
      <c r="N26" s="2933">
        <v>5</v>
      </c>
    </row>
    <row r="27" spans="1:18">
      <c r="A27" s="2454" t="s">
        <v>2440</v>
      </c>
      <c r="B27" s="2455"/>
      <c r="C27" s="2455"/>
      <c r="D27" s="2455"/>
      <c r="E27" s="2455"/>
      <c r="F27" s="2455"/>
      <c r="G27" s="2456"/>
      <c r="I27" s="2932">
        <v>35</v>
      </c>
      <c r="J27" s="2931">
        <v>93.8</v>
      </c>
      <c r="K27" s="2931">
        <f t="shared" si="7"/>
        <v>3.2999999999999972</v>
      </c>
      <c r="L27" s="2472" t="s">
        <v>2482</v>
      </c>
      <c r="N27" s="2933">
        <v>3</v>
      </c>
    </row>
    <row r="28" spans="1:18">
      <c r="A28" s="2454" t="s">
        <v>2441</v>
      </c>
      <c r="B28" s="2455"/>
      <c r="C28" s="2455"/>
      <c r="D28" s="2455"/>
      <c r="E28" s="2455"/>
      <c r="F28" s="2455"/>
      <c r="G28" s="2456"/>
      <c r="I28" s="2932">
        <v>40</v>
      </c>
      <c r="J28" s="2931">
        <v>96.4</v>
      </c>
      <c r="K28" s="2931">
        <f t="shared" si="7"/>
        <v>2.6000000000000085</v>
      </c>
      <c r="L28" s="2472" t="s">
        <v>2483</v>
      </c>
      <c r="N28" s="2933">
        <v>2</v>
      </c>
    </row>
    <row r="29" spans="1:18">
      <c r="A29" s="2454" t="s">
        <v>2442</v>
      </c>
      <c r="B29" s="2455"/>
      <c r="C29" s="2455"/>
      <c r="D29" s="2455"/>
      <c r="E29" s="2455"/>
      <c r="F29" s="2455"/>
      <c r="G29" s="2456"/>
      <c r="I29" s="2932">
        <v>45</v>
      </c>
      <c r="J29" s="2931">
        <v>98.4</v>
      </c>
      <c r="K29" s="2931">
        <f t="shared" si="7"/>
        <v>2</v>
      </c>
    </row>
    <row r="30" spans="1:18">
      <c r="A30" s="2454" t="s">
        <v>2443</v>
      </c>
      <c r="B30" s="2455"/>
      <c r="C30" s="2455"/>
      <c r="D30" s="2455"/>
      <c r="E30" s="2455"/>
      <c r="F30" s="2455"/>
      <c r="G30" s="2456"/>
      <c r="I30" s="2932">
        <v>50</v>
      </c>
      <c r="J30" s="2931">
        <v>100</v>
      </c>
      <c r="K30" s="2931">
        <f t="shared" si="7"/>
        <v>1.5999999999999943</v>
      </c>
    </row>
    <row r="31" spans="1:18">
      <c r="A31" s="2454" t="s">
        <v>2444</v>
      </c>
      <c r="B31" s="2455"/>
      <c r="C31" s="2455"/>
      <c r="D31" s="2455"/>
      <c r="E31" s="2455"/>
      <c r="F31" s="2455"/>
      <c r="G31" s="2456"/>
      <c r="I31" s="2472" t="s">
        <v>2475</v>
      </c>
    </row>
    <row r="32" spans="1:18">
      <c r="A32" s="2454" t="s">
        <v>2445</v>
      </c>
      <c r="B32" s="2455"/>
      <c r="C32" s="2455"/>
      <c r="D32" s="2455"/>
      <c r="E32" s="2455"/>
      <c r="F32" s="2455"/>
      <c r="G32" s="2456"/>
    </row>
    <row r="33" spans="1:14">
      <c r="A33" s="2454" t="s">
        <v>2446</v>
      </c>
      <c r="B33" s="2455"/>
      <c r="C33" s="2455"/>
      <c r="D33" s="2455"/>
      <c r="E33" s="2455"/>
      <c r="F33" s="2455"/>
      <c r="G33" s="2456"/>
      <c r="I33" s="2472" t="s">
        <v>2474</v>
      </c>
      <c r="J33" s="2472" t="s">
        <v>2484</v>
      </c>
    </row>
    <row r="34" spans="1:14">
      <c r="A34" s="2454" t="s">
        <v>2447</v>
      </c>
      <c r="B34" s="2455"/>
      <c r="C34" s="2455"/>
      <c r="D34" s="2455"/>
      <c r="E34" s="2455"/>
      <c r="F34" s="2455"/>
      <c r="G34" s="2456"/>
      <c r="I34" s="2932">
        <v>5</v>
      </c>
      <c r="J34" s="2931">
        <v>55.1</v>
      </c>
      <c r="K34" s="2931"/>
    </row>
    <row r="35" spans="1:14">
      <c r="A35" s="2454" t="s">
        <v>2448</v>
      </c>
      <c r="B35" s="2455"/>
      <c r="C35" s="2455"/>
      <c r="D35" s="2455"/>
      <c r="E35" s="2455"/>
      <c r="F35" s="2455"/>
      <c r="G35" s="2456"/>
      <c r="I35" s="2932">
        <v>10</v>
      </c>
      <c r="J35" s="2931">
        <v>67</v>
      </c>
      <c r="K35" s="2931">
        <f>J35-J34</f>
        <v>11.899999999999999</v>
      </c>
    </row>
    <row r="36" spans="1:14">
      <c r="A36" s="2454" t="s">
        <v>2449</v>
      </c>
      <c r="B36" s="2455"/>
      <c r="C36" s="2455"/>
      <c r="D36" s="2455"/>
      <c r="E36" s="2455"/>
      <c r="F36" s="2455"/>
      <c r="G36" s="2456"/>
      <c r="I36" s="2932">
        <v>15</v>
      </c>
      <c r="J36" s="2931">
        <v>76.3</v>
      </c>
      <c r="K36" s="2931">
        <f t="shared" ref="K36:K41" si="8">J36-J35</f>
        <v>9.2999999999999972</v>
      </c>
      <c r="L36" s="2472" t="s">
        <v>2477</v>
      </c>
      <c r="N36" s="2808" t="s">
        <v>2478</v>
      </c>
    </row>
    <row r="37" spans="1:14">
      <c r="A37" s="2454" t="s">
        <v>2450</v>
      </c>
      <c r="B37" s="2455"/>
      <c r="C37" s="2455"/>
      <c r="D37" s="2455"/>
      <c r="E37" s="2455"/>
      <c r="F37" s="2455"/>
      <c r="G37" s="2456"/>
      <c r="I37" s="2932">
        <v>20</v>
      </c>
      <c r="J37" s="2931">
        <v>83.6</v>
      </c>
      <c r="K37" s="2931">
        <f t="shared" si="8"/>
        <v>7.2999999999999972</v>
      </c>
      <c r="L37" s="2472" t="s">
        <v>2476</v>
      </c>
      <c r="N37" s="2933">
        <v>10</v>
      </c>
    </row>
    <row r="38" spans="1:14">
      <c r="A38" s="2454" t="s">
        <v>2451</v>
      </c>
      <c r="B38" s="2455"/>
      <c r="C38" s="2455"/>
      <c r="D38" s="2455"/>
      <c r="E38" s="2455"/>
      <c r="F38" s="2455"/>
      <c r="G38" s="2456"/>
      <c r="I38" s="2932">
        <v>25</v>
      </c>
      <c r="J38" s="2931">
        <v>89.3</v>
      </c>
      <c r="K38" s="2931">
        <f t="shared" si="8"/>
        <v>5.7000000000000028</v>
      </c>
      <c r="L38" s="2472" t="s">
        <v>2480</v>
      </c>
      <c r="N38" s="2933">
        <v>8</v>
      </c>
    </row>
    <row r="39" spans="1:14">
      <c r="A39" s="2454"/>
      <c r="B39" s="2455"/>
      <c r="C39" s="2455"/>
      <c r="D39" s="2455"/>
      <c r="E39" s="2455"/>
      <c r="F39" s="2455"/>
      <c r="G39" s="2456"/>
      <c r="I39" s="2932">
        <v>30</v>
      </c>
      <c r="J39" s="2931">
        <v>93.8</v>
      </c>
      <c r="K39" s="2931">
        <f t="shared" si="8"/>
        <v>4.5</v>
      </c>
      <c r="L39" s="2472" t="s">
        <v>2481</v>
      </c>
      <c r="N39" s="2933">
        <v>6</v>
      </c>
    </row>
    <row r="40" spans="1:14">
      <c r="A40" s="2457" t="s">
        <v>2452</v>
      </c>
      <c r="B40" s="2458"/>
      <c r="C40" s="2458"/>
      <c r="D40" s="2458"/>
      <c r="E40" s="2458"/>
      <c r="F40" s="2458"/>
      <c r="G40" s="2459"/>
      <c r="I40" s="2932">
        <v>35</v>
      </c>
      <c r="J40" s="2931">
        <v>97.2</v>
      </c>
      <c r="K40" s="2931">
        <f t="shared" si="8"/>
        <v>3.4000000000000057</v>
      </c>
      <c r="L40" s="2472" t="s">
        <v>2482</v>
      </c>
      <c r="N40" s="2933">
        <v>3</v>
      </c>
    </row>
    <row r="41" spans="1:14">
      <c r="A41" s="2460" t="s">
        <v>2453</v>
      </c>
      <c r="B41" s="2461" t="s">
        <v>2454</v>
      </c>
      <c r="C41" s="2462" t="s">
        <v>2455</v>
      </c>
      <c r="D41" s="2462" t="s">
        <v>2456</v>
      </c>
      <c r="E41" s="2463"/>
      <c r="F41" s="2464"/>
      <c r="G41" s="2465"/>
      <c r="I41" s="2932">
        <v>40</v>
      </c>
      <c r="J41" s="2931">
        <v>100</v>
      </c>
      <c r="K41" s="2931">
        <f t="shared" si="8"/>
        <v>2.7999999999999972</v>
      </c>
    </row>
    <row r="42" spans="1:14">
      <c r="A42" s="2460" t="s">
        <v>2457</v>
      </c>
      <c r="B42" s="2461" t="s">
        <v>2458</v>
      </c>
      <c r="C42" s="2462" t="s">
        <v>2459</v>
      </c>
      <c r="D42" s="2466" t="s">
        <v>2460</v>
      </c>
      <c r="E42" s="2458" t="s">
        <v>2461</v>
      </c>
      <c r="F42" s="2458"/>
      <c r="G42" s="2459"/>
    </row>
    <row r="43" spans="1:14">
      <c r="A43" s="2460" t="s">
        <v>2462</v>
      </c>
      <c r="B43" s="2461" t="s">
        <v>2463</v>
      </c>
      <c r="C43" s="2462" t="s">
        <v>2464</v>
      </c>
      <c r="D43" s="2462" t="s">
        <v>2465</v>
      </c>
      <c r="E43" s="2463" t="s">
        <v>2466</v>
      </c>
      <c r="F43" s="2464"/>
      <c r="G43" s="2465"/>
      <c r="I43" s="2472" t="s">
        <v>2474</v>
      </c>
      <c r="J43" s="2472" t="s">
        <v>2485</v>
      </c>
    </row>
    <row r="44" spans="1:14">
      <c r="A44" s="2460" t="s">
        <v>2467</v>
      </c>
      <c r="B44" s="2461" t="s">
        <v>2468</v>
      </c>
      <c r="C44" s="2462" t="s">
        <v>2469</v>
      </c>
      <c r="D44" s="2466">
        <v>0.5</v>
      </c>
      <c r="E44" s="2463" t="s">
        <v>2470</v>
      </c>
      <c r="F44" s="2464"/>
      <c r="G44" s="2465"/>
      <c r="I44" s="2932">
        <v>30</v>
      </c>
      <c r="J44" s="2931">
        <v>81.7</v>
      </c>
      <c r="K44" s="2931"/>
    </row>
    <row r="45" spans="1:14" ht="14.25" thickBot="1">
      <c r="A45" s="2467" t="s">
        <v>2471</v>
      </c>
      <c r="B45" s="2468" t="s">
        <v>2458</v>
      </c>
      <c r="C45" s="2469" t="s">
        <v>2458</v>
      </c>
      <c r="D45" s="2469" t="s">
        <v>2472</v>
      </c>
      <c r="E45" s="2470" t="s">
        <v>2473</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3375</v>
      </c>
      <c r="B54" s="2935"/>
      <c r="C54" s="2935"/>
      <c r="D54" s="2935"/>
      <c r="E54" s="2935"/>
      <c r="I54" s="4519" t="s">
        <v>3389</v>
      </c>
      <c r="J54" s="4519"/>
      <c r="K54" s="4519"/>
      <c r="L54" s="4519"/>
      <c r="M54" s="4519"/>
    </row>
    <row r="55" spans="1:15" ht="14.25">
      <c r="A55" s="2947" t="s">
        <v>3376</v>
      </c>
      <c r="B55" s="2952" t="s">
        <v>3377</v>
      </c>
      <c r="C55" s="2956" t="s">
        <v>3378</v>
      </c>
      <c r="D55" s="2957" t="s">
        <v>3388</v>
      </c>
      <c r="E55" s="2958" t="s">
        <v>3387</v>
      </c>
      <c r="F55" s="2961" t="s">
        <v>3396</v>
      </c>
      <c r="I55" s="2800" t="s">
        <v>3390</v>
      </c>
      <c r="J55" s="2800" t="s">
        <v>3391</v>
      </c>
      <c r="K55" s="2800" t="s">
        <v>3392</v>
      </c>
      <c r="L55" s="2800" t="s">
        <v>3393</v>
      </c>
      <c r="M55" s="2800" t="s">
        <v>3394</v>
      </c>
      <c r="O55" s="2800" t="s">
        <v>3395</v>
      </c>
    </row>
    <row r="56" spans="1:15" ht="14.25">
      <c r="A56" s="2948" t="s">
        <v>3379</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3380</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3381</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3382</v>
      </c>
      <c r="B59" s="2954">
        <f>B56</f>
        <v>90701.11</v>
      </c>
      <c r="C59" s="2943">
        <v>420</v>
      </c>
      <c r="D59" s="2965"/>
      <c r="E59" s="2968">
        <f>C59*B59</f>
        <v>38094466.200000003</v>
      </c>
      <c r="F59" s="2962">
        <f t="shared" ref="F59:F62" si="10">E59/$E$63</f>
        <v>0.10459017352667492</v>
      </c>
    </row>
    <row r="60" spans="1:15" ht="15">
      <c r="A60" s="2950" t="s">
        <v>3383</v>
      </c>
      <c r="B60" s="2954">
        <f>B56</f>
        <v>90701.11</v>
      </c>
      <c r="C60" s="2943">
        <v>850</v>
      </c>
      <c r="D60" s="2965"/>
      <c r="E60" s="2968">
        <f>C60*B60</f>
        <v>77095943.5</v>
      </c>
      <c r="F60" s="2962">
        <f t="shared" si="10"/>
        <v>0.2116705892801754</v>
      </c>
    </row>
    <row r="61" spans="1:15" ht="15">
      <c r="A61" s="2950" t="s">
        <v>3385</v>
      </c>
      <c r="B61" s="2937">
        <v>6491.34</v>
      </c>
      <c r="C61" s="2954">
        <f>E61/B56</f>
        <v>214.70542091491492</v>
      </c>
      <c r="D61" s="2938">
        <f>D58</f>
        <v>3000</v>
      </c>
      <c r="E61" s="2968">
        <f>D61*B61</f>
        <v>19474020</v>
      </c>
      <c r="F61" s="2962">
        <f t="shared" si="10"/>
        <v>5.3466850549068398E-2</v>
      </c>
    </row>
    <row r="62" spans="1:15" ht="15">
      <c r="A62" s="2950" t="s">
        <v>3384</v>
      </c>
      <c r="B62" s="2941"/>
      <c r="C62" s="2954">
        <f>E62/B56</f>
        <v>154.44898511164857</v>
      </c>
      <c r="D62" s="2940">
        <v>0.04</v>
      </c>
      <c r="E62" s="2968">
        <f>(E56+E59+E60+E61)*D62</f>
        <v>14008694.388</v>
      </c>
      <c r="F62" s="2962">
        <f t="shared" si="10"/>
        <v>3.8461538461538464E-2</v>
      </c>
      <c r="I62" s="4520" t="s">
        <v>3397</v>
      </c>
      <c r="J62" s="4520"/>
      <c r="K62" s="4520"/>
      <c r="L62" s="4520"/>
      <c r="M62" s="4520"/>
    </row>
    <row r="63" spans="1:15" ht="15.75" thickBot="1">
      <c r="A63" s="2951" t="s">
        <v>3386</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E37" sqref="E37:E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2084</v>
      </c>
      <c r="B1" s="4521" t="str">
        <f>IF(B10="北京市","北京市",C10)&amp;F10&amp;IF(结果表!G1="在建","出让国有建设用地使用权及在建建筑物",IF(结果表!G1="土地","出让国有建设用地使用权",))&amp;B9&amp;"预评估"</f>
        <v>北京市房地产抵押价值预评估</v>
      </c>
      <c r="C1" s="4522"/>
      <c r="D1" s="4522"/>
      <c r="E1" s="4522"/>
      <c r="F1" s="4522"/>
      <c r="G1" s="4522"/>
      <c r="H1" s="4522"/>
      <c r="I1" s="4523"/>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2085</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2086</v>
      </c>
      <c r="B3" s="1914"/>
      <c r="C3" s="1915" t="s">
        <v>2087</v>
      </c>
      <c r="D3" s="1914">
        <v>46041</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2088</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2089</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2090</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2091</v>
      </c>
      <c r="B7" s="1928"/>
      <c r="C7" s="1926"/>
      <c r="D7" s="1927"/>
      <c r="E7" s="2144"/>
      <c r="F7" s="2146"/>
      <c r="G7" s="2146"/>
      <c r="H7" s="2146"/>
      <c r="I7" s="2146"/>
      <c r="J7" s="1975"/>
      <c r="K7" s="2100"/>
      <c r="L7" s="2097"/>
      <c r="M7" s="2097"/>
      <c r="N7" s="1975"/>
      <c r="O7" s="1986"/>
      <c r="P7" s="1975"/>
      <c r="Q7" s="1975"/>
      <c r="R7" s="1975"/>
    </row>
    <row r="8" spans="1:30">
      <c r="A8" s="1929" t="s">
        <v>2092</v>
      </c>
      <c r="B8" s="1930" t="s">
        <v>3854</v>
      </c>
      <c r="C8" s="1931"/>
      <c r="D8" s="4524" t="s">
        <v>2093</v>
      </c>
      <c r="E8" s="1932" t="s">
        <v>3855</v>
      </c>
      <c r="F8" s="1933"/>
      <c r="G8" s="2145"/>
      <c r="H8" s="2145"/>
      <c r="I8" s="2145"/>
      <c r="J8" s="1975"/>
      <c r="K8" s="2098"/>
      <c r="L8" s="2097"/>
      <c r="M8" s="2097"/>
      <c r="N8" s="1975"/>
      <c r="O8" s="1986"/>
      <c r="P8" s="1975"/>
      <c r="Q8" s="1975"/>
      <c r="R8" s="1975"/>
    </row>
    <row r="9" spans="1:30" ht="13.5" thickBot="1">
      <c r="A9" s="1934" t="s">
        <v>2094</v>
      </c>
      <c r="B9" s="1935" t="s">
        <v>3855</v>
      </c>
      <c r="C9" s="1936"/>
      <c r="D9" s="4525"/>
      <c r="E9" s="1935" t="s">
        <v>41</v>
      </c>
      <c r="F9" s="1937"/>
      <c r="G9" s="2147"/>
      <c r="H9" s="2147"/>
      <c r="I9" s="2147"/>
      <c r="J9" s="1975"/>
      <c r="K9" s="2100"/>
      <c r="L9" s="2097"/>
      <c r="M9" s="2097"/>
      <c r="N9" s="1975"/>
      <c r="O9" s="1986"/>
      <c r="P9" s="1975"/>
      <c r="Q9" s="1975"/>
      <c r="R9" s="1975"/>
    </row>
    <row r="10" spans="1:30" ht="13.5" thickTop="1">
      <c r="A10" s="1938" t="s">
        <v>2095</v>
      </c>
      <c r="B10" s="3890" t="s">
        <v>3856</v>
      </c>
      <c r="C10" s="1939"/>
      <c r="D10" s="1923"/>
      <c r="E10" s="1940" t="s">
        <v>2096</v>
      </c>
      <c r="F10" s="2148"/>
      <c r="G10" s="2149"/>
      <c r="H10" s="2150"/>
      <c r="I10" s="2151"/>
      <c r="J10" s="1975"/>
      <c r="K10" s="2100"/>
      <c r="L10" s="2097"/>
      <c r="M10" s="2097"/>
      <c r="N10" s="1975"/>
      <c r="O10" s="1986"/>
      <c r="P10" s="1975"/>
      <c r="Q10" s="1975"/>
      <c r="R10" s="1975"/>
    </row>
    <row r="11" spans="1:30">
      <c r="A11" s="1941" t="s">
        <v>2097</v>
      </c>
      <c r="B11" s="2790" t="s">
        <v>3857</v>
      </c>
      <c r="C11" s="1942"/>
      <c r="D11" s="1943"/>
      <c r="E11" s="1911"/>
      <c r="F11" s="1911"/>
      <c r="G11" s="1911"/>
      <c r="H11" s="1911"/>
      <c r="I11" s="1911"/>
      <c r="J11" s="2475"/>
      <c r="K11" s="2474"/>
      <c r="L11" s="2097"/>
      <c r="M11" s="2097"/>
      <c r="N11" s="1975"/>
      <c r="O11" s="1986"/>
      <c r="P11" s="1975"/>
      <c r="Q11" s="1975"/>
      <c r="R11" s="1975"/>
    </row>
    <row r="12" spans="1:30">
      <c r="A12" s="1944" t="s">
        <v>2098</v>
      </c>
      <c r="B12" s="211" t="s">
        <v>2099</v>
      </c>
      <c r="C12" s="1945" t="s">
        <v>2100</v>
      </c>
      <c r="D12" s="1945" t="s">
        <v>2101</v>
      </c>
      <c r="E12" s="1945" t="s">
        <v>2102</v>
      </c>
      <c r="F12" s="1945" t="s">
        <v>2103</v>
      </c>
      <c r="G12" s="1945" t="s">
        <v>2104</v>
      </c>
      <c r="H12" s="1945" t="s">
        <v>2105</v>
      </c>
      <c r="I12" s="2473" t="s">
        <v>2486</v>
      </c>
      <c r="J12" s="2476"/>
      <c r="K12" s="2097"/>
      <c r="L12" s="2097"/>
      <c r="M12" s="1975"/>
      <c r="N12" s="1986"/>
      <c r="O12" s="1975"/>
      <c r="P12" s="1975"/>
      <c r="Q12" s="1975"/>
      <c r="AD12" s="1373"/>
    </row>
    <row r="13" spans="1:30">
      <c r="A13" s="2790" t="s">
        <v>3240</v>
      </c>
      <c r="B13" s="1946" t="s">
        <v>2106</v>
      </c>
      <c r="C13" s="609"/>
      <c r="D13" s="609"/>
      <c r="E13" s="609"/>
      <c r="F13" s="609"/>
      <c r="G13" s="609"/>
      <c r="H13" s="609">
        <v>59504</v>
      </c>
      <c r="I13" s="609"/>
      <c r="J13" s="2476"/>
      <c r="K13" s="2097"/>
      <c r="L13" s="2097"/>
      <c r="M13" s="1975"/>
      <c r="N13" s="1986"/>
      <c r="O13" s="1975"/>
      <c r="P13" s="1975"/>
      <c r="Q13" s="1975"/>
      <c r="AD13" s="1373"/>
    </row>
    <row r="14" spans="1:30">
      <c r="A14" s="790"/>
      <c r="B14" s="1946" t="s">
        <v>2107</v>
      </c>
      <c r="C14" s="1947"/>
      <c r="D14" s="1947"/>
      <c r="E14" s="1947"/>
      <c r="F14" s="1947"/>
      <c r="G14" s="1947"/>
      <c r="H14" s="1947">
        <v>50</v>
      </c>
      <c r="I14" s="1947"/>
      <c r="J14" s="2477"/>
      <c r="K14" s="2097"/>
      <c r="L14" s="2097"/>
      <c r="M14" s="1975"/>
      <c r="N14" s="1986"/>
      <c r="O14" s="1975"/>
      <c r="P14" s="1975"/>
      <c r="Q14" s="1975"/>
      <c r="AD14" s="1373"/>
    </row>
    <row r="15" spans="1:30">
      <c r="A15" s="208"/>
      <c r="B15" s="1948" t="s">
        <v>2108</v>
      </c>
      <c r="C15" s="4153" t="str">
        <f>IF(A13="出让",IF(C13="","",ROUNDDOWN(MIN((C13-$D$3)/365,C14),2)),C14)</f>
        <v/>
      </c>
      <c r="D15" s="4153" t="str">
        <f>IF(A13="出让",IF(D13="","",ROUNDDOWN(MIN((D13-$D$3)/365,D14),2)),D14)</f>
        <v/>
      </c>
      <c r="E15" s="4153" t="str">
        <f>IF(A13="出让",IF(E13="","",ROUNDDOWN(MIN((E13-$D$3)/365,E14),2)),E14)</f>
        <v/>
      </c>
      <c r="F15" s="4153" t="str">
        <f>IF(A13="出让",IF(F13="","",ROUNDDOWN(MIN((F13-$D$3)/365,F14),2)),F14)</f>
        <v/>
      </c>
      <c r="G15" s="4153" t="str">
        <f>IF(A13="出让",IF(G13="","",ROUNDDOWN(MIN((G13-$D$3)/365,G14),2)),G14)</f>
        <v/>
      </c>
      <c r="H15" s="4153">
        <f>IF(A13="出让",IF(H13="","",ROUNDDOWN(MIN((H13-$D$3)/365,H14),2)),H14)</f>
        <v>36.880000000000003</v>
      </c>
      <c r="I15" s="4153" t="str">
        <f>IF(A13="出让",IF(I13="","",ROUNDDOWN(MIN((I13-$D$3)/365,I14),2)),I14)</f>
        <v/>
      </c>
      <c r="J15" s="2478"/>
      <c r="K15" s="1987"/>
      <c r="L15" s="1987"/>
      <c r="M15" s="2045"/>
      <c r="N15" s="1987"/>
      <c r="O15" s="2045"/>
      <c r="P15" s="1975"/>
      <c r="Q15" s="1975"/>
      <c r="AD15" s="1373"/>
    </row>
    <row r="16" spans="1:30">
      <c r="A16" s="1940" t="s">
        <v>2109</v>
      </c>
      <c r="B16" s="4531"/>
      <c r="C16" s="4532"/>
      <c r="D16" s="4533"/>
      <c r="E16" s="1951" t="s">
        <v>2110</v>
      </c>
      <c r="F16" s="4534"/>
      <c r="G16" s="4535"/>
      <c r="H16" s="4535"/>
      <c r="I16" s="4536"/>
      <c r="J16" s="1975"/>
      <c r="K16" s="2101"/>
      <c r="L16" s="1987"/>
      <c r="M16" s="1987"/>
      <c r="N16" s="2045"/>
      <c r="O16" s="1987"/>
      <c r="P16" s="2045"/>
      <c r="Q16" s="1975"/>
      <c r="R16" s="1975"/>
    </row>
    <row r="17" spans="1:28">
      <c r="A17" s="202" t="s">
        <v>2111</v>
      </c>
      <c r="B17" s="191" t="s">
        <v>2112</v>
      </c>
      <c r="C17" s="9">
        <f>'数据-汇总表'!E3</f>
        <v>11046.05</v>
      </c>
      <c r="D17" s="1865" t="s">
        <v>2113</v>
      </c>
      <c r="E17" s="4537" t="s">
        <v>2114</v>
      </c>
      <c r="F17" s="4538"/>
      <c r="G17" s="4538"/>
      <c r="H17" s="4538"/>
      <c r="I17" s="4539"/>
      <c r="J17" s="1975"/>
      <c r="K17" s="2102"/>
      <c r="L17" s="1987"/>
      <c r="M17" s="1987"/>
      <c r="N17" s="2045"/>
      <c r="O17" s="1987"/>
      <c r="P17" s="2045"/>
      <c r="Q17" s="1975"/>
      <c r="R17" s="1975"/>
      <c r="S17" s="1975"/>
      <c r="T17" s="1975"/>
      <c r="U17" s="1975"/>
      <c r="V17" s="1975"/>
    </row>
    <row r="18" spans="1:28" ht="24.75" thickBot="1">
      <c r="A18" s="1952" t="s">
        <v>2115</v>
      </c>
      <c r="B18" s="799" t="s">
        <v>2116</v>
      </c>
      <c r="C18" s="2929">
        <f>'数据-汇总表'!D3</f>
        <v>15789.4</v>
      </c>
      <c r="D18" s="801" t="s">
        <v>2117</v>
      </c>
      <c r="E18" s="4540" t="s">
        <v>2118</v>
      </c>
      <c r="F18" s="4541"/>
      <c r="G18" s="4541"/>
      <c r="H18" s="4541"/>
      <c r="I18" s="4542"/>
      <c r="J18" s="1975"/>
      <c r="K18" s="2102"/>
      <c r="L18" s="1987"/>
      <c r="M18" s="1987"/>
      <c r="N18" s="2045"/>
      <c r="O18" s="1987"/>
      <c r="P18" s="2045"/>
      <c r="Q18" s="1975"/>
      <c r="R18" s="1975"/>
      <c r="S18" s="1975"/>
      <c r="T18" s="1975"/>
      <c r="U18" s="1975"/>
      <c r="V18" s="1975"/>
    </row>
    <row r="19" spans="1:28" ht="37.5" thickTop="1" thickBot="1">
      <c r="A19" s="215" t="s">
        <v>1042</v>
      </c>
      <c r="B19" s="196" t="s">
        <v>2119</v>
      </c>
      <c r="C19" s="1207"/>
      <c r="D19" s="1208" t="s">
        <v>2120</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2121</v>
      </c>
      <c r="B20" s="4527" t="s">
        <v>2122</v>
      </c>
      <c r="C20" s="4528"/>
      <c r="D20" s="4529" t="s">
        <v>2123</v>
      </c>
      <c r="E20" s="4530"/>
      <c r="F20" s="2131" t="s">
        <v>1043</v>
      </c>
      <c r="G20" s="2146"/>
      <c r="H20" s="2146"/>
      <c r="I20" s="2146"/>
      <c r="J20" s="1975"/>
      <c r="K20" s="4526" t="s">
        <v>2124</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2125</v>
      </c>
      <c r="C21" s="2118" t="s">
        <v>1044</v>
      </c>
      <c r="D21" s="1212" t="s">
        <v>2126</v>
      </c>
      <c r="E21" s="2119" t="s">
        <v>1044</v>
      </c>
      <c r="F21" s="2132"/>
      <c r="G21" s="2146"/>
      <c r="H21" s="2146"/>
      <c r="I21" s="2146"/>
      <c r="J21" s="1975"/>
      <c r="K21" s="4526"/>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2127</v>
      </c>
      <c r="C22" s="2118" t="s">
        <v>1045</v>
      </c>
      <c r="D22" s="2145"/>
      <c r="E22" s="2145"/>
      <c r="F22" s="2145"/>
      <c r="G22" s="2146"/>
      <c r="H22" s="2146"/>
      <c r="I22" s="2146"/>
      <c r="J22" s="1975"/>
      <c r="K22" s="4526"/>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2128</v>
      </c>
      <c r="B23" s="2038" t="s">
        <v>2129</v>
      </c>
      <c r="C23" s="2122"/>
      <c r="D23" s="2123" t="s">
        <v>2129</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44" t="s">
        <v>2130</v>
      </c>
      <c r="B27" s="208" t="s">
        <v>2131</v>
      </c>
      <c r="C27" s="1953" t="s">
        <v>3859</v>
      </c>
      <c r="D27" s="1954"/>
      <c r="E27" s="2146"/>
      <c r="F27" s="2146"/>
      <c r="G27" s="2146"/>
      <c r="H27" s="2146"/>
      <c r="I27" s="2146"/>
      <c r="J27" s="1975"/>
      <c r="K27" s="2101"/>
      <c r="L27" s="1987"/>
      <c r="M27" s="1987"/>
      <c r="N27" s="2045"/>
      <c r="O27" s="1987"/>
      <c r="P27" s="2045"/>
      <c r="Q27" s="1975"/>
      <c r="R27" s="1975"/>
      <c r="S27" s="1975"/>
      <c r="T27" s="1975"/>
      <c r="U27" s="1975"/>
      <c r="V27" s="1975"/>
    </row>
    <row r="28" spans="1:28">
      <c r="A28" s="4544"/>
      <c r="B28" s="191" t="s">
        <v>2132</v>
      </c>
      <c r="C28" s="1955" t="s">
        <v>3860</v>
      </c>
      <c r="D28" s="1956"/>
      <c r="E28" s="2146"/>
      <c r="F28" s="2146"/>
      <c r="G28" s="2146"/>
      <c r="H28" s="2146"/>
      <c r="I28" s="2146"/>
      <c r="J28" s="1975"/>
      <c r="K28" s="2100"/>
      <c r="L28" s="2097"/>
      <c r="M28" s="2097"/>
      <c r="N28" s="1975"/>
      <c r="O28" s="1986"/>
      <c r="P28" s="1975"/>
      <c r="Q28" s="1975"/>
      <c r="R28" s="1975"/>
      <c r="S28" s="1975"/>
      <c r="T28" s="1975"/>
      <c r="U28" s="1975"/>
      <c r="V28" s="1975"/>
    </row>
    <row r="29" spans="1:28">
      <c r="A29" s="4544"/>
      <c r="B29" s="191" t="s">
        <v>2133</v>
      </c>
      <c r="C29" s="1957" t="s">
        <v>3861</v>
      </c>
      <c r="D29" s="1958"/>
      <c r="E29" s="2146"/>
      <c r="F29" s="2146"/>
      <c r="G29" s="2146"/>
      <c r="H29" s="2146"/>
      <c r="I29" s="2146"/>
      <c r="J29" s="1975"/>
      <c r="K29" s="2100"/>
      <c r="L29" s="2097"/>
      <c r="M29" s="2097"/>
      <c r="N29" s="1975"/>
      <c r="O29" s="1986"/>
      <c r="P29" s="1975"/>
      <c r="Q29" s="1975"/>
      <c r="R29" s="1975"/>
      <c r="S29" s="1975"/>
      <c r="T29" s="1975"/>
      <c r="U29" s="1975"/>
      <c r="V29" s="1975"/>
    </row>
    <row r="30" spans="1:28">
      <c r="A30" s="4545"/>
      <c r="B30" s="191" t="s">
        <v>2134</v>
      </c>
      <c r="C30" s="4546"/>
      <c r="D30" s="4547"/>
      <c r="E30" s="2146"/>
      <c r="F30" s="2146"/>
      <c r="G30" s="2146"/>
      <c r="H30" s="2146"/>
      <c r="I30" s="2146"/>
      <c r="J30" s="1975"/>
      <c r="K30" s="2100"/>
      <c r="L30" s="2097"/>
      <c r="M30" s="2097"/>
      <c r="N30" s="1975"/>
      <c r="O30" s="1986"/>
      <c r="P30" s="1975"/>
      <c r="Q30" s="1975"/>
      <c r="R30" s="1975"/>
      <c r="S30" s="1975"/>
      <c r="T30" s="1975"/>
      <c r="U30" s="1975"/>
      <c r="V30" s="1975"/>
    </row>
    <row r="31" spans="1:28">
      <c r="A31" s="4548" t="s">
        <v>2135</v>
      </c>
      <c r="B31" s="1959" t="s">
        <v>3858</v>
      </c>
      <c r="C31" s="1866" t="str">
        <f>IF(B31="现房","成新及维护状况正常否",IF(B31="在建","工程状态是否正常",IF(B31="土地","是否闲置","-")))</f>
        <v>成新及维护状况正常否</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49"/>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49"/>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2136</v>
      </c>
      <c r="B34" s="1614"/>
      <c r="C34" s="1614"/>
      <c r="D34" s="1614"/>
      <c r="E34" s="1614"/>
      <c r="F34" s="1614"/>
      <c r="G34" s="1614"/>
      <c r="H34" s="1614"/>
      <c r="I34" s="2146"/>
      <c r="J34" s="1975"/>
      <c r="K34" s="1963">
        <f>COUNTIF(B34:H34,"——")</f>
        <v>0</v>
      </c>
      <c r="L34" s="211" t="s">
        <v>2137</v>
      </c>
      <c r="M34" s="211" t="s">
        <v>2138</v>
      </c>
      <c r="N34" s="211" t="s">
        <v>2139</v>
      </c>
      <c r="O34" s="211" t="s">
        <v>2140</v>
      </c>
      <c r="P34" s="211" t="s">
        <v>2141</v>
      </c>
      <c r="Q34" s="211" t="s">
        <v>2142</v>
      </c>
      <c r="R34" s="211" t="s">
        <v>2143</v>
      </c>
      <c r="S34" s="4543" t="s">
        <v>2144</v>
      </c>
      <c r="T34" s="1964" t="str">
        <f>NUMBERSTRING(7-K34,1)&amp;"通"</f>
        <v>七通</v>
      </c>
      <c r="U34" s="1975"/>
      <c r="V34" s="1975"/>
    </row>
    <row r="35" spans="1:30">
      <c r="A35" s="1965"/>
      <c r="B35" s="4550" t="s">
        <v>2145</v>
      </c>
      <c r="C35" s="4550"/>
      <c r="D35" s="4550"/>
      <c r="E35" s="4550"/>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43"/>
      <c r="T35" s="217" t="str">
        <f>IF(T34="一通",L35,IF(T34="二通",M35,IF(T34="三通",N35,IF(T34="四通",O35,IF(T34="五通",P35,IF(T34="六通",Q35,R35))))))</f>
        <v>、、、、、、</v>
      </c>
      <c r="U35" s="1975"/>
      <c r="V35" s="1975"/>
    </row>
    <row r="36" spans="1:30">
      <c r="A36" s="1966"/>
      <c r="B36" s="490" t="s">
        <v>2101</v>
      </c>
      <c r="C36" s="490" t="s">
        <v>2102</v>
      </c>
      <c r="D36" s="490" t="s">
        <v>2100</v>
      </c>
      <c r="E36" s="490" t="s">
        <v>2105</v>
      </c>
      <c r="F36" s="2479" t="s">
        <v>2489</v>
      </c>
      <c r="G36" s="2146"/>
      <c r="H36" s="2146"/>
      <c r="I36" s="2146"/>
      <c r="J36" s="1975"/>
      <c r="K36" s="2100"/>
      <c r="L36" s="2097"/>
      <c r="M36" s="2097"/>
      <c r="N36" s="1975"/>
      <c r="O36" s="1986"/>
      <c r="P36" s="1975"/>
      <c r="Q36" s="1975"/>
      <c r="R36" s="1975"/>
      <c r="S36" s="1975"/>
      <c r="T36" s="1975"/>
      <c r="U36" s="1975"/>
      <c r="V36" s="1975"/>
    </row>
    <row r="37" spans="1:30">
      <c r="A37" s="2114" t="s">
        <v>2146</v>
      </c>
      <c r="B37" s="1967"/>
      <c r="C37" s="1967"/>
      <c r="D37" s="1967"/>
      <c r="E37" s="1967" t="s">
        <v>303</v>
      </c>
      <c r="F37" s="1967"/>
      <c r="G37" s="2146"/>
      <c r="H37" s="2146"/>
      <c r="I37" s="2146"/>
      <c r="J37" s="1975"/>
      <c r="K37" s="2100"/>
      <c r="L37" s="2097"/>
      <c r="M37" s="2097"/>
      <c r="N37" s="1975"/>
      <c r="O37" s="1986"/>
      <c r="P37" s="1975"/>
      <c r="Q37" s="1975"/>
      <c r="R37" s="1975"/>
      <c r="S37" s="1975"/>
      <c r="T37" s="1975"/>
      <c r="U37" s="1975"/>
      <c r="V37" s="1975"/>
    </row>
    <row r="38" spans="1:30" ht="13.5" thickBot="1">
      <c r="A38" s="2115" t="s">
        <v>2147</v>
      </c>
      <c r="B38" s="1968"/>
      <c r="C38" s="1968"/>
      <c r="D38" s="1968"/>
      <c r="E38" s="1968" t="s">
        <v>3869</v>
      </c>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2148</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2149</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2150</v>
      </c>
      <c r="B42" s="6" t="s">
        <v>2151</v>
      </c>
      <c r="C42" s="6" t="s">
        <v>2152</v>
      </c>
      <c r="D42" s="6" t="s">
        <v>2153</v>
      </c>
      <c r="E42" s="6" t="s">
        <v>2154</v>
      </c>
      <c r="F42" s="6" t="s">
        <v>2155</v>
      </c>
      <c r="G42" s="6" t="s">
        <v>2156</v>
      </c>
      <c r="H42" s="6" t="s">
        <v>2157</v>
      </c>
      <c r="I42" s="6" t="s">
        <v>2158</v>
      </c>
      <c r="J42" s="2110" t="s">
        <v>2159</v>
      </c>
      <c r="K42" s="2111" t="s">
        <v>2160</v>
      </c>
      <c r="L42" s="2111" t="s">
        <v>2161</v>
      </c>
      <c r="M42" s="2111" t="s">
        <v>2162</v>
      </c>
      <c r="N42" s="2104" t="s">
        <v>2163</v>
      </c>
      <c r="O42" s="2104" t="s">
        <v>2164</v>
      </c>
      <c r="P42" s="2104" t="s">
        <v>2165</v>
      </c>
      <c r="Q42" s="2105" t="s">
        <v>2166</v>
      </c>
      <c r="R42" s="2105" t="s">
        <v>2167</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4" width="9.5" style="1217" customWidth="1"/>
    <col min="15" max="15" width="9.875" style="1217" customWidth="1"/>
    <col min="16" max="16" width="9.75" style="1217" customWidth="1"/>
    <col min="17" max="17" width="9.375" style="1217" customWidth="1"/>
    <col min="18" max="18" width="9.25" style="1217" customWidth="1"/>
    <col min="19" max="19" width="10.875" style="1217" customWidth="1"/>
    <col min="20" max="21" width="10.75" style="1217" customWidth="1"/>
    <col min="22" max="22" width="10.875" style="1217" customWidth="1"/>
    <col min="23" max="27" width="10.75" style="1217" customWidth="1"/>
    <col min="28" max="28" width="10.875" style="1217"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v>15789.4</v>
      </c>
      <c r="B3" s="1719">
        <f>IF(C3="否",G5-AT5,G5)</f>
        <v>11046.05</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11046.05</v>
      </c>
      <c r="H5" s="4153">
        <f t="shared" ref="H5:AT5" si="0">SUM(H13:H656)</f>
        <v>11046.05</v>
      </c>
      <c r="I5" s="4153">
        <f t="shared" si="0"/>
        <v>11046.05</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0</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0</v>
      </c>
      <c r="AO5" s="4153">
        <f t="shared" si="0"/>
        <v>0</v>
      </c>
      <c r="AP5" s="4153">
        <f t="shared" si="0"/>
        <v>0</v>
      </c>
      <c r="AQ5" s="4153">
        <f t="shared" si="0"/>
        <v>0</v>
      </c>
      <c r="AR5" s="4153">
        <f t="shared" si="0"/>
        <v>0</v>
      </c>
      <c r="AS5" s="4153">
        <f t="shared" si="0"/>
        <v>0</v>
      </c>
      <c r="AT5" s="4153">
        <f t="shared" si="0"/>
        <v>0</v>
      </c>
      <c r="AU5" s="4366"/>
      <c r="AV5" s="4363" t="s">
        <v>1057</v>
      </c>
      <c r="AW5" s="4364"/>
      <c r="AX5" s="4364"/>
      <c r="AY5" s="482" t="s">
        <v>2</v>
      </c>
      <c r="AZ5" s="483">
        <f t="shared" ref="AZ5:BT5" si="1">SUM(AZ13:AZ656)</f>
        <v>11046.05</v>
      </c>
      <c r="BA5" s="483">
        <f t="shared" si="1"/>
        <v>11046.05</v>
      </c>
      <c r="BB5" s="483">
        <f t="shared" si="1"/>
        <v>11046.05</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67">
        <f t="shared" si="1"/>
        <v>0</v>
      </c>
    </row>
    <row r="6" spans="1:72" s="4368" customFormat="1" ht="12.75">
      <c r="A6" s="4363" t="s">
        <v>1058</v>
      </c>
      <c r="B6" s="4364"/>
      <c r="C6" s="4364"/>
      <c r="D6" s="4365"/>
      <c r="E6" s="4153">
        <f>H6+AC6+AT6</f>
        <v>15789.4</v>
      </c>
      <c r="F6" s="4153" t="s">
        <v>0</v>
      </c>
      <c r="G6" s="4153" t="s">
        <v>1</v>
      </c>
      <c r="H6" s="4354">
        <f>SUMIF(I$12:AB$12,"总值",I6:AB6)</f>
        <v>15789.4</v>
      </c>
      <c r="I6" s="4153">
        <f t="shared" ref="I6:AB6" si="2">ROUND($A$3*I5/$B$3,2)</f>
        <v>15789.4</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0</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0</v>
      </c>
      <c r="AO6" s="4153">
        <f t="shared" si="3"/>
        <v>0</v>
      </c>
      <c r="AP6" s="4153">
        <f t="shared" si="3"/>
        <v>0</v>
      </c>
      <c r="AQ6" s="4153">
        <f t="shared" si="3"/>
        <v>0</v>
      </c>
      <c r="AR6" s="4153">
        <f t="shared" si="3"/>
        <v>0</v>
      </c>
      <c r="AS6" s="4153">
        <f t="shared" si="3"/>
        <v>0</v>
      </c>
      <c r="AT6" s="4354">
        <f>IF(C3="是",ROUND($A$3*AT5/$B$3,2),0)</f>
        <v>0</v>
      </c>
      <c r="AU6" s="4366"/>
      <c r="AV6" s="4363" t="s">
        <v>1058</v>
      </c>
      <c r="AW6" s="4364"/>
      <c r="AX6" s="4364"/>
      <c r="AY6" s="4369">
        <f>IF(AY3&gt;0,AY3,ROUND($A$3*AZ5/$B$3,2))</f>
        <v>15789.4</v>
      </c>
      <c r="AZ6" s="4153" t="s">
        <v>2</v>
      </c>
      <c r="BA6" s="4153">
        <f>ROUND($AY$6*BA5/$AZ$5,2)</f>
        <v>15789.4</v>
      </c>
      <c r="BB6" s="4153">
        <f>ROUND($AY$6*BB5/$AZ$5,2)</f>
        <v>15789.4</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0</v>
      </c>
      <c r="BM6" s="4153">
        <f t="shared" si="5"/>
        <v>0</v>
      </c>
      <c r="BN6" s="4153">
        <f t="shared" si="5"/>
        <v>0</v>
      </c>
      <c r="BO6" s="4153">
        <f t="shared" si="5"/>
        <v>0</v>
      </c>
      <c r="BP6" s="4153">
        <f t="shared" si="5"/>
        <v>0</v>
      </c>
      <c r="BQ6" s="4153">
        <f t="shared" si="5"/>
        <v>0</v>
      </c>
      <c r="BR6" s="4153">
        <f t="shared" si="5"/>
        <v>0</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3863</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3</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工业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v>1</v>
      </c>
      <c r="D13" s="1265" t="s">
        <v>3862</v>
      </c>
      <c r="E13" s="4153">
        <f>IF($C$3="是",ROUND($A$3*G13/$B$3,2),ROUND($A$3*(G13-AT13)/$B$3,2))</f>
        <v>51.3</v>
      </c>
      <c r="F13" s="642"/>
      <c r="G13" s="4353">
        <f>H13+AC13+AT13</f>
        <v>35.89</v>
      </c>
      <c r="H13" s="4354">
        <f>SUMIF(I$12:AB$12,"总值",I13:AB13)</f>
        <v>35.89</v>
      </c>
      <c r="I13" s="4355">
        <v>35.89</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f t="shared" ref="AV13:AX17" si="6">A13</f>
        <v>0</v>
      </c>
      <c r="AW13" s="6">
        <f t="shared" si="6"/>
        <v>0</v>
      </c>
      <c r="AX13" s="6">
        <f t="shared" si="6"/>
        <v>1</v>
      </c>
      <c r="AY13" s="996">
        <f>ROUND($AY$6*AZ13/$AZ$5,2)</f>
        <v>51.3</v>
      </c>
      <c r="AZ13" s="9">
        <f>BA13+BL13</f>
        <v>35.89</v>
      </c>
      <c r="BA13" s="9">
        <f>SUM(BB13:BK13)</f>
        <v>35.89</v>
      </c>
      <c r="BB13" s="9">
        <f>IF($D13="是",I13-J13,0)</f>
        <v>35.89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12.75">
      <c r="A14" s="762"/>
      <c r="B14" s="762"/>
      <c r="C14" s="762">
        <v>2</v>
      </c>
      <c r="D14" s="1265" t="s">
        <v>3862</v>
      </c>
      <c r="E14" s="4153">
        <f>IF($C$3="是",ROUND($A$3*G14/$B$3,2),ROUND($A$3*(G14-AT14)/$B$3,2))</f>
        <v>7770.71</v>
      </c>
      <c r="F14" s="642"/>
      <c r="G14" s="4353">
        <f>H14+AC14+AT14</f>
        <v>5436.28</v>
      </c>
      <c r="H14" s="4354">
        <f>SUMIF(I$12:AB$12,"总值",I14:AB14)</f>
        <v>5436.28</v>
      </c>
      <c r="I14" s="4355">
        <v>5436.28</v>
      </c>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f t="shared" si="6"/>
        <v>0</v>
      </c>
      <c r="AW14" s="6">
        <f t="shared" si="6"/>
        <v>0</v>
      </c>
      <c r="AX14" s="6">
        <f t="shared" si="6"/>
        <v>2</v>
      </c>
      <c r="AY14" s="996">
        <f>ROUND($AY$6*AZ14/$AZ$5,2)</f>
        <v>7770.71</v>
      </c>
      <c r="AZ14" s="9">
        <f>BA14+BL14</f>
        <v>5436.28</v>
      </c>
      <c r="BA14" s="9">
        <f>SUM(BB14:BK14)</f>
        <v>5436.28</v>
      </c>
      <c r="BB14" s="9">
        <f>IF($D14="是",I14-J14,0)</f>
        <v>5436.28</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762">
        <v>3</v>
      </c>
      <c r="D15" s="1265" t="s">
        <v>3862</v>
      </c>
      <c r="E15" s="4153">
        <f>IF($C$3="是",ROUND($A$3*G15/$B$3,2),ROUND($A$3*(G15-AT15)/$B$3,2))</f>
        <v>5100.96</v>
      </c>
      <c r="F15" s="642"/>
      <c r="G15" s="4353">
        <f>H15+AC15+AT15</f>
        <v>3568.56</v>
      </c>
      <c r="H15" s="4354">
        <f>SUMIF(I$12:AB$12,"总值",I15:AB15)</f>
        <v>3568.56</v>
      </c>
      <c r="I15" s="4355">
        <v>3568.56</v>
      </c>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f t="shared" si="6"/>
        <v>0</v>
      </c>
      <c r="AW15" s="6">
        <f t="shared" si="6"/>
        <v>0</v>
      </c>
      <c r="AX15" s="6">
        <f t="shared" si="6"/>
        <v>3</v>
      </c>
      <c r="AY15" s="996">
        <f>ROUND($AY$6*AZ15/$AZ$5,2)</f>
        <v>5100.96</v>
      </c>
      <c r="AZ15" s="9">
        <f>BA15+BL15</f>
        <v>3568.56</v>
      </c>
      <c r="BA15" s="9">
        <f>SUM(BB15:BK15)</f>
        <v>3568.56</v>
      </c>
      <c r="BB15" s="9">
        <f>IF($D15="是",I15-J15,0)</f>
        <v>3568.56</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762">
        <v>4</v>
      </c>
      <c r="D16" s="1265" t="s">
        <v>3862</v>
      </c>
      <c r="E16" s="4153">
        <f>IF($C$3="是",ROUND($A$3*G16/$B$3,2),ROUND($A$3*(G16-AT16)/$B$3,2))</f>
        <v>2209.4899999999998</v>
      </c>
      <c r="F16" s="642"/>
      <c r="G16" s="4353">
        <f>H16+AC16+AT16</f>
        <v>1545.73</v>
      </c>
      <c r="H16" s="4354">
        <f>SUMIF(I$12:AB$12,"总值",I16:AB16)</f>
        <v>1545.73</v>
      </c>
      <c r="I16" s="4355">
        <v>1545.73</v>
      </c>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f t="shared" si="6"/>
        <v>0</v>
      </c>
      <c r="AW16" s="6">
        <f t="shared" si="6"/>
        <v>0</v>
      </c>
      <c r="AX16" s="6">
        <f t="shared" si="6"/>
        <v>4</v>
      </c>
      <c r="AY16" s="996">
        <f>ROUND($AY$6*AZ16/$AZ$5,2)</f>
        <v>2209.4899999999998</v>
      </c>
      <c r="AZ16" s="9">
        <f>BA16+BL16</f>
        <v>1545.73</v>
      </c>
      <c r="BA16" s="9">
        <f>SUM(BB16:BK16)</f>
        <v>1545.73</v>
      </c>
      <c r="BB16" s="9">
        <f>IF($D16="是",I16-J16,0)</f>
        <v>1545.73</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762">
        <v>5</v>
      </c>
      <c r="D17" s="1265" t="s">
        <v>3862</v>
      </c>
      <c r="E17" s="4153">
        <f>IF($C$3="是",ROUND($A$3*G17/$B$3,2),ROUND($A$3*(G17-AT17)/$B$3,2))</f>
        <v>656.95</v>
      </c>
      <c r="F17" s="642"/>
      <c r="G17" s="4353">
        <f>H17+AC17+AT17</f>
        <v>459.59</v>
      </c>
      <c r="H17" s="4354">
        <f>SUMIF(I$12:AB$12,"总值",I17:AB17)</f>
        <v>459.59</v>
      </c>
      <c r="I17" s="4355">
        <v>459.59</v>
      </c>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f t="shared" si="6"/>
        <v>0</v>
      </c>
      <c r="AW17" s="6">
        <f t="shared" si="6"/>
        <v>0</v>
      </c>
      <c r="AX17" s="6">
        <f t="shared" si="6"/>
        <v>5</v>
      </c>
      <c r="AY17" s="996">
        <f>ROUND($AY$6*AZ17/$AZ$5,2)</f>
        <v>656.95</v>
      </c>
      <c r="AZ17" s="9">
        <f>BA17+BL17</f>
        <v>459.59</v>
      </c>
      <c r="BA17" s="9">
        <f>SUM(BB17:BK17)</f>
        <v>459.59</v>
      </c>
      <c r="BB17" s="9">
        <f>IF($D17="是",I17-J17,0)</f>
        <v>459.59</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62">
        <v>6</v>
      </c>
      <c r="D18" s="1265" t="s">
        <v>3862</v>
      </c>
      <c r="E18" s="403">
        <f t="shared" ref="E18:E112" si="7">IF($C$3="是",ROUND($A$3*G18/$B$3,2),ROUND($A$3*(G18-AT18)/$B$3,2))</f>
        <v>0</v>
      </c>
      <c r="F18" s="32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1268"/>
      <c r="AV18" s="991">
        <f t="shared" ref="AV18:AV112" si="11">A18</f>
        <v>0</v>
      </c>
      <c r="AW18" s="991">
        <f t="shared" ref="AW18:AW112" si="12">B18</f>
        <v>0</v>
      </c>
      <c r="AX18" s="991">
        <f t="shared" ref="AX18:AX112" si="13">C18</f>
        <v>6</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0</v>
      </c>
      <c r="AD19" s="4361"/>
      <c r="AE19" s="4361"/>
      <c r="AF19" s="4361"/>
      <c r="AG19" s="4361"/>
      <c r="AH19" s="4361"/>
      <c r="AI19" s="4361"/>
      <c r="AJ19" s="4361"/>
      <c r="AK19" s="4361"/>
      <c r="AL19" s="4361"/>
      <c r="AM19" s="4361"/>
      <c r="AN19" s="4361"/>
      <c r="AO19" s="4361"/>
      <c r="AP19" s="4361"/>
      <c r="AQ19" s="4361"/>
      <c r="AR19" s="4361"/>
      <c r="AS19" s="4361"/>
      <c r="AT19" s="4362"/>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0" t="s">
        <v>1117</v>
      </c>
      <c r="B2" s="4560"/>
      <c r="C2" s="4560"/>
      <c r="D2" s="579" t="s">
        <v>1093</v>
      </c>
      <c r="E2" s="1276" t="s">
        <v>1094</v>
      </c>
      <c r="F2" s="2141"/>
      <c r="G2" s="2134"/>
      <c r="H2" s="2135"/>
      <c r="I2" s="1868" t="s">
        <v>1118</v>
      </c>
      <c r="J2" s="2141"/>
      <c r="K2" s="2141"/>
      <c r="L2" s="2141"/>
      <c r="M2" s="2141"/>
      <c r="N2" s="2143"/>
      <c r="O2" s="2141"/>
      <c r="P2" s="2141"/>
    </row>
    <row r="3" spans="1:16" ht="15.75" thickBot="1">
      <c r="A3" s="4561" t="s">
        <v>1091</v>
      </c>
      <c r="B3" s="4561"/>
      <c r="C3" s="4561"/>
      <c r="D3" s="4393">
        <f>'数据-基础表'!AY6</f>
        <v>15789.4</v>
      </c>
      <c r="E3" s="4393">
        <f>'数据-基础表'!AZ5</f>
        <v>11046.05</v>
      </c>
      <c r="F3" s="2141"/>
      <c r="G3" s="840"/>
      <c r="H3" s="744" t="s">
        <v>1092</v>
      </c>
      <c r="I3" s="2924">
        <f>ROUND('数据-基础表'!B3/'数据-基础表'!A3,2)</f>
        <v>0.7</v>
      </c>
      <c r="J3" s="2141"/>
      <c r="K3" s="2141"/>
      <c r="L3" s="2141"/>
      <c r="M3" s="2141"/>
      <c r="N3" s="2143"/>
      <c r="O3" s="2141"/>
      <c r="P3" s="2141"/>
    </row>
    <row r="4" spans="1:16" ht="15">
      <c r="A4" s="4562"/>
      <c r="B4" s="4563"/>
      <c r="C4" s="4564"/>
      <c r="D4" s="1278" t="s">
        <v>1093</v>
      </c>
      <c r="E4" s="1279" t="s">
        <v>1094</v>
      </c>
      <c r="F4" s="2141"/>
      <c r="G4" s="2136" t="s">
        <v>1119</v>
      </c>
      <c r="H4" s="744" t="s">
        <v>1099</v>
      </c>
      <c r="I4" s="2924">
        <f>ROUND(SUMIF('数据-基础表'!I9:AS9,"地上",'数据-基础表'!I5:AS5)/'数据-基础表'!A3,2)</f>
        <v>0.7</v>
      </c>
      <c r="J4" s="2141"/>
      <c r="K4" s="2141"/>
      <c r="L4" s="2141"/>
      <c r="M4" s="2141"/>
      <c r="N4" s="2143"/>
      <c r="O4" s="2141"/>
      <c r="P4" s="2141"/>
    </row>
    <row r="5" spans="1:16">
      <c r="A5" s="24" t="s">
        <v>1095</v>
      </c>
      <c r="B5" s="4565" t="s">
        <v>1096</v>
      </c>
      <c r="C5" s="4565"/>
      <c r="D5" s="4371">
        <f>ROUND($D$3*E5/$E$3,2)</f>
        <v>0</v>
      </c>
      <c r="E5" s="4228">
        <f>SUMIF('数据-基础表'!$11:$11,"住宅",'数据-基础表'!$5:$5)</f>
        <v>0</v>
      </c>
      <c r="F5" s="2141"/>
      <c r="G5" s="840"/>
      <c r="H5" s="744" t="s">
        <v>1092</v>
      </c>
      <c r="I5" s="2924">
        <f>ROUND(E31/D31,2)</f>
        <v>0.7</v>
      </c>
      <c r="J5" s="2141"/>
      <c r="K5" s="2141"/>
      <c r="L5" s="2141"/>
      <c r="M5" s="2141"/>
      <c r="N5" s="2141"/>
      <c r="O5" s="2141"/>
      <c r="P5" s="2141"/>
    </row>
    <row r="6" spans="1:16" ht="15" thickBot="1">
      <c r="A6" s="1281"/>
      <c r="B6" s="4565" t="s">
        <v>1097</v>
      </c>
      <c r="C6" s="4565"/>
      <c r="D6" s="4371">
        <f>ROUND($D$3*E6/$E$3,2)</f>
        <v>15789.4</v>
      </c>
      <c r="E6" s="4228">
        <f>E3-E5</f>
        <v>11046.05</v>
      </c>
      <c r="F6" s="2141"/>
      <c r="G6" s="2137" t="s">
        <v>1098</v>
      </c>
      <c r="H6" s="841" t="s">
        <v>1099</v>
      </c>
      <c r="I6" s="2925">
        <f>ROUND(F31/D31,2)</f>
        <v>0.7</v>
      </c>
      <c r="J6" s="2141"/>
      <c r="K6" s="2141"/>
      <c r="L6" s="2141"/>
      <c r="M6" s="2141"/>
      <c r="N6" s="2141"/>
      <c r="O6" s="2141"/>
      <c r="P6" s="2141"/>
    </row>
    <row r="7" spans="1:16" ht="15.75" thickBot="1">
      <c r="A7" s="4557"/>
      <c r="B7" s="4558"/>
      <c r="C7" s="4559"/>
      <c r="D7" s="1278" t="s">
        <v>1093</v>
      </c>
      <c r="E7" s="1282" t="s">
        <v>1100</v>
      </c>
      <c r="F7" s="2141"/>
      <c r="G7" s="2138" t="s">
        <v>1101</v>
      </c>
      <c r="H7" s="2139"/>
      <c r="I7" s="2926">
        <v>1</v>
      </c>
      <c r="J7" s="2141"/>
      <c r="K7" s="2141"/>
      <c r="L7" s="2141"/>
      <c r="M7" s="2141"/>
      <c r="N7" s="2141"/>
      <c r="O7" s="2141"/>
      <c r="P7" s="2141"/>
    </row>
    <row r="8" spans="1:16">
      <c r="A8" s="24" t="s">
        <v>1102</v>
      </c>
      <c r="B8" s="26" t="s">
        <v>1103</v>
      </c>
      <c r="C8" s="25" t="s">
        <v>1104</v>
      </c>
      <c r="D8" s="4371">
        <f t="shared" ref="D8:D15" si="0">ROUND($D$3*E8/$E$3,2)</f>
        <v>15789.4</v>
      </c>
      <c r="E8" s="4228">
        <f>SUMIF('数据-基础表'!BB10:BK10,"地上",'数据-基础表'!BB5:BK5)</f>
        <v>11046.05</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15789.4</v>
      </c>
      <c r="E16" s="4383">
        <f>SUM(E8:E15)</f>
        <v>11046.05</v>
      </c>
      <c r="F16" s="2141"/>
      <c r="G16" s="2142"/>
      <c r="H16" s="1285" t="s">
        <v>1121</v>
      </c>
      <c r="I16" s="1286"/>
      <c r="J16" s="839"/>
      <c r="K16" s="4554" t="s">
        <v>1121</v>
      </c>
      <c r="L16" s="4555"/>
      <c r="M16" s="4555"/>
      <c r="N16" s="4555"/>
      <c r="O16" s="4555"/>
      <c r="P16" s="4556"/>
    </row>
    <row r="17" spans="1:19" ht="15">
      <c r="A17" s="1287" t="s">
        <v>1122</v>
      </c>
      <c r="B17" s="1288" t="s">
        <v>1123</v>
      </c>
      <c r="C17" s="1289" t="s">
        <v>1124</v>
      </c>
      <c r="D17" s="1290" t="s">
        <v>1112</v>
      </c>
      <c r="E17" s="1291" t="s">
        <v>1113</v>
      </c>
      <c r="F17" s="1292"/>
      <c r="G17" s="1293"/>
      <c r="H17" s="1294" t="s">
        <v>1125</v>
      </c>
      <c r="I17" s="1295" t="s">
        <v>1110</v>
      </c>
      <c r="J17" s="839"/>
      <c r="K17" s="4551" t="s">
        <v>1126</v>
      </c>
      <c r="L17" s="4552"/>
      <c r="M17" s="4553"/>
      <c r="N17" s="4551" t="s">
        <v>1127</v>
      </c>
      <c r="O17" s="4552"/>
      <c r="P17" s="4553"/>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3864</v>
      </c>
      <c r="D19" s="4371">
        <f>ROUND($D$3*E19/$E$3,2)</f>
        <v>15789.4</v>
      </c>
      <c r="E19" s="4371">
        <f t="shared" ref="E19:E26" si="1">SUM(F19:G19)</f>
        <v>11046.05</v>
      </c>
      <c r="F19" s="4372">
        <f>'数据-基础表'!I5</f>
        <v>11046.05</v>
      </c>
      <c r="G19" s="4194"/>
      <c r="H19" s="4373">
        <f>ROUND($D$3*I19/$E$3,2)</f>
        <v>0</v>
      </c>
      <c r="I19" s="4228">
        <f t="shared" ref="I19:I26" si="2">IF($I$17="自定义",P19,M19)</f>
        <v>0</v>
      </c>
      <c r="J19" s="839"/>
      <c r="K19" s="4373">
        <f t="shared" ref="K19:K26" si="3">ROUND(E$28*E19/E$27,2)</f>
        <v>0</v>
      </c>
      <c r="L19" s="4371">
        <f t="shared" ref="L19:L26" si="4">ROUND(IF(COUNTIF(C19,"*住宅*")&gt;0,E$29*E19/E$32,0),2)</f>
        <v>0</v>
      </c>
      <c r="M19" s="4228">
        <f>K19+L19</f>
        <v>0</v>
      </c>
      <c r="N19" s="4387"/>
      <c r="O19" s="4388"/>
      <c r="P19" s="4228">
        <f>N19+O19</f>
        <v>0</v>
      </c>
      <c r="Q19" s="4389"/>
      <c r="R19" s="4371">
        <f t="shared" ref="R19:S26" si="5">D19+H19</f>
        <v>15789.4</v>
      </c>
      <c r="S19" s="4371">
        <f t="shared" si="5"/>
        <v>11046.05</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15789.4</v>
      </c>
      <c r="E27" s="4377">
        <f>IF(SUM(E19:E26)='数据-基础表'!BA5,SUM(E19:E26),IF(F27="地上面积有误","面积有误","地下面积有误"))</f>
        <v>11046.05</v>
      </c>
      <c r="F27" s="4377">
        <f>IF(SUM(F19:F26)=E8,SUM(F19:F26),"地上面积有误")</f>
        <v>11046.05</v>
      </c>
      <c r="G27" s="4225">
        <f>SUM(G19:G26)</f>
        <v>0</v>
      </c>
      <c r="H27" s="4378">
        <f>SUM(H19:H26)</f>
        <v>0</v>
      </c>
      <c r="I27" s="4379">
        <f>SUM(I19:I26)</f>
        <v>0</v>
      </c>
      <c r="J27" s="839"/>
      <c r="K27" s="4378">
        <f>SUM(K19:K26)</f>
        <v>0</v>
      </c>
      <c r="L27" s="4385">
        <f>SUM(L19:L26)</f>
        <v>0</v>
      </c>
      <c r="M27" s="4386">
        <f>SUM(M19:M26)</f>
        <v>0</v>
      </c>
      <c r="N27" s="4378">
        <f t="shared" ref="N27:O27" si="10">SUM(N19:N26)</f>
        <v>0</v>
      </c>
      <c r="O27" s="4385">
        <f t="shared" si="10"/>
        <v>0</v>
      </c>
      <c r="P27" s="4170">
        <f>SUM(P19:P26)</f>
        <v>0</v>
      </c>
      <c r="Q27" s="4389"/>
      <c r="R27" s="4392">
        <f>IF(SUM(R19:R26)=$D$3,SUM(R19:R26),SUM(R19:R26)&amp;"误差"&amp;ROUND(SUM(R19:R26)-$D$3,2))</f>
        <v>15789.4</v>
      </c>
      <c r="S27" s="4371">
        <f>IF(SUM(S19:S26)=$E$3,SUM(S19:S26),SUM(S19:S26)&amp;"误差"&amp;ROUND(SUM(S19:S26)-E3,2))</f>
        <v>11046.05</v>
      </c>
    </row>
    <row r="28" spans="1:19">
      <c r="A28" s="1305"/>
      <c r="B28" s="26" t="s">
        <v>1141</v>
      </c>
      <c r="C28" s="749" t="s">
        <v>1142</v>
      </c>
      <c r="D28" s="4371">
        <f>ROUND($D$3*E28/$E$3,2)</f>
        <v>0</v>
      </c>
      <c r="E28" s="4371">
        <f>SUM(F28:G28)</f>
        <v>0</v>
      </c>
      <c r="F28" s="4334">
        <f>'数据-基础表'!BQ5+'数据-基础表'!BS5</f>
        <v>0</v>
      </c>
      <c r="G28" s="4380">
        <f>'数据-基础表'!BR5+'数据-基础表'!BT5</f>
        <v>0</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0</v>
      </c>
      <c r="E30" s="4377">
        <f>SUM(E28:E29)</f>
        <v>0</v>
      </c>
      <c r="F30" s="4377">
        <f>SUM(F28:F29)</f>
        <v>0</v>
      </c>
      <c r="G30" s="4225">
        <f>SUM(G28:G29)</f>
        <v>0</v>
      </c>
      <c r="H30" s="4381"/>
      <c r="I30" s="4381"/>
      <c r="J30" s="2141"/>
      <c r="K30" s="2141"/>
      <c r="L30" s="2141"/>
      <c r="M30" s="2141"/>
      <c r="N30" s="2141"/>
      <c r="O30" s="2141"/>
      <c r="P30" s="2141"/>
    </row>
    <row r="31" spans="1:19" ht="15.75" thickBot="1">
      <c r="A31" s="1309"/>
      <c r="B31" s="1310"/>
      <c r="C31" s="594" t="s">
        <v>1144</v>
      </c>
      <c r="D31" s="4384">
        <f>D27+D30</f>
        <v>15789.4</v>
      </c>
      <c r="E31" s="4384">
        <f>E27+E30</f>
        <v>11046.05</v>
      </c>
      <c r="F31" s="4385">
        <f>F27+F30</f>
        <v>11046.05</v>
      </c>
      <c r="G31" s="4386">
        <f>G27+G30</f>
        <v>0</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14" sqref="W14"/>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3870</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3659</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工业</v>
      </c>
      <c r="B6" s="1345" t="str">
        <f>IF(A6=0,"","经营性")</f>
        <v>经营性</v>
      </c>
      <c r="C6" s="1346" t="s">
        <v>3</v>
      </c>
      <c r="D6" s="3763">
        <f>SUMIF(项目基本情况!C$12:I$12,C6,项目基本情况!C$14:I$14)</f>
        <v>50</v>
      </c>
      <c r="E6" s="610">
        <f>IF(B6="","",SUMIF(项目基本情况!C$12:I$12,C6,项目基本情况!C$13:I$13))</f>
        <v>59504</v>
      </c>
      <c r="F6" s="3765">
        <f>SUMIF(项目基本情况!C$12:I$12,C6,项目基本情况!C$15:I$15)</f>
        <v>36.880000000000003</v>
      </c>
      <c r="G6" s="3766">
        <f t="shared" ref="G6:G13" si="0">IF(ISERROR(ROUND(POWER(1+H6,D6-F6)*(POWER(1+H6,F6)-1)/(POWER(1+H6,D6)-1),4)),0,ROUND(POWER(1+H6,D6-F6)*(POWER(1+H6,F6)-1)/(POWER(1+H6,D6)-1),4))</f>
        <v>0.9143</v>
      </c>
      <c r="H6" s="3767">
        <v>0.05</v>
      </c>
      <c r="I6" s="3767">
        <v>5.5E-2</v>
      </c>
      <c r="J6" s="3768">
        <v>7.0000000000000007E-2</v>
      </c>
      <c r="K6" s="4395">
        <f>SUMIF('数据-汇总表'!C$19:C$33,A6,'数据-汇总表'!E$19:E$33)</f>
        <v>11046.05</v>
      </c>
      <c r="L6" s="4396">
        <f>ROUND(L17/1.09,0)</f>
        <v>2752</v>
      </c>
      <c r="M6" s="4397">
        <f t="shared" ref="M6:M14" si="1">ROUND(K6*L6/10000,0)</f>
        <v>3040</v>
      </c>
      <c r="N6" s="3755">
        <f>N18</f>
        <v>0.78</v>
      </c>
      <c r="O6" s="4397" t="str">
        <f>IF($N$5="成新度","——",ROUND(M6*N6,0))</f>
        <v>——</v>
      </c>
      <c r="P6" s="4173" t="str">
        <f>IF($N$5="成新度","——",M6-O6)</f>
        <v>——</v>
      </c>
      <c r="Q6" s="3756">
        <v>0.05</v>
      </c>
      <c r="R6" s="4415">
        <f ca="1">SUMIF('数据-汇总表'!C$19:C$33,A6,'数据-汇总表'!R$19:R$27)</f>
        <v>15789.4</v>
      </c>
      <c r="S6" s="4371">
        <f>IF('数据-汇总表'!$I$17="按面积比例",SUMIF('数据-汇总表'!C$19:C$33,A6,'数据-汇总表'!K$19:K$33),SUMIF('数据-汇总表'!C$19:C$33,A6,'数据-汇总表'!N$19:N$33))</f>
        <v>0</v>
      </c>
      <c r="T6" s="4416">
        <f>ROUND($L$14*S6/10000,0)</f>
        <v>0</v>
      </c>
      <c r="U6" s="4420">
        <v>1</v>
      </c>
      <c r="V6" s="36">
        <v>1.4999999999999999E-2</v>
      </c>
      <c r="W6" s="36">
        <v>0.15</v>
      </c>
      <c r="X6" s="751"/>
      <c r="Y6" s="37">
        <f>N6</f>
        <v>0.78</v>
      </c>
      <c r="Z6" s="4425"/>
      <c r="AA6" s="35"/>
      <c r="AB6" s="35"/>
      <c r="AC6" s="751"/>
      <c r="AD6" s="38"/>
      <c r="AE6" s="4429">
        <f ca="1">IF(AN6="",0,SUMIF(INDIRECT("'"&amp;AN6&amp;"'"&amp;"!E:E"),$AE$5,INDIRECT("'"&amp;AN6&amp;"'"&amp;"!F:F")))</f>
        <v>36.880000000000003</v>
      </c>
      <c r="AF6" s="4430"/>
      <c r="AG6" s="4431">
        <f>IF(AF6="",0,AE6-AF6)</f>
        <v>0</v>
      </c>
      <c r="AH6" s="4420"/>
      <c r="AI6" s="4434">
        <v>365</v>
      </c>
      <c r="AJ6" s="4430"/>
      <c r="AK6" s="39">
        <v>2E-3</v>
      </c>
      <c r="AL6" s="40">
        <v>1E-3</v>
      </c>
      <c r="AM6" s="41">
        <v>5.0000000000000001E-3</v>
      </c>
      <c r="AN6" s="1347" t="s">
        <v>3871</v>
      </c>
      <c r="AO6" s="4371">
        <f ca="1">SUMIF(INDIRECT("'"&amp;AN6&amp;"'"&amp;"!A:A"),"总价",INDIRECT("'"&amp;AN6&amp;"'"&amp;"!B:B"))</f>
        <v>5363</v>
      </c>
      <c r="AP6" s="4371">
        <f>IF(C6="住宅",K6*L6,0)</f>
        <v>0</v>
      </c>
      <c r="AQ6" s="4371">
        <f>ROUND($L$14*$N$14*S6/10000,0)</f>
        <v>0</v>
      </c>
      <c r="AR6" s="4371">
        <f>ROUND($L$14*(1-$N$14)*S6/10000,0)</f>
        <v>0</v>
      </c>
      <c r="AS6" s="4371">
        <f>ROUND(1-1/(1+H6)^F6,3)</f>
        <v>0.83499999999999996</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t="str">
        <f t="shared" ref="O7:O14" si="3">IF($N$5="成新度","——",ROUND(M7*N7,0))</f>
        <v>——</v>
      </c>
      <c r="P7" s="4173" t="str">
        <f t="shared" ref="P7:P14" si="4">IF($N$5="成新度","——",M7-O7)</f>
        <v>——</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t="str">
        <f t="shared" si="3"/>
        <v>——</v>
      </c>
      <c r="P8" s="4173" t="str">
        <f t="shared" si="4"/>
        <v>——</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t="str">
        <f t="shared" si="3"/>
        <v>——</v>
      </c>
      <c r="P9" s="4173" t="str">
        <f t="shared" si="4"/>
        <v>——</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t="str">
        <f t="shared" si="3"/>
        <v>——</v>
      </c>
      <c r="P10" s="4173" t="str">
        <f t="shared" si="4"/>
        <v>——</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t="str">
        <f t="shared" si="3"/>
        <v>——</v>
      </c>
      <c r="P11" s="4173" t="str">
        <f t="shared" si="4"/>
        <v>——</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t="str">
        <f t="shared" si="3"/>
        <v>——</v>
      </c>
      <c r="P12" s="4173" t="str">
        <f t="shared" si="4"/>
        <v>——</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t="str">
        <f t="shared" si="3"/>
        <v>——</v>
      </c>
      <c r="P13" s="4173" t="str">
        <f t="shared" si="4"/>
        <v>——</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0</v>
      </c>
      <c r="L14" s="4398"/>
      <c r="M14" s="4397">
        <f t="shared" si="1"/>
        <v>0</v>
      </c>
      <c r="N14" s="3758"/>
      <c r="O14" s="4397" t="str">
        <f t="shared" si="3"/>
        <v>——</v>
      </c>
      <c r="P14" s="4173" t="str">
        <f t="shared" si="4"/>
        <v>——</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0.9143</v>
      </c>
      <c r="H16" s="3772">
        <f>ROUND(SUMPRODUCT(H6:H13,K6:K13)/SUMPRODUCT((H6:H13&gt;0)*(K6:K13)),3)</f>
        <v>0.05</v>
      </c>
      <c r="I16" s="3773"/>
      <c r="J16" s="3773"/>
      <c r="K16" s="4399">
        <f>SUM(K6:K15)</f>
        <v>11046.05</v>
      </c>
      <c r="L16" s="4400">
        <f>ROUND(M16*10000/SUM(K6:K14),0)</f>
        <v>2752</v>
      </c>
      <c r="M16" s="4400">
        <f>SUM(M6:M14)</f>
        <v>3040</v>
      </c>
      <c r="N16" s="3761">
        <f>ROUND(SUMPRODUCT(M6:M14,N6:N14)/M16,3)</f>
        <v>0.78</v>
      </c>
      <c r="O16" s="4400">
        <f>SUM(O6:O14)</f>
        <v>0</v>
      </c>
      <c r="P16" s="4400">
        <f>SUM(P6:P14)</f>
        <v>0</v>
      </c>
      <c r="Q16" s="3762">
        <f>ROUND(SUMPRODUCT(Q6:Q13,K6:K13)/SUMPRODUCT((Q6:Q13&gt;0)*(K6:K13)),2)</f>
        <v>0.05</v>
      </c>
      <c r="R16" s="4417">
        <f ca="1">SUM(R6:R13)</f>
        <v>15789.4</v>
      </c>
      <c r="S16" s="4418">
        <f>SUM(S6:S13)</f>
        <v>0</v>
      </c>
      <c r="T16" s="4419">
        <f>IF(SUMIF(T6:T13,"&lt;9E307")=M14,SUMIF(T6:T13,"&lt;9E307"),"有误，请检查")</f>
        <v>0</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0.83499999999999996</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v>3000</v>
      </c>
      <c r="M17" s="2153"/>
      <c r="N17" s="2153">
        <v>2015</v>
      </c>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c r="M18" s="2153"/>
      <c r="N18" s="2153">
        <f>ROUND(1-(1-2%)*(2026-N17)/50,2)</f>
        <v>0.78</v>
      </c>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2217</v>
      </c>
      <c r="D19" s="2158"/>
      <c r="E19" s="2155"/>
      <c r="F19" s="2155"/>
      <c r="G19" s="2155"/>
      <c r="H19" s="2155"/>
      <c r="I19" s="2155"/>
      <c r="J19" s="2155"/>
      <c r="K19" s="2154"/>
      <c r="L19" s="2154"/>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2215</v>
      </c>
      <c r="D20" s="2158"/>
      <c r="E20" s="2155"/>
      <c r="F20" s="2155"/>
      <c r="G20" s="2155"/>
      <c r="H20" s="2155"/>
      <c r="I20" s="2155"/>
      <c r="J20" s="2155"/>
      <c r="K20" s="2154"/>
      <c r="L20" s="2154"/>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v>2</v>
      </c>
      <c r="C21" s="2155"/>
      <c r="D21" s="2158"/>
      <c r="E21" s="2155"/>
      <c r="F21" s="2155"/>
      <c r="G21" s="2155"/>
      <c r="H21" s="2155"/>
      <c r="I21" s="2155"/>
      <c r="J21" s="2155"/>
      <c r="K21" s="2154"/>
      <c r="L21" s="2154"/>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2</v>
      </c>
      <c r="C23" s="2155"/>
      <c r="D23" s="2158"/>
      <c r="E23" s="2155"/>
      <c r="F23" s="2155"/>
      <c r="G23" s="2155"/>
      <c r="H23" s="2155"/>
      <c r="I23" s="2155"/>
      <c r="J23" s="2155"/>
      <c r="K23" s="2154"/>
      <c r="L23" s="2154"/>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c r="C27" s="2278" t="s">
        <v>2219</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f ca="1">成本法!C16</f>
        <v>221</v>
      </c>
      <c r="C29" s="2279" t="s">
        <v>2210</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0.06</v>
      </c>
      <c r="C33" s="4150" t="s">
        <v>3849</v>
      </c>
      <c r="D33" s="2158"/>
      <c r="E33" s="2155"/>
      <c r="F33" s="2155"/>
      <c r="G33" s="2155"/>
      <c r="H33" s="2155"/>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2211</v>
      </c>
      <c r="D34" s="2166" t="s">
        <v>2216</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3852</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3315</v>
      </c>
      <c r="B36" s="3774">
        <v>0.02</v>
      </c>
      <c r="C36" s="4151" t="s">
        <v>3850</v>
      </c>
      <c r="D36" s="2161"/>
      <c r="E36" s="2143"/>
      <c r="F36" s="2143"/>
      <c r="G36" s="2155"/>
      <c r="H36" s="2155"/>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3316</v>
      </c>
      <c r="B37" s="3775">
        <v>0.02</v>
      </c>
      <c r="C37" s="4151" t="s">
        <v>3851</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3290</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3291</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2225</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3308</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3292</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2212</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2213</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2220</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2212</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2214</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1.5</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27</v>
      </c>
      <c r="C54" s="2143" t="s">
        <v>1230</v>
      </c>
      <c r="D54" s="2281" t="s">
        <v>2218</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f>C60</f>
        <v>1.5</v>
      </c>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66" t="s">
        <v>2202</v>
      </c>
      <c r="B1" s="4567"/>
      <c r="C1" s="4567"/>
      <c r="D1" s="4567"/>
      <c r="E1" s="4567"/>
      <c r="F1" s="4567"/>
      <c r="G1" s="4567"/>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2197</v>
      </c>
      <c r="D2" s="1997"/>
      <c r="E2" s="1994"/>
      <c r="F2" s="1998"/>
      <c r="G2" s="1996" t="s">
        <v>2198</v>
      </c>
      <c r="H2" s="580"/>
      <c r="I2" s="580"/>
      <c r="J2" s="580"/>
      <c r="K2" s="580"/>
      <c r="L2" s="580"/>
      <c r="M2" s="580"/>
      <c r="N2" s="580"/>
      <c r="O2" s="580"/>
      <c r="P2" s="580"/>
      <c r="Q2" s="580"/>
      <c r="R2" s="580"/>
    </row>
    <row r="3" spans="1:29" ht="48">
      <c r="A3" s="1977" t="s">
        <v>2199</v>
      </c>
      <c r="B3" s="1999" t="s">
        <v>2168</v>
      </c>
      <c r="C3" s="2000" t="s">
        <v>2200</v>
      </c>
      <c r="D3" s="2001"/>
      <c r="E3" s="1978" t="s">
        <v>2199</v>
      </c>
      <c r="F3" s="2002" t="s">
        <v>2169</v>
      </c>
      <c r="G3" s="2003" t="s">
        <v>2201</v>
      </c>
      <c r="H3" s="580"/>
      <c r="I3" s="580"/>
      <c r="J3" s="580"/>
      <c r="K3" s="580"/>
      <c r="L3" s="580"/>
      <c r="M3" s="580"/>
      <c r="N3" s="580"/>
      <c r="O3" s="580"/>
      <c r="P3" s="580"/>
      <c r="Q3" s="580"/>
      <c r="R3" s="580"/>
    </row>
    <row r="4" spans="1:29" ht="36.75">
      <c r="A4" s="1978"/>
      <c r="B4" s="211" t="s">
        <v>2170</v>
      </c>
      <c r="C4" s="2004" t="s">
        <v>2171</v>
      </c>
      <c r="D4" s="2001"/>
      <c r="E4" s="2005"/>
      <c r="F4" s="1019" t="s">
        <v>2172</v>
      </c>
      <c r="G4" s="2006" t="s">
        <v>2173</v>
      </c>
      <c r="H4" s="580"/>
      <c r="I4" s="580"/>
      <c r="J4" s="580"/>
      <c r="K4" s="580"/>
      <c r="L4" s="580"/>
      <c r="M4" s="580"/>
      <c r="N4" s="580"/>
      <c r="O4" s="580"/>
      <c r="P4" s="580"/>
      <c r="Q4" s="580"/>
      <c r="R4" s="580"/>
    </row>
    <row r="5" spans="1:29" ht="36.75">
      <c r="A5" s="1978"/>
      <c r="B5" s="211" t="s">
        <v>2174</v>
      </c>
      <c r="C5" s="2004" t="s">
        <v>2175</v>
      </c>
      <c r="D5" s="2001"/>
      <c r="E5" s="2005"/>
      <c r="F5" s="211" t="s">
        <v>2176</v>
      </c>
      <c r="G5" s="2006" t="s">
        <v>2177</v>
      </c>
      <c r="H5" s="580"/>
      <c r="I5" s="580"/>
      <c r="J5" s="580"/>
      <c r="K5" s="580"/>
      <c r="L5" s="580"/>
      <c r="M5" s="580"/>
      <c r="N5" s="580"/>
      <c r="O5" s="580"/>
      <c r="P5" s="580"/>
      <c r="Q5" s="580"/>
      <c r="R5" s="580"/>
    </row>
    <row r="6" spans="1:29" ht="36">
      <c r="A6" s="1978"/>
      <c r="B6" s="211" t="s">
        <v>2178</v>
      </c>
      <c r="C6" s="2006" t="s">
        <v>2173</v>
      </c>
      <c r="D6" s="2001"/>
      <c r="E6" s="2005"/>
      <c r="F6" s="211" t="s">
        <v>2179</v>
      </c>
      <c r="G6" s="2006" t="s">
        <v>2180</v>
      </c>
      <c r="H6" s="580"/>
      <c r="I6" s="580"/>
      <c r="J6" s="580"/>
      <c r="K6" s="580"/>
      <c r="L6" s="580"/>
      <c r="M6" s="580"/>
      <c r="N6" s="580"/>
      <c r="O6" s="580"/>
      <c r="P6" s="580"/>
      <c r="Q6" s="580"/>
      <c r="R6" s="580"/>
    </row>
    <row r="7" spans="1:29" ht="24.75" thickBot="1">
      <c r="A7" s="1978"/>
      <c r="B7" s="211" t="s">
        <v>2176</v>
      </c>
      <c r="C7" s="2006" t="s">
        <v>2177</v>
      </c>
      <c r="D7" s="2007"/>
      <c r="E7" s="2008"/>
      <c r="F7" s="2009" t="s">
        <v>2181</v>
      </c>
      <c r="G7" s="2010" t="s">
        <v>2182</v>
      </c>
      <c r="H7" s="580"/>
      <c r="I7" s="580"/>
      <c r="J7" s="580"/>
      <c r="K7" s="580"/>
      <c r="L7" s="580"/>
      <c r="M7" s="580"/>
      <c r="N7" s="580"/>
      <c r="O7" s="580"/>
      <c r="P7" s="580"/>
      <c r="Q7" s="580"/>
      <c r="R7" s="580"/>
    </row>
    <row r="8" spans="1:29">
      <c r="A8" s="1978"/>
      <c r="B8" s="211" t="s">
        <v>2179</v>
      </c>
      <c r="C8" s="2006" t="s">
        <v>2180</v>
      </c>
      <c r="D8" s="2007"/>
      <c r="E8" s="2007"/>
      <c r="F8" s="2011"/>
      <c r="G8" s="2011"/>
      <c r="H8" s="580"/>
      <c r="I8" s="580"/>
      <c r="J8" s="580"/>
      <c r="K8" s="580"/>
      <c r="L8" s="580"/>
      <c r="M8" s="580"/>
      <c r="N8" s="580"/>
      <c r="O8" s="580"/>
      <c r="P8" s="580"/>
      <c r="Q8" s="580"/>
      <c r="R8" s="580"/>
    </row>
    <row r="9" spans="1:29" ht="24">
      <c r="A9" s="1978"/>
      <c r="B9" s="211" t="s">
        <v>2183</v>
      </c>
      <c r="C9" s="2004" t="s">
        <v>2184</v>
      </c>
      <c r="D9" s="2001"/>
      <c r="E9" s="2007"/>
      <c r="F9" s="2011"/>
      <c r="G9" s="2011"/>
      <c r="H9" s="580"/>
      <c r="I9" s="580"/>
      <c r="J9" s="580"/>
      <c r="K9" s="580"/>
      <c r="L9" s="580"/>
      <c r="M9" s="580"/>
      <c r="N9" s="580"/>
      <c r="O9" s="580"/>
      <c r="P9" s="580"/>
      <c r="Q9" s="580"/>
      <c r="R9" s="580"/>
    </row>
    <row r="10" spans="1:29" s="2017" customFormat="1" ht="15" thickBot="1">
      <c r="A10" s="1979"/>
      <c r="B10" s="2012" t="s">
        <v>2185</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2203</v>
      </c>
      <c r="B13" s="2020"/>
      <c r="C13" s="2020"/>
      <c r="D13" s="2018"/>
      <c r="E13" s="2020"/>
      <c r="F13" s="2020"/>
      <c r="G13" s="2020"/>
    </row>
    <row r="14" spans="1:29" ht="15" thickBot="1">
      <c r="A14" s="2030"/>
      <c r="B14" s="2030"/>
      <c r="C14" s="2031" t="s">
        <v>2186</v>
      </c>
      <c r="D14" s="2001"/>
      <c r="E14" s="2032"/>
      <c r="F14" s="2032"/>
      <c r="G14" s="1996" t="s">
        <v>2187</v>
      </c>
    </row>
    <row r="15" spans="1:29" ht="51">
      <c r="A15" s="1980" t="s">
        <v>2188</v>
      </c>
      <c r="B15" s="2033" t="s">
        <v>2168</v>
      </c>
      <c r="C15" s="2034" t="str">
        <f>C3</f>
        <v>估价对象周边居住用地比例、居住小区规模和社区发展完善程度，综合评价居住社区成熟度一般</v>
      </c>
      <c r="D15" s="2001"/>
      <c r="E15" s="1981" t="s">
        <v>2189</v>
      </c>
      <c r="F15" s="2033" t="s">
        <v>2190</v>
      </c>
      <c r="G15" s="2035" t="str">
        <f>G3</f>
        <v>估价对象位于XX开发区，园区建设成熟度XX，产业集聚程度XX</v>
      </c>
    </row>
    <row r="16" spans="1:29" ht="38.25">
      <c r="A16" s="1982"/>
      <c r="B16" s="2036" t="s">
        <v>2170</v>
      </c>
      <c r="C16" s="2037" t="str">
        <f>C4</f>
        <v>估价对象位于XX商圈，周边商业氛围成熟，人流量大，商业繁华度好</v>
      </c>
      <c r="D16" s="2001"/>
      <c r="E16" s="1983"/>
      <c r="F16" s="2038" t="s">
        <v>2172</v>
      </c>
      <c r="G16" s="2039" t="str">
        <f>G4</f>
        <v>估价对象周边道路状况、公共交通通达情况、停车便捷程度，综合评价交通便捷度较好</v>
      </c>
    </row>
    <row r="17" spans="1:18" ht="38.25">
      <c r="A17" s="1982"/>
      <c r="B17" s="2036" t="s">
        <v>2174</v>
      </c>
      <c r="C17" s="2037" t="str">
        <f>C5</f>
        <v>估价对象位于XX商圈，周边办公楼项目较多，入驻率高，办公集聚程度较好</v>
      </c>
      <c r="D17" s="2007"/>
      <c r="E17" s="1983"/>
      <c r="F17" s="2038" t="s">
        <v>2191</v>
      </c>
      <c r="G17" s="2040"/>
    </row>
    <row r="18" spans="1:18" ht="38.25">
      <c r="A18" s="1982"/>
      <c r="B18" s="2038" t="s">
        <v>2178</v>
      </c>
      <c r="C18" s="2039" t="str">
        <f>C6</f>
        <v>估价对象周边道路状况、公共交通通达情况、停车便捷程度，综合评价交通便捷度较好</v>
      </c>
      <c r="D18" s="2007"/>
      <c r="E18" s="1983"/>
      <c r="F18" s="2038" t="s">
        <v>2181</v>
      </c>
      <c r="G18" s="2039" t="str">
        <f>G7</f>
        <v>该园区内是否有污染型企业，绿化情况，卫生条件，整体环境状况判断</v>
      </c>
    </row>
    <row r="19" spans="1:18" ht="25.5">
      <c r="A19" s="1982"/>
      <c r="B19" s="2038" t="s">
        <v>2192</v>
      </c>
      <c r="C19" s="2040"/>
      <c r="D19" s="2001"/>
      <c r="E19" s="1983"/>
      <c r="F19" s="211" t="s">
        <v>2176</v>
      </c>
      <c r="G19" s="2039" t="str">
        <f>G5</f>
        <v>估价对象所在区域公共配套设施齐备情况</v>
      </c>
    </row>
    <row r="20" spans="1:18" ht="25.5">
      <c r="A20" s="1982"/>
      <c r="B20" s="2038" t="s">
        <v>2193</v>
      </c>
      <c r="C20" s="2037" t="str">
        <f>C9</f>
        <v>区域自然环境：；人文环境；综合评价环境状况一般</v>
      </c>
      <c r="D20" s="2007"/>
      <c r="E20" s="1983"/>
      <c r="F20" s="211" t="s">
        <v>2179</v>
      </c>
      <c r="G20" s="2039" t="str">
        <f>G6</f>
        <v>估价对象所在区域基础设施水平</v>
      </c>
    </row>
    <row r="21" spans="1:18" ht="25.5">
      <c r="A21" s="1982"/>
      <c r="B21" s="211" t="s">
        <v>2176</v>
      </c>
      <c r="C21" s="2039" t="str">
        <f>C7</f>
        <v>估价对象所在区域公共配套设施齐备情况</v>
      </c>
      <c r="D21" s="2001"/>
      <c r="E21" s="1983"/>
      <c r="F21" s="2038" t="s">
        <v>2194</v>
      </c>
      <c r="G21" s="2041"/>
    </row>
    <row r="22" spans="1:18" ht="13.5" customHeight="1">
      <c r="A22" s="1982"/>
      <c r="B22" s="211" t="s">
        <v>2179</v>
      </c>
      <c r="C22" s="2039" t="str">
        <f>C8</f>
        <v>估价对象所在区域基础设施水平</v>
      </c>
      <c r="D22" s="2001"/>
      <c r="E22" s="1983"/>
      <c r="F22" s="2038" t="s">
        <v>2185</v>
      </c>
      <c r="G22" s="2040"/>
    </row>
    <row r="23" spans="1:18" s="580" customFormat="1" ht="15" thickBot="1">
      <c r="A23" s="1982"/>
      <c r="B23" s="2038" t="s">
        <v>2194</v>
      </c>
      <c r="C23" s="2041"/>
      <c r="D23" s="1369"/>
      <c r="E23" s="1984"/>
      <c r="F23" s="2042" t="s">
        <v>2195</v>
      </c>
      <c r="G23" s="2043"/>
      <c r="H23" s="2027"/>
      <c r="I23" s="2028"/>
      <c r="J23" s="2027"/>
      <c r="K23" s="2027"/>
      <c r="L23" s="2028"/>
      <c r="M23" s="2027"/>
      <c r="N23" s="2027"/>
      <c r="O23" s="2028"/>
      <c r="P23" s="2027"/>
      <c r="Q23" s="2027"/>
      <c r="R23" s="2029"/>
    </row>
    <row r="24" spans="1:18" s="580" customFormat="1" ht="15" thickBot="1">
      <c r="A24" s="1985"/>
      <c r="B24" s="2042" t="s">
        <v>2196</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0</v>
      </c>
      <c r="C1" s="2168"/>
      <c r="D1" s="2168"/>
      <c r="E1" s="2168"/>
      <c r="F1" s="2168"/>
      <c r="G1" s="2169"/>
      <c r="H1" s="2170"/>
      <c r="I1" s="2170"/>
      <c r="J1" s="2170"/>
      <c r="K1" s="2170"/>
    </row>
    <row r="2" spans="1:11" ht="16.5">
      <c r="A2" s="2048" t="s">
        <v>641</v>
      </c>
      <c r="B2" s="4160">
        <f>SUM(C14:C23)</f>
        <v>0</v>
      </c>
      <c r="C2" s="2168"/>
      <c r="D2" s="2168"/>
      <c r="E2" s="2168"/>
      <c r="F2" s="2168"/>
      <c r="G2" s="2169"/>
      <c r="H2" s="2170"/>
      <c r="I2" s="2170"/>
      <c r="J2" s="2170"/>
      <c r="K2" s="2170"/>
    </row>
    <row r="3" spans="1:11" ht="16.5">
      <c r="A3" s="2048" t="s">
        <v>650</v>
      </c>
      <c r="B3" s="2050">
        <f>项目基本情况!D3</f>
        <v>46041</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SUM(D14:D23)</f>
        <v>0</v>
      </c>
      <c r="C5" s="4160" t="e">
        <f>ROUND(B5*10000/$B$1,0)</f>
        <v>#DIV/0!</v>
      </c>
      <c r="D5" s="4160" t="e">
        <f>ROUND(B5*10000/$B$2,0)</f>
        <v>#DIV/0!</v>
      </c>
      <c r="E5" s="2168"/>
      <c r="F5" s="2169"/>
      <c r="G5" s="2169"/>
      <c r="H5" s="2170"/>
      <c r="I5" s="2170"/>
      <c r="J5" s="2170"/>
      <c r="K5" s="2170"/>
    </row>
    <row r="6" spans="1:11" ht="16.5">
      <c r="A6" s="2048" t="s">
        <v>644</v>
      </c>
      <c r="B6" s="4160">
        <f>SUM(G14:G23)</f>
        <v>0</v>
      </c>
      <c r="C6" s="4160" t="e">
        <f>ROUND(B6*10000/$B$1,0)</f>
        <v>#DIV/0!</v>
      </c>
      <c r="D6" s="4160" t="e">
        <f>ROUND(B6*10000/$B$2,0)</f>
        <v>#DIV/0!</v>
      </c>
      <c r="E6" s="2168"/>
      <c r="F6" s="2169"/>
      <c r="G6" s="2169"/>
      <c r="H6" s="2170"/>
      <c r="I6" s="2170"/>
      <c r="J6" s="2170"/>
      <c r="K6" s="2170"/>
    </row>
    <row r="7" spans="1:11" ht="16.5">
      <c r="A7" s="2048" t="s">
        <v>652</v>
      </c>
      <c r="B7" s="4160">
        <f>SUM(H14:H23)</f>
        <v>0</v>
      </c>
      <c r="C7" s="4160" t="str">
        <f>IF(B7=H14,结果表!H110,ROUND(B7*10000/$B$1,0))</f>
        <v>——</v>
      </c>
      <c r="D7" s="4160" t="e">
        <f>ROUND(B7*10000/$B$2,0)</f>
        <v>#DIV/0!</v>
      </c>
      <c r="E7" s="2168"/>
      <c r="F7" s="2169"/>
      <c r="G7" s="2169"/>
      <c r="H7" s="2170"/>
      <c r="I7" s="2170"/>
      <c r="J7" s="2170"/>
      <c r="K7" s="2170"/>
    </row>
    <row r="8" spans="1:11" ht="16.5">
      <c r="A8" s="2048" t="s">
        <v>581</v>
      </c>
      <c r="B8" s="4160">
        <f>SUM(I14:I23)</f>
        <v>0</v>
      </c>
      <c r="C8" s="4160" t="str">
        <f>IF(B8=I14,结果表!H112,ROUND(B8*10000/$B$1,0))</f>
        <v>——</v>
      </c>
      <c r="D8" s="4160" t="e">
        <f>ROUND(B8*10000/$B$2,0)</f>
        <v>#DIV/0!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3263</v>
      </c>
      <c r="D10" s="2048" t="s">
        <v>3264</v>
      </c>
      <c r="E10" s="4161"/>
      <c r="F10" s="2804" t="s">
        <v>3265</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c r="C14" s="4156"/>
      <c r="D14" s="4156"/>
      <c r="E14" s="4156" t="e">
        <f>ROUND(D14*10000/B14,0)</f>
        <v>#DIV/0!</v>
      </c>
      <c r="F14" s="4156" t="e">
        <f>ROUND(D14*10000/C14,0)</f>
        <v>#DIV/0!</v>
      </c>
      <c r="G14" s="4156"/>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34" sqref="D34"/>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44" t="str">
        <f>项目基本情况!S2</f>
        <v>北京市房地产</v>
      </c>
      <c r="B2" s="4645"/>
      <c r="C2" s="4645"/>
      <c r="D2" s="4645"/>
      <c r="E2" s="4645"/>
      <c r="F2" s="4645"/>
      <c r="G2" s="4645"/>
      <c r="H2" s="4645"/>
      <c r="I2" s="4646"/>
    </row>
    <row r="3" spans="1:12" ht="12.75">
      <c r="A3" s="4648" t="s">
        <v>1248</v>
      </c>
      <c r="B3" s="4649"/>
      <c r="C3" s="4649"/>
      <c r="D3" s="4649"/>
      <c r="E3" s="4649"/>
      <c r="F3" s="4649"/>
      <c r="G3" s="4649"/>
      <c r="H3" s="4649"/>
      <c r="I3" s="4649"/>
    </row>
    <row r="4" spans="1:12" ht="14.25">
      <c r="A4" s="1382" t="s">
        <v>1249</v>
      </c>
      <c r="B4" s="1383" t="s">
        <v>1250</v>
      </c>
      <c r="C4" s="4059" t="s">
        <v>3882</v>
      </c>
      <c r="D4" s="4059" t="s">
        <v>3871</v>
      </c>
      <c r="E4" s="4653" t="s">
        <v>1251</v>
      </c>
      <c r="F4" s="4654"/>
      <c r="G4" s="4654"/>
      <c r="H4" s="4654"/>
      <c r="I4" s="4655"/>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585" t="s">
        <v>1252</v>
      </c>
      <c r="B5" s="4647">
        <v>25</v>
      </c>
      <c r="C5" s="4650"/>
      <c r="D5" s="4638"/>
      <c r="E5" s="53" t="s">
        <v>1253</v>
      </c>
      <c r="F5" s="1384"/>
      <c r="G5" s="1384"/>
      <c r="H5" s="1384"/>
      <c r="I5" s="1019"/>
    </row>
    <row r="6" spans="1:12" ht="12.75">
      <c r="A6" s="4585"/>
      <c r="B6" s="4647"/>
      <c r="C6" s="4652"/>
      <c r="D6" s="4638"/>
      <c r="E6" s="53" t="s">
        <v>1254</v>
      </c>
      <c r="F6" s="1384"/>
      <c r="G6" s="1384"/>
      <c r="H6" s="1384"/>
      <c r="I6" s="1019"/>
    </row>
    <row r="7" spans="1:12" ht="12.75">
      <c r="A7" s="4585"/>
      <c r="B7" s="4647"/>
      <c r="C7" s="4651"/>
      <c r="D7" s="4638"/>
      <c r="E7" s="53" t="s">
        <v>1255</v>
      </c>
      <c r="F7" s="1384"/>
      <c r="G7" s="1384"/>
      <c r="H7" s="1384"/>
      <c r="I7" s="1019"/>
    </row>
    <row r="8" spans="1:12" ht="12.75">
      <c r="A8" s="4585" t="s">
        <v>1256</v>
      </c>
      <c r="B8" s="4647">
        <v>15</v>
      </c>
      <c r="C8" s="4650"/>
      <c r="D8" s="4638"/>
      <c r="E8" s="53" t="s">
        <v>1257</v>
      </c>
      <c r="F8" s="1384"/>
      <c r="G8" s="1384"/>
      <c r="H8" s="1384"/>
      <c r="I8" s="1019"/>
    </row>
    <row r="9" spans="1:12" ht="12.75">
      <c r="A9" s="4585"/>
      <c r="B9" s="4647"/>
      <c r="C9" s="4651"/>
      <c r="D9" s="4638"/>
      <c r="E9" s="53" t="s">
        <v>1258</v>
      </c>
      <c r="F9" s="1384"/>
      <c r="G9" s="1384"/>
      <c r="H9" s="1384"/>
      <c r="I9" s="1019"/>
    </row>
    <row r="10" spans="1:12" ht="12.75">
      <c r="A10" s="4585" t="s">
        <v>1259</v>
      </c>
      <c r="B10" s="4647">
        <v>15</v>
      </c>
      <c r="C10" s="4650"/>
      <c r="D10" s="4638"/>
      <c r="E10" s="53" t="s">
        <v>1260</v>
      </c>
      <c r="F10" s="1384"/>
      <c r="G10" s="1384"/>
      <c r="H10" s="1384"/>
      <c r="I10" s="1019"/>
    </row>
    <row r="11" spans="1:12" ht="12.75">
      <c r="A11" s="4585"/>
      <c r="B11" s="4647"/>
      <c r="C11" s="4651"/>
      <c r="D11" s="4638"/>
      <c r="E11" s="53" t="s">
        <v>1261</v>
      </c>
      <c r="F11" s="1384"/>
      <c r="G11" s="1384"/>
      <c r="H11" s="1384"/>
      <c r="I11" s="1019"/>
    </row>
    <row r="12" spans="1:12" ht="12.75">
      <c r="A12" s="4585" t="s">
        <v>1262</v>
      </c>
      <c r="B12" s="4647">
        <v>15</v>
      </c>
      <c r="C12" s="4650"/>
      <c r="D12" s="4638"/>
      <c r="E12" s="53" t="s">
        <v>1263</v>
      </c>
      <c r="F12" s="1384"/>
      <c r="G12" s="1384"/>
      <c r="H12" s="1384"/>
      <c r="I12" s="1019"/>
    </row>
    <row r="13" spans="1:12" ht="12.75">
      <c r="A13" s="4585"/>
      <c r="B13" s="4647"/>
      <c r="C13" s="4651"/>
      <c r="D13" s="4638"/>
      <c r="E13" s="53" t="s">
        <v>1264</v>
      </c>
      <c r="F13" s="1384"/>
      <c r="G13" s="1384"/>
      <c r="H13" s="1384"/>
      <c r="I13" s="1019"/>
    </row>
    <row r="14" spans="1:12" ht="12.75">
      <c r="A14" s="4585" t="s">
        <v>1265</v>
      </c>
      <c r="B14" s="4647">
        <v>30</v>
      </c>
      <c r="C14" s="4650">
        <v>5</v>
      </c>
      <c r="D14" s="4638">
        <v>5</v>
      </c>
      <c r="E14" s="53" t="s">
        <v>1266</v>
      </c>
      <c r="F14" s="1384"/>
      <c r="G14" s="1384"/>
      <c r="H14" s="1384"/>
      <c r="I14" s="1019"/>
    </row>
    <row r="15" spans="1:12" ht="12.75">
      <c r="A15" s="4585"/>
      <c r="B15" s="4647"/>
      <c r="C15" s="4652"/>
      <c r="D15" s="4638"/>
      <c r="E15" s="53" t="s">
        <v>1267</v>
      </c>
      <c r="F15" s="1384"/>
      <c r="G15" s="1384"/>
      <c r="H15" s="1384"/>
      <c r="I15" s="1019"/>
    </row>
    <row r="16" spans="1:12" ht="12.75">
      <c r="A16" s="4585"/>
      <c r="B16" s="4647"/>
      <c r="C16" s="4651"/>
      <c r="D16" s="4638"/>
      <c r="E16" s="53" t="s">
        <v>1268</v>
      </c>
      <c r="F16" s="1384"/>
      <c r="G16" s="1384"/>
      <c r="H16" s="1384"/>
      <c r="I16" s="1019"/>
    </row>
    <row r="17" spans="1:36" ht="15">
      <c r="A17" s="1385" t="s">
        <v>1269</v>
      </c>
      <c r="B17" s="4058"/>
      <c r="C17" s="4163">
        <f>SUM(C5:C16)</f>
        <v>5</v>
      </c>
      <c r="D17" s="4163">
        <f>SUM(D5:D16)</f>
        <v>5</v>
      </c>
      <c r="E17" s="51"/>
      <c r="F17" s="51"/>
      <c r="G17" s="51"/>
      <c r="H17" s="51"/>
      <c r="I17" s="51"/>
      <c r="K17" s="191"/>
      <c r="L17" s="191" t="s">
        <v>1270</v>
      </c>
      <c r="M17" s="191" t="s">
        <v>1271</v>
      </c>
    </row>
    <row r="18" spans="1:36" ht="31.9" customHeight="1" thickBot="1">
      <c r="A18" s="1386" t="s">
        <v>1272</v>
      </c>
      <c r="B18" s="1387"/>
      <c r="C18" s="4164">
        <f>ROUND(C17/SUM(C17:D17),2)</f>
        <v>0.5</v>
      </c>
      <c r="D18" s="4164">
        <f>1-C18</f>
        <v>0.5</v>
      </c>
      <c r="E18" s="4661" t="s">
        <v>2047</v>
      </c>
      <c r="F18" s="4662"/>
      <c r="G18" s="4662"/>
      <c r="H18" s="4662"/>
      <c r="I18" s="4662"/>
      <c r="K18" s="191" t="s">
        <v>1273</v>
      </c>
      <c r="L18" s="4176">
        <f>IF(C1="",'数据-汇总表'!E3,SUMIF(项目类型,C1,'数据-汇总表'!E17:E26)+SUMIF(项目类型,C1,'数据-汇总表'!I17:I26))</f>
        <v>11046.05</v>
      </c>
      <c r="M18" s="4176">
        <f>IF(C1="",'数据-汇总表'!E3,SUMIF(项目类型,C1,'数据-汇总表'!E17:E26))</f>
        <v>11046.05</v>
      </c>
    </row>
    <row r="19" spans="1:36" ht="15">
      <c r="A19" s="1388" t="s">
        <v>1274</v>
      </c>
      <c r="B19" s="1389" t="s">
        <v>1275</v>
      </c>
      <c r="C19" s="4165">
        <f ca="1">SUMIF(INDIRECT("'"&amp;C4&amp;"'"&amp;"!A:A"),结果表!B19,INDIRECT("'"&amp;C4&amp;"'"&amp;"!B:B"))</f>
        <v>5687</v>
      </c>
      <c r="D19" s="4166">
        <f ca="1">SUMIF(INDIRECT("'"&amp;D4&amp;"'"&amp;"!A:A"),结果表!B19,INDIRECT("'"&amp;D4&amp;"'"&amp;"!B:B"))</f>
        <v>5363</v>
      </c>
      <c r="E19" s="1388" t="s">
        <v>1276</v>
      </c>
      <c r="F19" s="1389" t="s">
        <v>1275</v>
      </c>
      <c r="G19" s="4172">
        <f ca="1">ROUND(C19*$C$18+D19*$D$18,0)</f>
        <v>5525</v>
      </c>
      <c r="H19" s="1390" t="s">
        <v>1277</v>
      </c>
      <c r="I19" s="4175">
        <f ca="1">ROUND(C19*$C$18+D19*$D$18,4)</f>
        <v>5525</v>
      </c>
      <c r="K19" s="191" t="s">
        <v>1278</v>
      </c>
      <c r="L19" s="4176">
        <f>IF(C1="",'数据-汇总表'!D3,SUMIF(项目类型,C1,'数据-汇总表'!D17:D26)+SUMIF(项目类型,C1,'数据-汇总表'!H17:H27))</f>
        <v>15789.4</v>
      </c>
      <c r="M19" s="4176">
        <f>IF(C1="",'数据-汇总表'!D3,SUMIF(项目类型,C1,'数据-汇总表'!D17:D26))</f>
        <v>15789.4</v>
      </c>
    </row>
    <row r="20" spans="1:36" ht="15">
      <c r="A20" s="1391"/>
      <c r="B20" s="744" t="s">
        <v>1279</v>
      </c>
      <c r="C20" s="4167">
        <f ca="1">SUMIF(INDIRECT("'"&amp;C4&amp;"'"&amp;"!A:A"),结果表!B20,INDIRECT("'"&amp;C4&amp;"'"&amp;"!B:B"))</f>
        <v>5148</v>
      </c>
      <c r="D20" s="4168">
        <f ca="1">SUMIF(INDIRECT("'"&amp;D4&amp;"'"&amp;"!A:A"),结果表!B20,INDIRECT("'"&amp;D4&amp;"'"&amp;"!B:B"))</f>
        <v>4855</v>
      </c>
      <c r="E20" s="1391"/>
      <c r="F20" s="744" t="s">
        <v>1279</v>
      </c>
      <c r="G20" s="4173">
        <f ca="1">ROUND(C20*$C$18+D20*$D$18,0)</f>
        <v>5002</v>
      </c>
      <c r="H20" s="586" t="s">
        <v>1280</v>
      </c>
      <c r="I20" s="51"/>
    </row>
    <row r="21" spans="1:36" ht="15" customHeight="1" thickBot="1">
      <c r="A21" s="592"/>
      <c r="B21" s="3862" t="s">
        <v>3680</v>
      </c>
      <c r="C21" s="4169">
        <f ca="1">SUMIF(INDIRECT("'"&amp;C4&amp;"'"&amp;"!A:A"),结果表!B21,INDIRECT("'"&amp;C4&amp;"'"&amp;"!B:B"))</f>
        <v>0</v>
      </c>
      <c r="D21" s="4170">
        <f ca="1">SUMIF(INDIRECT("'"&amp;D4&amp;"'"&amp;"!A:A"),结果表!B21,INDIRECT("'"&amp;D4&amp;"'"&amp;"!B:B"))</f>
        <v>0</v>
      </c>
      <c r="E21" s="1391"/>
      <c r="F21" s="841" t="s">
        <v>1281</v>
      </c>
      <c r="G21" s="4173">
        <f ca="1">ROUND(C21*$C$18+D21*$D$18,0)</f>
        <v>0</v>
      </c>
      <c r="H21" s="586" t="s">
        <v>1280</v>
      </c>
      <c r="I21" s="51"/>
    </row>
    <row r="22" spans="1:36" ht="15" thickBot="1">
      <c r="A22" s="1321" t="s">
        <v>1282</v>
      </c>
      <c r="B22" s="1392"/>
      <c r="C22" s="2918"/>
      <c r="D22" s="4171">
        <f ca="1">IF(C19&lt;D19,D19/C19-1,C19/D19-1)</f>
        <v>6.0413947417490288E-2</v>
      </c>
      <c r="E22" s="3853"/>
      <c r="F22" s="3855"/>
      <c r="G22" s="4174">
        <f ca="1">ROUND(G19/('数据-汇总表'!D3/666.67),0)</f>
        <v>233</v>
      </c>
      <c r="H22" s="3854" t="s">
        <v>3678</v>
      </c>
      <c r="I22" s="51"/>
    </row>
    <row r="23" spans="1:36" ht="13.5" thickBot="1">
      <c r="A23" s="1375"/>
      <c r="B23" s="1375"/>
      <c r="C23" s="1375"/>
      <c r="D23" s="1375"/>
      <c r="E23" s="51"/>
      <c r="F23" s="51"/>
      <c r="G23" s="51"/>
      <c r="H23" s="51"/>
      <c r="I23" s="51"/>
    </row>
    <row r="24" spans="1:36" ht="14.25">
      <c r="A24" s="4681" t="s">
        <v>1283</v>
      </c>
      <c r="B24" s="1389" t="s">
        <v>1275</v>
      </c>
      <c r="C24" s="4172">
        <f>IF(B30=0,0,D30)</f>
        <v>0</v>
      </c>
      <c r="D24" s="4177"/>
      <c r="E24" s="51"/>
      <c r="F24" s="51"/>
      <c r="G24" s="51"/>
      <c r="H24" s="51"/>
      <c r="I24" s="51"/>
    </row>
    <row r="25" spans="1:36" ht="14.25">
      <c r="A25" s="4682"/>
      <c r="B25" s="3863" t="s">
        <v>3681</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2048</v>
      </c>
      <c r="F30" s="51"/>
      <c r="G30" s="51"/>
      <c r="H30" s="51"/>
      <c r="I30" s="51"/>
    </row>
    <row r="31" spans="1:36" s="1862" customFormat="1" ht="26.45" customHeight="1" thickTop="1" thickBot="1">
      <c r="A31" s="1857"/>
      <c r="B31" s="1858"/>
      <c r="C31" s="1858"/>
      <c r="D31" s="1858"/>
      <c r="E31" s="1858"/>
      <c r="F31" s="1858"/>
      <c r="G31" s="1858"/>
      <c r="H31" s="1858"/>
      <c r="I31" s="1859" t="s">
        <v>2049</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5525</v>
      </c>
      <c r="D32" s="1397" t="s">
        <v>3883</v>
      </c>
      <c r="E32" s="51"/>
      <c r="F32" s="51"/>
      <c r="G32" s="51"/>
      <c r="H32" s="51"/>
      <c r="I32" s="51"/>
    </row>
    <row r="33" spans="1:19" ht="15">
      <c r="A33" s="573" t="s">
        <v>1290</v>
      </c>
      <c r="B33" s="1398"/>
      <c r="C33" s="1399" t="s">
        <v>3884</v>
      </c>
      <c r="D33" s="1400" t="s">
        <v>3882</v>
      </c>
      <c r="E33" s="1401" t="s">
        <v>1291</v>
      </c>
      <c r="F33" s="1402" t="str">
        <f>IF(D32="楼面单价","取值（单价）","取值（总价）")</f>
        <v>取值（总价）</v>
      </c>
      <c r="G33" s="51"/>
      <c r="H33" s="51"/>
      <c r="I33" s="51"/>
    </row>
    <row r="34" spans="1:19" ht="15">
      <c r="A34" s="1403"/>
      <c r="B34" s="1404" t="s">
        <v>1292</v>
      </c>
      <c r="C34" s="4184">
        <f ca="1">IF(C33="自定义",F34,C32-C35)</f>
        <v>2387</v>
      </c>
      <c r="D34" s="4185">
        <f ca="1">IF(C33="自定义",ROUND(C34/C32,3),IF(C33="收益比率",SUMIF(INDIRECT("'"&amp;D33&amp;"'"&amp;"!b:b"),"土地收益比率",INDIRECT("'"&amp;D33&amp;"'"&amp;"!c:c")),SUMIF(INDIRECT("'"&amp;D33&amp;"'"&amp;"!b:b"),"土地成本比率",INDIRECT("'"&amp;D33&amp;"'"&amp;"!c:c"))))</f>
        <v>0.43200000000000005</v>
      </c>
      <c r="E34" s="1405" t="s">
        <v>1293</v>
      </c>
      <c r="F34" s="4187"/>
      <c r="G34" s="51"/>
      <c r="H34" s="51"/>
      <c r="I34" s="51"/>
    </row>
    <row r="35" spans="1:19" ht="15.75" thickBot="1">
      <c r="A35" s="1406"/>
      <c r="B35" s="1407" t="s">
        <v>1294</v>
      </c>
      <c r="C35" s="4186">
        <f ca="1">IF(C33="自定义",F35,ROUND(C32*D35,0))</f>
        <v>3138</v>
      </c>
      <c r="D35" s="4170">
        <f ca="1">IF(C33="自定义",ROUND(C35/C32,3),IF(C33="收益比率",SUMIF(INDIRECT("'"&amp;D33&amp;"'"&amp;"!b:b"),"建筑物收益比率",INDIRECT("'"&amp;D33&amp;"'"&amp;"!c:c")),SUMIF(INDIRECT("'"&amp;D33&amp;"'"&amp;"!b:b"),"建筑物成本比率",INDIRECT("'"&amp;D33&amp;"'"&amp;"!c:c"))))</f>
        <v>0.56799999999999995</v>
      </c>
      <c r="E35" s="1408" t="s">
        <v>1295</v>
      </c>
      <c r="F35" s="4188"/>
      <c r="G35" s="51"/>
      <c r="H35" s="51"/>
      <c r="I35" s="51"/>
    </row>
    <row r="36" spans="1:19" ht="15.75" thickBot="1">
      <c r="A36" s="4639" t="s">
        <v>1296</v>
      </c>
      <c r="B36" s="1409" t="s">
        <v>1297</v>
      </c>
      <c r="C36" s="4189"/>
      <c r="D36" s="1410"/>
      <c r="E36" s="1411"/>
      <c r="F36" s="1412"/>
      <c r="G36" s="51"/>
      <c r="H36" s="51"/>
      <c r="I36" s="51"/>
    </row>
    <row r="37" spans="1:19" ht="15.75" thickBot="1">
      <c r="A37" s="4640"/>
      <c r="B37" s="1307" t="s">
        <v>1298</v>
      </c>
      <c r="C37" s="4190"/>
      <c r="D37" s="839"/>
      <c r="E37" s="839"/>
      <c r="F37" s="1412"/>
      <c r="G37" s="51"/>
      <c r="H37" s="51"/>
      <c r="I37" s="51"/>
    </row>
    <row r="38" spans="1:19" ht="15.75" thickBot="1">
      <c r="A38" s="4641"/>
      <c r="B38" s="1413" t="s">
        <v>1299</v>
      </c>
      <c r="C38" s="4191"/>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78" t="s">
        <v>1310</v>
      </c>
      <c r="B45" s="4679"/>
      <c r="C45" s="4680"/>
      <c r="D45" s="4197">
        <f ca="1">ROUND(H101*F45,0)</f>
        <v>5525</v>
      </c>
      <c r="E45" s="61" t="s">
        <v>1311</v>
      </c>
      <c r="F45" s="62">
        <v>1</v>
      </c>
      <c r="G45" s="63" t="s">
        <v>1312</v>
      </c>
      <c r="H45" s="51"/>
      <c r="I45" s="51"/>
      <c r="J45" s="4570" t="s">
        <v>1313</v>
      </c>
      <c r="K45" s="4570"/>
      <c r="L45" s="4570"/>
      <c r="M45" s="4570"/>
      <c r="N45" s="4570"/>
      <c r="O45" s="4570"/>
    </row>
    <row r="46" spans="1:19" ht="14.25" customHeight="1">
      <c r="A46" s="4675" t="s">
        <v>1314</v>
      </c>
      <c r="B46" s="4676"/>
      <c r="C46" s="4676"/>
      <c r="D46" s="4676"/>
      <c r="E46" s="4676"/>
      <c r="F46" s="4676"/>
      <c r="G46" s="4677"/>
      <c r="H46" s="1428"/>
      <c r="I46" s="64"/>
      <c r="J46" s="2056">
        <v>1</v>
      </c>
      <c r="K46" s="4571" t="s">
        <v>1315</v>
      </c>
      <c r="L46" s="4571"/>
      <c r="M46" s="4572"/>
      <c r="N46" s="4572"/>
      <c r="O46" s="4572"/>
    </row>
    <row r="47" spans="1:19" ht="12" customHeight="1">
      <c r="A47" s="65" t="s">
        <v>1316</v>
      </c>
      <c r="B47" s="66"/>
      <c r="C47" s="67"/>
      <c r="D47" s="796" t="s">
        <v>1317</v>
      </c>
      <c r="E47" s="191" t="s">
        <v>1318</v>
      </c>
      <c r="F47" s="68" t="s">
        <v>1319</v>
      </c>
      <c r="G47" s="2071" t="s">
        <v>1320</v>
      </c>
      <c r="H47" s="2072"/>
      <c r="I47" s="64"/>
      <c r="J47" s="2056">
        <v>2</v>
      </c>
      <c r="K47" s="4571" t="s">
        <v>1321</v>
      </c>
      <c r="L47" s="4571"/>
      <c r="M47" s="4573">
        <f>'数据-取费表'!B2</f>
        <v>46041</v>
      </c>
      <c r="N47" s="4573"/>
      <c r="O47" s="4573"/>
    </row>
    <row r="48" spans="1:19" ht="25.5">
      <c r="A48" s="4642" t="s">
        <v>1322</v>
      </c>
      <c r="B48" s="4643"/>
      <c r="C48" s="4643"/>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571" t="s">
        <v>1324</v>
      </c>
      <c r="L48" s="4571"/>
      <c r="M48" s="4574">
        <f ca="1">H101</f>
        <v>5525</v>
      </c>
      <c r="N48" s="4574"/>
      <c r="O48" s="4574"/>
      <c r="R48" s="3881" t="s">
        <v>3695</v>
      </c>
      <c r="S48" s="3882"/>
    </row>
    <row r="49" spans="1:35" ht="25.5" customHeight="1">
      <c r="A49" s="4052" t="s">
        <v>1325</v>
      </c>
      <c r="B49" s="4625" t="s">
        <v>1326</v>
      </c>
      <c r="C49" s="4625"/>
      <c r="D49" s="4199">
        <v>0</v>
      </c>
      <c r="E49" s="212" t="s">
        <v>1327</v>
      </c>
      <c r="F49" s="4043" t="s">
        <v>26</v>
      </c>
      <c r="G49" s="4608"/>
      <c r="H49" s="3874" t="s">
        <v>2050</v>
      </c>
      <c r="I49" s="3875"/>
      <c r="J49" s="2056">
        <v>4</v>
      </c>
      <c r="K49" s="4571" t="str">
        <f>IF(项目基本情况!E8="房地产抵押价值","房地产抵押价值","抵押担保权已注销时的房地产抵押价值")</f>
        <v>房地产抵押价值</v>
      </c>
      <c r="L49" s="4571"/>
      <c r="M49" s="4574">
        <f ca="1">IF(项目基本情况!E8="房地产抵押价值",H107,H109)</f>
        <v>5525</v>
      </c>
      <c r="N49" s="4574"/>
      <c r="O49" s="4574"/>
      <c r="R49" s="3883" t="s">
        <v>3696</v>
      </c>
      <c r="S49" s="3881" t="s">
        <v>3697</v>
      </c>
    </row>
    <row r="50" spans="1:35" ht="25.5" customHeight="1">
      <c r="A50" s="4053"/>
      <c r="B50" s="4625" t="s">
        <v>1328</v>
      </c>
      <c r="C50" s="4625"/>
      <c r="D50" s="4200"/>
      <c r="E50" s="220"/>
      <c r="F50" s="4043"/>
      <c r="G50" s="4609"/>
      <c r="H50" s="3876" t="s">
        <v>2051</v>
      </c>
      <c r="I50" s="3875"/>
      <c r="J50" s="4570" t="s">
        <v>1329</v>
      </c>
      <c r="K50" s="4570"/>
      <c r="L50" s="4570"/>
      <c r="M50" s="4570"/>
      <c r="N50" s="4570"/>
      <c r="O50" s="4570"/>
      <c r="R50" s="3883" t="s">
        <v>3698</v>
      </c>
      <c r="S50" s="3881" t="s">
        <v>3699</v>
      </c>
    </row>
    <row r="51" spans="1:35" ht="20.45" customHeight="1">
      <c r="A51" s="4054"/>
      <c r="B51" s="4625" t="s">
        <v>1330</v>
      </c>
      <c r="C51" s="4625"/>
      <c r="D51" s="4201"/>
      <c r="E51" s="215"/>
      <c r="F51" s="4043"/>
      <c r="G51" s="4610"/>
      <c r="H51" s="3876" t="s">
        <v>2052</v>
      </c>
      <c r="I51" s="3875"/>
      <c r="J51" s="2057" t="s">
        <v>1331</v>
      </c>
      <c r="K51" s="4571" t="s">
        <v>1332</v>
      </c>
      <c r="L51" s="4571"/>
      <c r="M51" s="2057" t="s">
        <v>1333</v>
      </c>
      <c r="N51" s="2057" t="s">
        <v>1334</v>
      </c>
      <c r="O51" s="2057" t="s">
        <v>1335</v>
      </c>
      <c r="R51" s="3883" t="s">
        <v>3700</v>
      </c>
      <c r="S51" s="3882" t="s">
        <v>3701</v>
      </c>
    </row>
    <row r="52" spans="1:35" ht="24" customHeight="1">
      <c r="A52" s="4044" t="s">
        <v>1336</v>
      </c>
      <c r="B52" s="4625" t="s">
        <v>1337</v>
      </c>
      <c r="C52" s="4625"/>
      <c r="D52" s="4201">
        <f ca="1">ROUND(D45*F52/(1+F52),0)</f>
        <v>161</v>
      </c>
      <c r="E52" s="4045" t="s">
        <v>1338</v>
      </c>
      <c r="F52" s="2075">
        <v>0.03</v>
      </c>
      <c r="G52" s="986" t="s">
        <v>3744</v>
      </c>
      <c r="H52" s="2069"/>
      <c r="I52" s="1429"/>
      <c r="J52" s="2056">
        <v>1</v>
      </c>
      <c r="K52" s="4603" t="s">
        <v>1339</v>
      </c>
      <c r="L52" s="4603"/>
      <c r="M52" s="4203">
        <f>D48</f>
        <v>0</v>
      </c>
      <c r="N52" s="2056" t="str">
        <f>E48</f>
        <v>销售额×税（费）率</v>
      </c>
      <c r="O52" s="4083">
        <f>F48</f>
        <v>0</v>
      </c>
      <c r="R52" s="3881" t="s">
        <v>3702</v>
      </c>
      <c r="S52" s="3881" t="s">
        <v>3706</v>
      </c>
    </row>
    <row r="53" spans="1:35" ht="12" customHeight="1">
      <c r="A53" s="4044" t="s">
        <v>1340</v>
      </c>
      <c r="B53" s="4626" t="s">
        <v>2207</v>
      </c>
      <c r="C53" s="4627"/>
      <c r="D53" s="4201">
        <f ca="1">IF(G53="2016年5月1日之前项目",ROUND(D45*F53/(1+F53),0),H63)</f>
        <v>456</v>
      </c>
      <c r="E53" s="4045" t="str">
        <f>IF(G53="2016年5月1日之前项目","全额计税","进销项计算")</f>
        <v>进销项计算</v>
      </c>
      <c r="F53" s="2075">
        <f>IF(G53="2016年5月1日之前项目",5%,9%)</f>
        <v>0.09</v>
      </c>
      <c r="G53" s="4154"/>
      <c r="H53" s="2069"/>
      <c r="I53" s="1429"/>
      <c r="J53" s="2056">
        <v>2</v>
      </c>
      <c r="K53" s="4603" t="s">
        <v>1341</v>
      </c>
      <c r="L53" s="4603"/>
      <c r="M53" s="4203">
        <f t="shared" ref="M53:O54" ca="1" si="0">D55</f>
        <v>3</v>
      </c>
      <c r="N53" s="2056" t="str">
        <f t="shared" si="0"/>
        <v>销售额×税（费）率</v>
      </c>
      <c r="O53" s="4083" t="str">
        <f t="shared" si="0"/>
        <v>免征</v>
      </c>
      <c r="R53" s="3881" t="s">
        <v>3703</v>
      </c>
      <c r="S53" s="3882" t="s">
        <v>3710</v>
      </c>
    </row>
    <row r="54" spans="1:35" ht="12" customHeight="1">
      <c r="A54" s="4044" t="s">
        <v>1342</v>
      </c>
      <c r="B54" s="4626" t="s">
        <v>2208</v>
      </c>
      <c r="C54" s="4627"/>
      <c r="D54" s="4201">
        <f ca="1">IF(G54="2016年5月1日之前项目",C68,H63)</f>
        <v>456</v>
      </c>
      <c r="E54" s="4066" t="str">
        <f>IF(G54="2016年5月1日之前项目","差额计税","进销项计算")</f>
        <v>进销项计算</v>
      </c>
      <c r="F54" s="2075">
        <f>IF(G54="2016年5月1日之前项目",5%,9%)</f>
        <v>0.09</v>
      </c>
      <c r="G54" s="4154"/>
      <c r="H54" s="2077"/>
      <c r="I54" s="1429"/>
      <c r="J54" s="2056">
        <v>3</v>
      </c>
      <c r="K54" s="4603" t="s">
        <v>1343</v>
      </c>
      <c r="L54" s="4603"/>
      <c r="M54" s="4203" t="e">
        <f t="shared" ca="1" si="0"/>
        <v>#VALUE!</v>
      </c>
      <c r="N54" s="2056" t="str">
        <f t="shared" si="0"/>
        <v>增值额×税（费）率</v>
      </c>
      <c r="O54" s="4084" t="str">
        <f t="shared" si="0"/>
        <v>免征</v>
      </c>
      <c r="P54" s="51"/>
      <c r="R54" s="3883" t="s">
        <v>3704</v>
      </c>
      <c r="S54" s="3882" t="s">
        <v>3707</v>
      </c>
    </row>
    <row r="55" spans="1:35" ht="24" customHeight="1">
      <c r="A55" s="4656" t="s">
        <v>1344</v>
      </c>
      <c r="B55" s="4643"/>
      <c r="C55" s="4643"/>
      <c r="D55" s="4198">
        <f ca="1">IF(H55="个人住宅",0,ROUND(D45*I55,0))</f>
        <v>3</v>
      </c>
      <c r="E55" s="4045" t="s">
        <v>1345</v>
      </c>
      <c r="F55" s="2075" t="str">
        <f>IF(H55="正常",I55,"免征")</f>
        <v>免征</v>
      </c>
      <c r="G55" s="2076"/>
      <c r="H55" s="2074"/>
      <c r="I55" s="69">
        <f>'数据-取费表'!B50</f>
        <v>5.0000000000000001E-4</v>
      </c>
      <c r="J55" s="2056">
        <f>IF(H59="非个人房产","",4)</f>
        <v>4</v>
      </c>
      <c r="K55" s="4603" t="str">
        <f>IF(H59="非个人房产","——","个人所得税")</f>
        <v>个人所得税</v>
      </c>
      <c r="L55" s="4603"/>
      <c r="M55" s="4204">
        <f ca="1">D59</f>
        <v>55</v>
      </c>
      <c r="N55" s="1628" t="str">
        <f>E59</f>
        <v>差额计税</v>
      </c>
      <c r="O55" s="4085">
        <f>F59</f>
        <v>0.01</v>
      </c>
      <c r="R55" s="3883" t="s">
        <v>3705</v>
      </c>
      <c r="S55" s="3882" t="s">
        <v>3708</v>
      </c>
    </row>
    <row r="56" spans="1:35" ht="24.75">
      <c r="A56" s="4656" t="s">
        <v>1346</v>
      </c>
      <c r="B56" s="4643"/>
      <c r="C56" s="4643"/>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577" t="str">
        <f>IF(项目基本情况!K6="上海银行","其他处置费用","")</f>
        <v/>
      </c>
      <c r="L56" s="4578"/>
      <c r="M56" s="4203" t="str">
        <f>IF(项目基本情况!K6="上海银行",M69,"")</f>
        <v/>
      </c>
      <c r="N56" s="4577" t="str">
        <f>IF(项目基本情况!K6="上海银行","包含处置中涉及的律师、诉讼、拍卖、评估等费用","")</f>
        <v/>
      </c>
      <c r="O56" s="4581"/>
      <c r="R56" s="3882"/>
      <c r="S56" s="3882" t="s">
        <v>3709</v>
      </c>
    </row>
    <row r="57" spans="1:35" ht="12.75">
      <c r="A57" s="1876" t="s">
        <v>1325</v>
      </c>
      <c r="B57" s="4626" t="s">
        <v>1349</v>
      </c>
      <c r="C57" s="4627"/>
      <c r="D57" s="4199">
        <v>0</v>
      </c>
      <c r="E57" s="212" t="s">
        <v>1327</v>
      </c>
      <c r="F57" s="191"/>
      <c r="G57" s="2076"/>
      <c r="H57" s="2080"/>
      <c r="I57" s="1430"/>
      <c r="J57" s="4603">
        <f>IF(AND(J55="",J56=""),4,IF(项目基本情况!K6="上海银行",结果表!J56+1,结果表!J55+1))</f>
        <v>5</v>
      </c>
      <c r="K57" s="4603" t="s">
        <v>1350</v>
      </c>
      <c r="L57" s="2058" t="s">
        <v>1351</v>
      </c>
      <c r="M57" s="2059"/>
      <c r="N57" s="4205">
        <f ca="1">SUMIF(M52:M56,"&lt;9e307")</f>
        <v>58</v>
      </c>
      <c r="O57" s="2060"/>
      <c r="P57" s="2172">
        <f ca="1">N57/M49</f>
        <v>1.0497737556561085E-2</v>
      </c>
      <c r="R57" s="4666" t="s">
        <v>3756</v>
      </c>
      <c r="S57" s="4667"/>
    </row>
    <row r="58" spans="1:35" ht="24.75">
      <c r="A58" s="1876" t="s">
        <v>1336</v>
      </c>
      <c r="B58" s="4626" t="s">
        <v>1352</v>
      </c>
      <c r="C58" s="4625"/>
      <c r="D58" s="4198">
        <f ca="1">IF(H58="转让取得",C81,C97)</f>
        <v>2464</v>
      </c>
      <c r="E58" s="4045" t="s">
        <v>1347</v>
      </c>
      <c r="F58" s="191" t="s">
        <v>26</v>
      </c>
      <c r="G58" s="2076"/>
      <c r="H58" s="2079"/>
      <c r="I58" s="1430"/>
      <c r="J58" s="4603"/>
      <c r="K58" s="4603"/>
      <c r="L58" s="2058" t="s">
        <v>1353</v>
      </c>
      <c r="M58" s="2061"/>
      <c r="N58" s="2062" t="str">
        <f ca="1">NUMBERSTRING(INT(N57*10000),2)&amp;"元整"</f>
        <v>伍拾捌万元整</v>
      </c>
      <c r="O58" s="2063"/>
      <c r="R58" s="4668"/>
      <c r="S58" s="4669"/>
    </row>
    <row r="59" spans="1:35" ht="24.75" thickBot="1">
      <c r="A59" s="4606" t="s">
        <v>1354</v>
      </c>
      <c r="B59" s="4607"/>
      <c r="C59" s="4607"/>
      <c r="D59" s="4202">
        <f ca="1">IF(H59="非个人房产","——",IF(H59="个人住宅（满五唯一有凭证）",0,IF(H59="个人其他（无凭证）",ROUND(D45/(1+'数据-取费表'!C43)*F59,0),ROUND(C67*F59,0))))</f>
        <v>55</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2053</v>
      </c>
      <c r="J59" s="4604">
        <f>J57+1</f>
        <v>6</v>
      </c>
      <c r="K59" s="4603" t="s">
        <v>1355</v>
      </c>
      <c r="L59" s="2056" t="s">
        <v>1351</v>
      </c>
      <c r="M59" s="2064"/>
      <c r="N59" s="2919">
        <f ca="1">M49-N57</f>
        <v>5467</v>
      </c>
      <c r="O59" s="2065"/>
      <c r="R59" s="3881" t="s">
        <v>3711</v>
      </c>
      <c r="S59" s="3881" t="s">
        <v>3712</v>
      </c>
    </row>
    <row r="60" spans="1:35" ht="12" customHeight="1" thickBot="1">
      <c r="A60" s="1431"/>
      <c r="B60" s="1375"/>
      <c r="C60" s="1375"/>
      <c r="D60" s="1375"/>
      <c r="E60" s="1222"/>
      <c r="F60" s="1430"/>
      <c r="G60" s="1430"/>
      <c r="H60" s="1432"/>
      <c r="I60" s="51"/>
      <c r="J60" s="4605"/>
      <c r="K60" s="4603"/>
      <c r="L60" s="2058" t="s">
        <v>1353</v>
      </c>
      <c r="M60" s="2061"/>
      <c r="N60" s="2920" t="str">
        <f ca="1">NUMBERSTRING(INT(N59*10000),2)&amp;"元整"</f>
        <v>伍仟肆佰陆拾柒万元整</v>
      </c>
      <c r="O60" s="2063"/>
      <c r="R60" s="3881" t="s">
        <v>3713</v>
      </c>
      <c r="S60" s="3881" t="s">
        <v>3755</v>
      </c>
    </row>
    <row r="61" spans="1:35" ht="14.25" thickBot="1">
      <c r="A61" s="4673" t="s">
        <v>3753</v>
      </c>
      <c r="B61" s="4674"/>
      <c r="C61" s="4674"/>
      <c r="D61" s="4674"/>
      <c r="E61" s="4074"/>
      <c r="F61" s="4663" t="s">
        <v>3754</v>
      </c>
      <c r="G61" s="4664"/>
      <c r="H61" s="4664"/>
      <c r="I61" s="4665"/>
      <c r="J61" s="4055">
        <f>J59+1</f>
        <v>7</v>
      </c>
      <c r="K61" s="4603" t="s">
        <v>1356</v>
      </c>
      <c r="L61" s="4603"/>
      <c r="M61" s="2066"/>
      <c r="N61" s="2921">
        <f ca="1">ROUND(N59*10000/'数据-汇总表'!E3,0)</f>
        <v>4949</v>
      </c>
      <c r="O61" s="2067"/>
    </row>
    <row r="62" spans="1:35" ht="13.5" customHeight="1">
      <c r="A62" s="4081" t="s">
        <v>3767</v>
      </c>
      <c r="B62" s="4082" t="s">
        <v>3768</v>
      </c>
      <c r="C62" s="4067" t="s">
        <v>3766</v>
      </c>
      <c r="D62" s="4068" t="s">
        <v>3757</v>
      </c>
      <c r="E62" s="4075" t="s">
        <v>3759</v>
      </c>
      <c r="F62" s="4087" t="s">
        <v>3769</v>
      </c>
      <c r="G62" s="4088" t="s">
        <v>3748</v>
      </c>
      <c r="H62" s="4089" t="s">
        <v>3770</v>
      </c>
      <c r="I62" s="4090" t="s">
        <v>3750</v>
      </c>
    </row>
    <row r="63" spans="1:35" ht="12.75">
      <c r="A63" s="75" t="s">
        <v>328</v>
      </c>
      <c r="B63" s="4077" t="s">
        <v>3761</v>
      </c>
      <c r="C63" s="4206">
        <f ca="1">ROUND(C64+C65,0)</f>
        <v>5525</v>
      </c>
      <c r="D63" s="4069"/>
      <c r="E63" s="4670" t="s">
        <v>3758</v>
      </c>
      <c r="F63" s="4044">
        <v>1</v>
      </c>
      <c r="G63" s="3100" t="s">
        <v>3745</v>
      </c>
      <c r="H63" s="4210">
        <f ca="1">H64-H66</f>
        <v>456</v>
      </c>
      <c r="I63" s="4091"/>
      <c r="J63" s="4579" t="s">
        <v>1360</v>
      </c>
      <c r="K63" s="980" t="s">
        <v>1361</v>
      </c>
      <c r="L63" s="4233">
        <f ca="1">IF(M49&gt;10000,M49*0.5%,IF(AND(M49&gt;1000,M49&lt;=10000),M49*1%,IF(AND(M49&gt;100,M49&lt;=1000),M49*3%,IF(AND(M49&gt;10,M49&lt;=100),M49*5%,M49*8%))))</f>
        <v>55.25</v>
      </c>
      <c r="M63" s="4176">
        <f ca="1">ROUND(L63,1)</f>
        <v>55.3</v>
      </c>
      <c r="N63" s="2068"/>
      <c r="Z63" s="1380"/>
      <c r="AI63" s="1381"/>
    </row>
    <row r="64" spans="1:35" ht="14.25" customHeight="1">
      <c r="A64" s="71" t="s">
        <v>323</v>
      </c>
      <c r="B64" s="4078" t="s">
        <v>3762</v>
      </c>
      <c r="C64" s="4207">
        <f ca="1">D45</f>
        <v>5525</v>
      </c>
      <c r="D64" s="4070"/>
      <c r="E64" s="4671"/>
      <c r="F64" s="4044">
        <v>2</v>
      </c>
      <c r="G64" s="3100" t="s">
        <v>3746</v>
      </c>
      <c r="H64" s="4210">
        <f ca="1">ROUND(H65*I64/(1+I64),0)</f>
        <v>456</v>
      </c>
      <c r="I64" s="4092">
        <v>0.09</v>
      </c>
      <c r="J64" s="4579"/>
      <c r="K64" s="980" t="s">
        <v>1362</v>
      </c>
      <c r="L64" s="4233">
        <f ca="1">IF(M49&gt;2000,M49*0.5%,IF(AND(M49&gt;1000,M49&lt;=2000),M49*0.6%,IF(AND(M49&gt;500,M49&lt;=1000),M49*0.7%,IF(AND(M49&gt;200,M49&lt;=500),M49*0.8%,IF(AND(M49&gt;100,M49&lt;=200),M49*0.9%,IF(AND(M49&gt;50,M49&lt;=100),M49*1%,IF(AND(M49&gt;20,M49&lt;=50),M49*1.5%,IF(AND(M49&gt;10,M49&lt;=20),M49*2%,IF(AND(M49&gt;1,M49&lt;=10),M49*2.5%)))))))))</f>
        <v>27.625</v>
      </c>
      <c r="M64" s="4176">
        <f t="shared" ref="M64:M65" ca="1" si="1">ROUND(L64,1)</f>
        <v>27.6</v>
      </c>
      <c r="N64" s="2069" t="s">
        <v>1363</v>
      </c>
      <c r="Z64" s="1380"/>
      <c r="AI64" s="1381"/>
    </row>
    <row r="65" spans="1:35" ht="14.25" customHeight="1">
      <c r="A65" s="71" t="s">
        <v>324</v>
      </c>
      <c r="B65" s="4078" t="s">
        <v>3763</v>
      </c>
      <c r="C65" s="4208"/>
      <c r="D65" s="4071"/>
      <c r="E65" s="4671"/>
      <c r="F65" s="71" t="s">
        <v>323</v>
      </c>
      <c r="G65" s="4093" t="s">
        <v>3749</v>
      </c>
      <c r="H65" s="4210">
        <f ca="1">D45</f>
        <v>5525</v>
      </c>
      <c r="I65" s="4091"/>
      <c r="J65" s="4579"/>
      <c r="K65" s="980" t="s">
        <v>1364</v>
      </c>
      <c r="L65" s="4233">
        <f ca="1">IF(M49&gt;1000,M49*0.1%,IF(AND(M49&gt;500,M49&lt;=1000),M49*0.5%,IF(AND(M49&gt;50,M49&lt;=500),M49*1%,IF(AND(M49&gt;1,M49&lt;=50),M49*1.5%))))</f>
        <v>5.5250000000000004</v>
      </c>
      <c r="M65" s="4176">
        <f t="shared" ca="1" si="1"/>
        <v>5.5</v>
      </c>
      <c r="N65" s="2069" t="s">
        <v>1363</v>
      </c>
      <c r="Z65" s="1380"/>
      <c r="AI65" s="1381"/>
    </row>
    <row r="66" spans="1:35" ht="14.25" customHeight="1">
      <c r="A66" s="75" t="s">
        <v>325</v>
      </c>
      <c r="B66" s="4079" t="s">
        <v>3764</v>
      </c>
      <c r="C66" s="4208"/>
      <c r="D66" s="4072"/>
      <c r="E66" s="4671"/>
      <c r="F66" s="4094">
        <v>3</v>
      </c>
      <c r="G66" s="3100" t="s">
        <v>3747</v>
      </c>
      <c r="H66" s="4176">
        <f>ROUND(H67*I67,0)+ROUND(H68*I68,0)</f>
        <v>0</v>
      </c>
      <c r="I66" s="4091"/>
      <c r="J66" s="4579"/>
      <c r="K66" s="980" t="s">
        <v>1365</v>
      </c>
      <c r="L66" s="4233">
        <f ca="1">M49*0.5%</f>
        <v>27.625</v>
      </c>
      <c r="M66" s="4176">
        <f ca="1">IF(L66&gt;0.5,0.5,ROUND(L66,0))</f>
        <v>0.5</v>
      </c>
      <c r="N66" s="2069" t="s">
        <v>1366</v>
      </c>
      <c r="Z66" s="1380"/>
      <c r="AI66" s="1381"/>
    </row>
    <row r="67" spans="1:35" ht="14.25" customHeight="1">
      <c r="A67" s="75" t="s">
        <v>326</v>
      </c>
      <c r="B67" s="4076" t="s">
        <v>3760</v>
      </c>
      <c r="C67" s="4207">
        <f ca="1">C63-C66</f>
        <v>5525</v>
      </c>
      <c r="D67" s="4071"/>
      <c r="E67" s="4671"/>
      <c r="F67" s="71" t="s">
        <v>323</v>
      </c>
      <c r="G67" s="4093" t="s">
        <v>3751</v>
      </c>
      <c r="H67" s="4211"/>
      <c r="I67" s="4092">
        <v>0.09</v>
      </c>
      <c r="J67" s="4579"/>
      <c r="K67" s="980" t="s">
        <v>1367</v>
      </c>
      <c r="L67" s="4233">
        <f ca="1">IF(M49&gt;=10000,(8.25+(M49-10000)*0.01%),IF(AND(M49&gt;=8000,M49&lt;10000),(7.85+(M49-8000)*0.02%),IF(AND(M49&gt;=5000,M49&lt;8000),(6.65+(M49-5000)*0.04%),IF(AND(M49&gt;=2000,M49&lt;5000),(4.25+(PM49-2000)*0.08%),IF(AND(M49&gt;=1000,M49&lt;2000),(2.75+(M49-1000)*0.15%),IF(AND(M49&gt;=100,M49&lt;1000),(0.5+(M49-100)*0.25%),IF(AND(M49&gt;0,M49&lt;100),M49*0.5%)))))))</f>
        <v>6.86</v>
      </c>
      <c r="M67" s="4176">
        <f ca="1">ROUND(L67*0.9,1)</f>
        <v>6.2</v>
      </c>
      <c r="N67" s="2068"/>
      <c r="Z67" s="1380"/>
      <c r="AI67" s="1381"/>
    </row>
    <row r="68" spans="1:35" ht="14.25" customHeight="1" thickBot="1">
      <c r="A68" s="77" t="s">
        <v>327</v>
      </c>
      <c r="B68" s="4080" t="s">
        <v>3765</v>
      </c>
      <c r="C68" s="4209">
        <f ca="1">IF(C67&lt;=0,0,ROUND(C67*D68,0))</f>
        <v>276</v>
      </c>
      <c r="D68" s="4073">
        <v>0.05</v>
      </c>
      <c r="E68" s="4672"/>
      <c r="F68" s="4086" t="s">
        <v>324</v>
      </c>
      <c r="G68" s="4095" t="s">
        <v>3752</v>
      </c>
      <c r="H68" s="4212"/>
      <c r="I68" s="4096">
        <v>0.06</v>
      </c>
      <c r="J68" s="4579"/>
      <c r="K68" s="980" t="s">
        <v>1368</v>
      </c>
      <c r="L68" s="4233">
        <f ca="1">IF(M49&gt;10000,M49*0.5%,IF(AND(M49&gt;5000,M49&lt;=10000),M49*1%,IF(AND(M49&gt;1000,M49&lt;=5000),M49*2%,IF(AND(M49&gt;200,M49&lt;=1000),M49*3%,M49*5%))))</f>
        <v>55.25</v>
      </c>
      <c r="M68" s="4176">
        <f ca="1">ROUND(L68,1)</f>
        <v>55.3</v>
      </c>
      <c r="N68" s="2068"/>
      <c r="Z68" s="1380"/>
      <c r="AI68" s="1381"/>
    </row>
    <row r="69" spans="1:35" s="1394" customFormat="1" ht="16.5" customHeight="1">
      <c r="A69" s="1433"/>
      <c r="B69" s="1434"/>
      <c r="C69" s="1435"/>
      <c r="D69" s="1436"/>
      <c r="E69" s="1437"/>
      <c r="F69" s="1222"/>
      <c r="G69" s="1222"/>
      <c r="H69" s="1221"/>
      <c r="I69" s="1375"/>
      <c r="J69" s="4580"/>
      <c r="K69" s="980" t="s">
        <v>1369</v>
      </c>
      <c r="L69" s="4233"/>
      <c r="M69" s="4176">
        <f ca="1">ROUND(SUM(M63:M68),0)</f>
        <v>150</v>
      </c>
      <c r="N69" s="2070">
        <f ca="1">M69/M49</f>
        <v>2.7149321266968326E-2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29" t="s">
        <v>1370</v>
      </c>
      <c r="B70" s="4630"/>
      <c r="C70" s="4630"/>
      <c r="D70" s="4630"/>
      <c r="E70" s="4630"/>
      <c r="F70" s="4630"/>
      <c r="G70" s="4630"/>
      <c r="H70" s="4630"/>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1" t="s">
        <v>1357</v>
      </c>
      <c r="B71" s="4622"/>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5069</v>
      </c>
      <c r="D72" s="4056">
        <v>0.09</v>
      </c>
      <c r="E72" s="4046" t="s">
        <v>3743</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608</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3743</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26" t="s">
        <v>1378</v>
      </c>
      <c r="F76" s="4625"/>
      <c r="G76" s="4625"/>
      <c r="H76" s="4628"/>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608</v>
      </c>
      <c r="D78" s="4062">
        <f>'数据-取费表'!B44</f>
        <v>0.12000000000000001</v>
      </c>
      <c r="E78" s="4618" t="s">
        <v>1382</v>
      </c>
      <c r="F78" s="4619"/>
      <c r="G78" s="4619"/>
      <c r="H78" s="4620"/>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4461</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7.3371710526315788</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2464</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29" t="s">
        <v>1386</v>
      </c>
      <c r="B83" s="4630"/>
      <c r="C83" s="4630"/>
      <c r="D83" s="4630"/>
      <c r="E83" s="4630"/>
      <c r="F83" s="4630"/>
      <c r="G83" s="4630"/>
      <c r="H83" s="4630"/>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1" t="s">
        <v>1357</v>
      </c>
      <c r="B84" s="4622"/>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5069</v>
      </c>
      <c r="D85" s="4056">
        <v>0.09</v>
      </c>
      <c r="E85" s="4046" t="s">
        <v>3743</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608</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3741</v>
      </c>
      <c r="I88" s="1443"/>
      <c r="J88" s="2054" t="s">
        <v>2204</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582" t="s">
        <v>2045</v>
      </c>
      <c r="H90" s="4583"/>
      <c r="I90" s="1443"/>
      <c r="J90" s="2054" t="s">
        <v>2205</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18" t="s">
        <v>1395</v>
      </c>
      <c r="F91" s="4619"/>
      <c r="G91" s="4619"/>
      <c r="H91" s="4049" t="s">
        <v>3739</v>
      </c>
      <c r="I91" s="4216"/>
      <c r="J91" s="1440" t="s">
        <v>3740</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18" t="s">
        <v>1398</v>
      </c>
      <c r="F92" s="4619"/>
      <c r="G92" s="4619"/>
      <c r="H92" s="4620"/>
      <c r="I92" s="1443"/>
      <c r="J92" s="2055" t="s">
        <v>2206</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608</v>
      </c>
      <c r="D93" s="4062">
        <f>'数据-取费表'!B44</f>
        <v>0.12000000000000001</v>
      </c>
      <c r="E93" s="4657" t="s">
        <v>3742</v>
      </c>
      <c r="F93" s="4619"/>
      <c r="G93" s="4619"/>
      <c r="H93" s="4620"/>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658" t="s">
        <v>1402</v>
      </c>
      <c r="F94" s="4659"/>
      <c r="G94" s="4659"/>
      <c r="H94" s="4660"/>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4461</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7.3371710526315788</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2464</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2" t="s">
        <v>1404</v>
      </c>
      <c r="B100" s="4563"/>
      <c r="C100" s="4563"/>
      <c r="D100" s="4584"/>
      <c r="E100" s="4563" t="s">
        <v>1405</v>
      </c>
      <c r="F100" s="4563"/>
      <c r="G100" s="4563"/>
      <c r="H100" s="4584"/>
      <c r="I100" s="51"/>
    </row>
    <row r="101" spans="1:35" ht="18.75" customHeight="1">
      <c r="A101" s="4611" t="s">
        <v>1406</v>
      </c>
      <c r="B101" s="4612"/>
      <c r="C101" s="2085" t="str">
        <f>C4</f>
        <v>成本法</v>
      </c>
      <c r="D101" s="2086" t="str">
        <f>D4</f>
        <v>收益法</v>
      </c>
      <c r="E101" s="4575" t="s">
        <v>1407</v>
      </c>
      <c r="F101" s="4576"/>
      <c r="G101" s="1447" t="s">
        <v>1408</v>
      </c>
      <c r="H101" s="4225">
        <f ca="1">H118</f>
        <v>5525</v>
      </c>
      <c r="I101" s="51"/>
    </row>
    <row r="102" spans="1:35" ht="18.75" customHeight="1">
      <c r="A102" s="4613" t="s">
        <v>1409</v>
      </c>
      <c r="B102" s="2084" t="s">
        <v>1408</v>
      </c>
      <c r="C102" s="4217">
        <f ca="1">C19</f>
        <v>5687</v>
      </c>
      <c r="D102" s="4218">
        <f ca="1">D19</f>
        <v>5363</v>
      </c>
      <c r="E102" s="4575"/>
      <c r="F102" s="4576"/>
      <c r="G102" s="1447" t="s">
        <v>1410</v>
      </c>
      <c r="H102" s="4226">
        <f ca="1">I118</f>
        <v>5002</v>
      </c>
      <c r="I102" s="51"/>
    </row>
    <row r="103" spans="1:35" ht="42.75" customHeight="1">
      <c r="A103" s="4613"/>
      <c r="B103" s="2084" t="s">
        <v>1410</v>
      </c>
      <c r="C103" s="4219">
        <f ca="1">C20</f>
        <v>5148</v>
      </c>
      <c r="D103" s="4220">
        <f ca="1">D20</f>
        <v>4855</v>
      </c>
      <c r="E103" s="4568" t="s">
        <v>1411</v>
      </c>
      <c r="F103" s="4569"/>
      <c r="G103" s="1448" t="s">
        <v>1412</v>
      </c>
      <c r="H103" s="4225">
        <f>IF(D36="正常操作",H104+H105+H106,H105+H106)</f>
        <v>0</v>
      </c>
      <c r="I103" s="51"/>
    </row>
    <row r="104" spans="1:35" ht="18.75" customHeight="1">
      <c r="A104" s="4613" t="s">
        <v>1413</v>
      </c>
      <c r="B104" s="2087" t="s">
        <v>1408</v>
      </c>
      <c r="C104" s="4221">
        <f ca="1">H118</f>
        <v>5525</v>
      </c>
      <c r="D104" s="4222"/>
      <c r="E104" s="1307" t="s">
        <v>1414</v>
      </c>
      <c r="F104" s="1303"/>
      <c r="G104" s="1448" t="s">
        <v>1412</v>
      </c>
      <c r="H104" s="4227">
        <f>IF(D36="同一抵押权人同一抵押物续贷",C36&amp;"（续贷，未扣减，详见特别提示）",C36)</f>
        <v>0</v>
      </c>
      <c r="I104" s="51"/>
    </row>
    <row r="105" spans="1:35" ht="18.75" customHeight="1" thickBot="1">
      <c r="A105" s="4623"/>
      <c r="B105" s="2088" t="s">
        <v>1410</v>
      </c>
      <c r="C105" s="4223">
        <f ca="1">I118</f>
        <v>5002</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0</v>
      </c>
      <c r="I106" s="51"/>
    </row>
    <row r="107" spans="1:35" ht="18.75" customHeight="1">
      <c r="A107" s="51"/>
      <c r="B107" s="51"/>
      <c r="C107" s="51"/>
      <c r="D107" s="51"/>
      <c r="E107" s="4614" t="str">
        <f>IF(项目基本情况!E8="已注销","——","3.房地产抵押价值")</f>
        <v>3.房地产抵押价值</v>
      </c>
      <c r="F107" s="4576"/>
      <c r="G107" s="1447" t="s">
        <v>1408</v>
      </c>
      <c r="H107" s="4225">
        <f ca="1">IF(E107="——","——",H101-H103)</f>
        <v>5525</v>
      </c>
      <c r="I107" s="51"/>
    </row>
    <row r="108" spans="1:35" ht="18.75" customHeight="1">
      <c r="A108" s="51"/>
      <c r="B108" s="51"/>
      <c r="C108" s="51"/>
      <c r="D108" s="51"/>
      <c r="E108" s="4614"/>
      <c r="F108" s="4576"/>
      <c r="G108" s="1447" t="s">
        <v>1410</v>
      </c>
      <c r="H108" s="4226">
        <f ca="1">IF(H107=H101,H102,ROUND(H107*10000/'数据-汇总表'!E3,0))</f>
        <v>5002</v>
      </c>
      <c r="I108" s="51"/>
    </row>
    <row r="109" spans="1:35" ht="18.75" customHeight="1">
      <c r="A109" s="51"/>
      <c r="B109" s="51"/>
      <c r="C109" s="51"/>
      <c r="D109" s="51"/>
      <c r="E109" s="4614" t="str">
        <f>IF(项目基本情况!E8="已注销及未注销","4.抵押担保权已注销时的房地产抵押价值",IF(项目基本情况!E8="已注销","3.抵押担保权已注销时的房地产抵押价值","——"))</f>
        <v>——</v>
      </c>
      <c r="F109" s="4576"/>
      <c r="G109" s="1447" t="s">
        <v>1408</v>
      </c>
      <c r="H109" s="4229" t="str">
        <f>IF(E109="——","——",H101-H105-H106)</f>
        <v>——</v>
      </c>
      <c r="I109" s="51"/>
    </row>
    <row r="110" spans="1:35" ht="18.75" customHeight="1">
      <c r="A110" s="51"/>
      <c r="B110" s="51"/>
      <c r="C110" s="51"/>
      <c r="D110" s="51"/>
      <c r="E110" s="4614"/>
      <c r="F110" s="4576"/>
      <c r="G110" s="1447" t="s">
        <v>1410</v>
      </c>
      <c r="H110" s="4226" t="str">
        <f>IF(H109="——","——",ROUND(H109*10000/'数据-汇总表'!E3,0))</f>
        <v>——</v>
      </c>
      <c r="I110" s="51"/>
    </row>
    <row r="111" spans="1:35" ht="18.75" customHeight="1">
      <c r="A111" s="51"/>
      <c r="B111" s="51"/>
      <c r="C111" s="51"/>
      <c r="D111" s="51"/>
      <c r="E111" s="4615" t="str">
        <f>IF(项目基本情况!E9="抵押净值",IF(OR(项目基本情况!E8="已注销",项目基本情况!E8="房地产抵押价值"),"4.抵押净值","5.抵押净值"),"——")</f>
        <v>——</v>
      </c>
      <c r="F111" s="4602"/>
      <c r="G111" s="1447" t="s">
        <v>1408</v>
      </c>
      <c r="H111" s="4225" t="str">
        <f>IF(E111="——","——",N59)</f>
        <v>——</v>
      </c>
      <c r="I111" s="51"/>
    </row>
    <row r="112" spans="1:35" ht="18.75" customHeight="1" thickBot="1">
      <c r="A112" s="51"/>
      <c r="B112" s="51"/>
      <c r="C112" s="51"/>
      <c r="D112" s="51"/>
      <c r="E112" s="4616"/>
      <c r="F112" s="4617"/>
      <c r="G112" s="1450" t="s">
        <v>1410</v>
      </c>
      <c r="H112" s="4170" t="str">
        <f>IF(E111="——","——",N61)</f>
        <v>——</v>
      </c>
      <c r="I112" s="51"/>
    </row>
    <row r="113" spans="1:27" ht="18.75" customHeight="1">
      <c r="A113" s="51"/>
      <c r="B113" s="51"/>
      <c r="C113" s="51"/>
      <c r="D113" s="51"/>
      <c r="E113" s="4624" t="s">
        <v>1416</v>
      </c>
      <c r="F113" s="4624"/>
      <c r="G113" s="4624"/>
      <c r="H113" s="4624"/>
      <c r="I113" s="51"/>
    </row>
    <row r="114" spans="1:27" ht="3.75" customHeight="1">
      <c r="A114" s="1375"/>
      <c r="B114" s="1375"/>
      <c r="C114" s="1375"/>
      <c r="D114" s="1375"/>
      <c r="E114" s="1431"/>
      <c r="F114" s="1431"/>
      <c r="G114" s="1431"/>
      <c r="H114" s="1431"/>
      <c r="I114" s="1375"/>
    </row>
    <row r="115" spans="1:27" ht="18.75" customHeight="1">
      <c r="A115" s="4635" t="s">
        <v>1418</v>
      </c>
      <c r="B115" s="4636"/>
      <c r="C115" s="4636"/>
      <c r="D115" s="4636"/>
      <c r="E115" s="4636"/>
      <c r="F115" s="4636"/>
      <c r="G115" s="4636"/>
      <c r="H115" s="4636"/>
      <c r="I115" s="4637"/>
    </row>
    <row r="116" spans="1:27" ht="27" customHeight="1">
      <c r="A116" s="4585" t="s">
        <v>1419</v>
      </c>
      <c r="B116" s="4589" t="s">
        <v>1420</v>
      </c>
      <c r="C116" s="4589" t="s">
        <v>1421</v>
      </c>
      <c r="D116" s="4600" t="s">
        <v>1422</v>
      </c>
      <c r="E116" s="4601"/>
      <c r="F116" s="4631"/>
      <c r="G116" s="4631"/>
      <c r="H116" s="4585" t="s">
        <v>1423</v>
      </c>
      <c r="I116" s="4585"/>
      <c r="K116" s="3464"/>
      <c r="L116" s="3465" t="s">
        <v>3531</v>
      </c>
      <c r="M116" s="3465" t="s">
        <v>3532</v>
      </c>
      <c r="N116" s="3465" t="s">
        <v>3533</v>
      </c>
    </row>
    <row r="117" spans="1:27" ht="18.75" customHeight="1">
      <c r="A117" s="4585"/>
      <c r="B117" s="4590"/>
      <c r="C117" s="4590"/>
      <c r="D117" s="1872" t="s">
        <v>1424</v>
      </c>
      <c r="E117" s="1872" t="s">
        <v>1425</v>
      </c>
      <c r="F117" s="1872" t="s">
        <v>1424</v>
      </c>
      <c r="G117" s="1872" t="s">
        <v>1426</v>
      </c>
      <c r="H117" s="1872" t="s">
        <v>1424</v>
      </c>
      <c r="I117" s="1872" t="s">
        <v>1426</v>
      </c>
      <c r="K117" s="3465" t="s">
        <v>3529</v>
      </c>
      <c r="L117" s="4230">
        <f ca="1">C34</f>
        <v>2387</v>
      </c>
      <c r="M117" s="4231">
        <f ca="1">C35</f>
        <v>3138</v>
      </c>
      <c r="N117" s="4231">
        <f ca="1">C32</f>
        <v>5525</v>
      </c>
    </row>
    <row r="118" spans="1:27" ht="24.75" customHeight="1">
      <c r="A118" s="2089" t="str">
        <f>项目基本情况!S2</f>
        <v>北京市房地产</v>
      </c>
      <c r="B118" s="2928">
        <f>M18</f>
        <v>11046.05</v>
      </c>
      <c r="C118" s="2928">
        <f>M19</f>
        <v>15789.4</v>
      </c>
      <c r="D118" s="2928">
        <f ca="1">ROUND(IF(D32="总价",L117,L119*B118/10000),0)</f>
        <v>2387</v>
      </c>
      <c r="E118" s="4152">
        <f ca="1">ROUND(IF(C33="自定义",IF(D32="楼面单价",L119,D118*10000/B118),I118-G118),0)</f>
        <v>2161</v>
      </c>
      <c r="F118" s="2928">
        <f ca="1">ROUND(IF(D32="总价",M117,M119*B118/10000),0)</f>
        <v>3138</v>
      </c>
      <c r="G118" s="4152">
        <f ca="1">ROUND(IF(D32="楼面单价",,F118*10000/B118),0)</f>
        <v>2841</v>
      </c>
      <c r="H118" s="2928">
        <f ca="1">ROUND(IF(D32="总价",C32,N119*B118/10000),4)</f>
        <v>5525</v>
      </c>
      <c r="I118" s="4152">
        <f ca="1">ROUND(IF(D32="楼面单价",C32,N117*10000/B118),0)</f>
        <v>5002</v>
      </c>
      <c r="K118" s="3464"/>
      <c r="L118" s="4232"/>
      <c r="M118" s="4232"/>
      <c r="N118" s="4232"/>
    </row>
    <row r="119" spans="1:27" ht="18.75" customHeight="1">
      <c r="A119" s="4585" t="s">
        <v>1427</v>
      </c>
      <c r="B119" s="4585"/>
      <c r="C119" s="4585"/>
      <c r="D119" s="4591" t="str">
        <f ca="1">NUMBERSTRING(INT(D118*10000),2)&amp;"元整"</f>
        <v>贰仟叁佰捌拾柒万元整</v>
      </c>
      <c r="E119" s="4592"/>
      <c r="F119" s="4591" t="str">
        <f ca="1">NUMBERSTRING(INT(F118*10000),2)&amp;"元整"</f>
        <v>叁仟壹佰叁拾捌万元整</v>
      </c>
      <c r="G119" s="4592"/>
      <c r="H119" s="4591" t="str">
        <f ca="1">NUMBERSTRING(INT(H118*10000),2)&amp;"元整"</f>
        <v>伍仟伍佰贰拾伍万元整</v>
      </c>
      <c r="I119" s="4592"/>
      <c r="K119" s="3465" t="s">
        <v>3530</v>
      </c>
      <c r="L119" s="4231">
        <f ca="1">C34</f>
        <v>2387</v>
      </c>
      <c r="M119" s="4231">
        <f ca="1">C35</f>
        <v>3138</v>
      </c>
      <c r="N119" s="4231">
        <f ca="1">C32</f>
        <v>5525</v>
      </c>
    </row>
    <row r="120" spans="1:27" ht="18.75" customHeight="1">
      <c r="A120" s="4593" t="str">
        <f>IF(项目基本情况!B9="房地产市场价值","",MID(E103,3,LEN(E103)-2))</f>
        <v>估价师知悉的法定优先受偿款</v>
      </c>
      <c r="B120" s="4594"/>
      <c r="C120" s="4595"/>
      <c r="D120" s="4586">
        <f>H103</f>
        <v>0</v>
      </c>
      <c r="E120" s="4587"/>
      <c r="F120" s="4587"/>
      <c r="G120" s="4587"/>
      <c r="H120" s="4587"/>
      <c r="I120" s="4588"/>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32" t="s">
        <v>1427</v>
      </c>
      <c r="B121" s="4633"/>
      <c r="C121" s="4634"/>
      <c r="D121" s="4596" t="str">
        <f>IF(D120=0,"零元整",NUMBERSTRING(INT(D120*10000),2)&amp;"元整")</f>
        <v>零元整</v>
      </c>
      <c r="E121" s="4597"/>
      <c r="F121" s="4597"/>
      <c r="G121" s="4597"/>
      <c r="H121" s="4597"/>
      <c r="I121" s="4598"/>
      <c r="AA121" s="529"/>
    </row>
    <row r="122" spans="1:27" ht="18.75" customHeight="1">
      <c r="A122" s="4602" t="str">
        <f>IF(项目基本情况!B9="房地产市场价值","",MID(E107,3,LEN(E107)-2))</f>
        <v>房地产抵押价值</v>
      </c>
      <c r="B122" s="4602"/>
      <c r="C122" s="4602"/>
      <c r="D122" s="4586">
        <f ca="1">H107</f>
        <v>5525</v>
      </c>
      <c r="E122" s="4587"/>
      <c r="F122" s="4587"/>
      <c r="G122" s="4587"/>
      <c r="H122" s="4587"/>
      <c r="I122" s="4588"/>
      <c r="AA122" s="529"/>
    </row>
    <row r="123" spans="1:27" ht="18.75" customHeight="1">
      <c r="A123" s="4585" t="s">
        <v>1427</v>
      </c>
      <c r="B123" s="4585"/>
      <c r="C123" s="4585"/>
      <c r="D123" s="4596" t="str">
        <f ca="1">NUMBERSTRING(INT(D122*10000),2)&amp;"元整"</f>
        <v>伍仟伍佰贰拾伍万元整</v>
      </c>
      <c r="E123" s="4597"/>
      <c r="F123" s="4597"/>
      <c r="G123" s="4597"/>
      <c r="H123" s="4597"/>
      <c r="I123" s="4598"/>
      <c r="AA123" s="529"/>
    </row>
    <row r="124" spans="1:27" ht="18.75" customHeight="1">
      <c r="A124" s="4602" t="str">
        <f>IF(项目基本情况!B9="房地产市场价值","",MID(E109,3,LEN(E109)-2))</f>
        <v/>
      </c>
      <c r="B124" s="4602"/>
      <c r="C124" s="4602"/>
      <c r="D124" s="4586" t="str">
        <f>H109</f>
        <v>——</v>
      </c>
      <c r="E124" s="4587"/>
      <c r="F124" s="4587"/>
      <c r="G124" s="4587"/>
      <c r="H124" s="4587"/>
      <c r="I124" s="4588"/>
      <c r="AA124" s="529"/>
    </row>
    <row r="125" spans="1:27" ht="18.75" customHeight="1">
      <c r="A125" s="4585" t="s">
        <v>1427</v>
      </c>
      <c r="B125" s="4585"/>
      <c r="C125" s="4585"/>
      <c r="D125" s="4596" t="e">
        <f>NUMBERSTRING(INT(D124*10000),2)&amp;"元整"</f>
        <v>#VALUE!</v>
      </c>
      <c r="E125" s="4597"/>
      <c r="F125" s="4597"/>
      <c r="G125" s="4597"/>
      <c r="H125" s="4597"/>
      <c r="I125" s="4598"/>
      <c r="AA125" s="529"/>
    </row>
    <row r="126" spans="1:27" ht="18.75" customHeight="1">
      <c r="A126" s="4602" t="str">
        <f>IF(项目基本情况!B9="房地产市场价值","",MID(E111,3,LEN(E111)-2))</f>
        <v/>
      </c>
      <c r="B126" s="4602"/>
      <c r="C126" s="4602"/>
      <c r="D126" s="4586" t="str">
        <f>H111</f>
        <v>——</v>
      </c>
      <c r="E126" s="4587"/>
      <c r="F126" s="4587"/>
      <c r="G126" s="4587"/>
      <c r="H126" s="4587"/>
      <c r="I126" s="4588"/>
      <c r="AA126" s="529"/>
    </row>
    <row r="127" spans="1:27" ht="18.75" customHeight="1">
      <c r="A127" s="4585" t="s">
        <v>1427</v>
      </c>
      <c r="B127" s="4585"/>
      <c r="C127" s="4585"/>
      <c r="D127" s="4596" t="e">
        <f>NUMBERSTRING(INT(D126*10000),2)&amp;"元整"</f>
        <v>#VALUE!</v>
      </c>
      <c r="E127" s="4597"/>
      <c r="F127" s="4597"/>
      <c r="G127" s="4597"/>
      <c r="H127" s="4597"/>
      <c r="I127" s="4598"/>
      <c r="AA127" s="529"/>
    </row>
    <row r="128" spans="1:27" ht="21.75" customHeight="1">
      <c r="A128" s="4599" t="s">
        <v>1428</v>
      </c>
      <c r="B128" s="4599"/>
      <c r="C128" s="4599"/>
      <c r="D128" s="4599"/>
      <c r="E128" s="4599"/>
      <c r="F128" s="4599"/>
      <c r="G128" s="4599"/>
      <c r="H128" s="4599"/>
      <c r="I128" s="4599"/>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c r="C1" s="3799"/>
      <c r="D1" s="98"/>
      <c r="E1" s="98"/>
      <c r="F1" s="98"/>
      <c r="G1" s="830">
        <f>MATCH(B1,'数据-取费表'!A6:A16,0)+5</f>
        <v>7</v>
      </c>
    </row>
    <row r="2" spans="1:9" s="100" customFormat="1" ht="15.75">
      <c r="A2" s="101" t="s">
        <v>1437</v>
      </c>
      <c r="B2" s="2850">
        <f ca="1">IF(C1="含税",E2+C33,E2+C32)</f>
        <v>5687</v>
      </c>
      <c r="C2" s="99" t="s">
        <v>1438</v>
      </c>
      <c r="D2" s="1473" t="s">
        <v>41</v>
      </c>
      <c r="E2" s="3893">
        <f ca="1">IF(D2="——",0,SUMIF(INDIRECT("'"&amp;G2&amp;"'"&amp;"!A:A"),"承租人权益价值",INDIRECT("'"&amp;G2&amp;"'"&amp;"!c:c")))</f>
        <v>0</v>
      </c>
      <c r="F2" s="1474" t="s">
        <v>1438</v>
      </c>
      <c r="G2" s="1475"/>
    </row>
    <row r="3" spans="1:9" s="100" customFormat="1" ht="16.5" thickBot="1">
      <c r="A3" s="103" t="s">
        <v>1439</v>
      </c>
      <c r="B3" s="2851">
        <f ca="1">ROUND(B2*10000/(IF(B1="",'数据-汇总表'!E3,INDIRECT("'数据-取费表'!k"&amp;$G$1))),0)</f>
        <v>5148</v>
      </c>
      <c r="C3" s="99" t="s">
        <v>1440</v>
      </c>
      <c r="D3" s="99"/>
      <c r="E3" s="2837"/>
      <c r="F3" s="99"/>
      <c r="G3" s="99"/>
    </row>
    <row r="4" spans="1:9" s="100" customFormat="1" ht="16.5" thickBot="1">
      <c r="A4" s="2897" t="s">
        <v>3352</v>
      </c>
      <c r="B4" s="2898" t="s">
        <v>3353</v>
      </c>
      <c r="C4" s="2834" t="s">
        <v>3354</v>
      </c>
      <c r="D4" s="2871" t="s">
        <v>3360</v>
      </c>
      <c r="E4" s="2872" t="s">
        <v>3361</v>
      </c>
      <c r="F4" s="2872" t="s">
        <v>3362</v>
      </c>
      <c r="G4" s="2835" t="s">
        <v>3355</v>
      </c>
    </row>
    <row r="5" spans="1:9" s="108" customFormat="1" ht="15.75">
      <c r="A5" s="2873" t="s">
        <v>3351</v>
      </c>
      <c r="B5" s="2874" t="s">
        <v>3356</v>
      </c>
      <c r="C5" s="2847">
        <f ca="1">ROUND((C6+C9+C21+C24+C25+C28)/(1-F22-C26-C29),0)</f>
        <v>6598</v>
      </c>
      <c r="D5" s="2875"/>
      <c r="E5" s="2875"/>
      <c r="F5" s="2875"/>
      <c r="G5" s="3048" t="s">
        <v>3518</v>
      </c>
    </row>
    <row r="6" spans="1:9" s="2861" customFormat="1" ht="15">
      <c r="A6" s="2839" t="s">
        <v>3363</v>
      </c>
      <c r="B6" s="2901" t="s">
        <v>3364</v>
      </c>
      <c r="C6" s="2876">
        <f>C7+C8</f>
        <v>1900</v>
      </c>
      <c r="D6" s="2838"/>
      <c r="E6" s="2838"/>
      <c r="F6" s="2838"/>
      <c r="G6" s="2877"/>
    </row>
    <row r="7" spans="1:9" s="114" customFormat="1">
      <c r="A7" s="2878" t="s">
        <v>1447</v>
      </c>
      <c r="B7" s="2902" t="s">
        <v>1448</v>
      </c>
      <c r="C7" s="3433">
        <f>基准地价修正!E33</f>
        <v>1844</v>
      </c>
      <c r="D7" s="2879"/>
      <c r="E7" s="2880"/>
      <c r="F7" s="2880"/>
      <c r="G7" s="161"/>
    </row>
    <row r="8" spans="1:9" s="114" customFormat="1">
      <c r="A8" s="2878" t="s">
        <v>1449</v>
      </c>
      <c r="B8" s="2902" t="s">
        <v>1450</v>
      </c>
      <c r="C8" s="2849">
        <f>ROUND(C7*F8,0)</f>
        <v>56</v>
      </c>
      <c r="D8" s="149"/>
      <c r="E8" s="2880"/>
      <c r="F8" s="2881">
        <f>IF(项目基本情况!B8="出让",0,'数据-取费表'!B49+'数据-取费表'!B50)</f>
        <v>3.0499999999999999E-2</v>
      </c>
      <c r="G8" s="161"/>
    </row>
    <row r="9" spans="1:9" s="2861" customFormat="1" ht="15">
      <c r="A9" s="2882" t="s">
        <v>336</v>
      </c>
      <c r="B9" s="2903" t="s">
        <v>3309</v>
      </c>
      <c r="C9" s="2862">
        <f ca="1">C10+C11+C12+C13+C19+C20</f>
        <v>3896</v>
      </c>
      <c r="D9" s="2883"/>
      <c r="E9" s="2884"/>
      <c r="F9" s="2885"/>
      <c r="G9" s="2886"/>
      <c r="I9" s="114"/>
    </row>
    <row r="10" spans="1:9" s="114" customFormat="1">
      <c r="A10" s="2904" t="s">
        <v>344</v>
      </c>
      <c r="B10" s="2905" t="s">
        <v>3345</v>
      </c>
      <c r="C10" s="2849">
        <f ca="1">IF(B1="",IF(F10=100%,'数据-取费表'!M16,'数据-取费表'!O16),IF(F10=100%,INDIRECT("'数据-取费表'!m"&amp;$G$1)+INDIRECT("'数据-取费表'!t"&amp;$G$1),INDIRECT("'数据-取费表'!o"&amp;$G$1)+INDIRECT("'数据-取费表'!aq"&amp;$G$1)))</f>
        <v>3040</v>
      </c>
      <c r="D10" s="2879"/>
      <c r="E10" s="149"/>
      <c r="F10" s="2887">
        <f ca="1">IF('数据-取费表'!B24=0,1,IF(B1="",'数据-取费表'!N16,INDIRECT("'数据-取费表'!n"&amp;$G$1)))</f>
        <v>1</v>
      </c>
      <c r="G10" s="161" t="s">
        <v>1475</v>
      </c>
    </row>
    <row r="11" spans="1:9" s="114" customFormat="1">
      <c r="A11" s="2904" t="s">
        <v>349</v>
      </c>
      <c r="B11" s="2905" t="s">
        <v>3346</v>
      </c>
      <c r="C11" s="2849">
        <f ca="1">ROUND(C10*F11,0)</f>
        <v>182</v>
      </c>
      <c r="D11" s="149"/>
      <c r="E11" s="149"/>
      <c r="F11" s="2860">
        <f>'数据-取费表'!B33</f>
        <v>0.06</v>
      </c>
      <c r="G11" s="3889" t="s">
        <v>3728</v>
      </c>
    </row>
    <row r="12" spans="1:9" s="114" customFormat="1">
      <c r="A12" s="2904" t="s">
        <v>350</v>
      </c>
      <c r="B12" s="2905" t="s">
        <v>3347</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3310</v>
      </c>
      <c r="B13" s="2905" t="s">
        <v>3348</v>
      </c>
      <c r="C13" s="2849">
        <f ca="1">C14+C17+C18</f>
        <v>552</v>
      </c>
      <c r="D13" s="149"/>
      <c r="E13" s="2880"/>
      <c r="F13" s="2881"/>
      <c r="G13" s="161"/>
    </row>
    <row r="14" spans="1:9" s="123" customFormat="1">
      <c r="A14" s="2832" t="s">
        <v>3311</v>
      </c>
      <c r="B14" s="2906" t="s">
        <v>3344</v>
      </c>
      <c r="C14" s="2849">
        <f ca="1">IF(G14="已包含在土地购买价格中","0",IF(B1="",'数据-取费表'!B29,IF(G15="全部缴纳",C15+C16,H15)))</f>
        <v>221</v>
      </c>
      <c r="D14" s="2888"/>
      <c r="E14" s="149"/>
      <c r="F14" s="2881"/>
      <c r="G14" s="1476" t="s">
        <v>3874</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0</v>
      </c>
      <c r="F15" s="2881"/>
      <c r="G15" s="1477" t="s">
        <v>3875</v>
      </c>
      <c r="H15" s="838"/>
      <c r="I15" s="1478" t="s">
        <v>1454</v>
      </c>
    </row>
    <row r="16" spans="1:9" s="114" customFormat="1">
      <c r="A16" s="2907" t="s">
        <v>354</v>
      </c>
      <c r="B16" s="2908" t="s">
        <v>1455</v>
      </c>
      <c r="C16" s="2889">
        <f ca="1">ROUND(D16*E16/10000,0)</f>
        <v>221</v>
      </c>
      <c r="D16" s="2889">
        <f ca="1">IF(B1="",'数据-汇总表'!E6,IF(INDIRECT("'数据-取费表'!c"&amp;$G$1)="住宅",INDIRECT("'数据-取费表'!s"&amp;$G$1),INDIRECT("'数据-取费表'!k"&amp;$G$1)+INDIRECT("'数据-取费表'!s"&amp;$G$1)))</f>
        <v>11046.05</v>
      </c>
      <c r="E16" s="2889">
        <f>'数据-取费表'!B28</f>
        <v>200</v>
      </c>
      <c r="F16" s="2881"/>
      <c r="G16" s="126"/>
    </row>
    <row r="17" spans="1:7" s="114" customFormat="1">
      <c r="A17" s="2832" t="s">
        <v>3312</v>
      </c>
      <c r="B17" s="2909" t="s">
        <v>3317</v>
      </c>
      <c r="C17" s="2849" t="str">
        <f>IF(G17="已包含在土地取得成本中","0",ROUND(D17*E17/10000,0))</f>
        <v>0</v>
      </c>
      <c r="D17" s="2890">
        <f ca="1">D15+D16</f>
        <v>11046.05</v>
      </c>
      <c r="E17" s="2890">
        <f>'数据-取费表'!B31</f>
        <v>200</v>
      </c>
      <c r="F17" s="2857"/>
      <c r="G17" s="1476" t="s">
        <v>3876</v>
      </c>
    </row>
    <row r="18" spans="1:7" s="114" customFormat="1">
      <c r="A18" s="2910" t="s">
        <v>3313</v>
      </c>
      <c r="B18" s="2909" t="s">
        <v>1480</v>
      </c>
      <c r="C18" s="2849">
        <f ca="1">ROUND(E18*D18*F10/10000,0)</f>
        <v>331</v>
      </c>
      <c r="D18" s="2849">
        <f ca="1">D17</f>
        <v>11046.05</v>
      </c>
      <c r="E18" s="2849">
        <f>'数据-取费表'!B35</f>
        <v>300</v>
      </c>
      <c r="F18" s="2860"/>
      <c r="G18" s="161" t="s">
        <v>1481</v>
      </c>
    </row>
    <row r="19" spans="1:7" s="114" customFormat="1">
      <c r="A19" s="2904" t="s">
        <v>352</v>
      </c>
      <c r="B19" s="2905" t="s">
        <v>3349</v>
      </c>
      <c r="C19" s="2849">
        <f ca="1">ROUND(C10*F19,0)</f>
        <v>61</v>
      </c>
      <c r="D19" s="149"/>
      <c r="E19" s="149"/>
      <c r="F19" s="2860">
        <f>'数据-取费表'!B36</f>
        <v>0.02</v>
      </c>
      <c r="G19" s="161" t="s">
        <v>1477</v>
      </c>
    </row>
    <row r="20" spans="1:7" s="114" customFormat="1">
      <c r="A20" s="2904" t="s">
        <v>3314</v>
      </c>
      <c r="B20" s="2905" t="s">
        <v>3350</v>
      </c>
      <c r="C20" s="2849">
        <f ca="1">ROUND(C10*F20,0)</f>
        <v>61</v>
      </c>
      <c r="D20" s="2891"/>
      <c r="E20" s="145"/>
      <c r="F20" s="2860">
        <f>'数据-取费表'!B37</f>
        <v>0.02</v>
      </c>
      <c r="G20" s="161" t="s">
        <v>1477</v>
      </c>
    </row>
    <row r="21" spans="1:7" s="2861" customFormat="1" ht="15">
      <c r="A21" s="2839" t="s">
        <v>3365</v>
      </c>
      <c r="B21" s="2901" t="s">
        <v>3366</v>
      </c>
      <c r="C21" s="2862">
        <f ca="1">ROUND((C6+C9)*F21,0)</f>
        <v>116</v>
      </c>
      <c r="D21" s="2863"/>
      <c r="E21" s="2863"/>
      <c r="F21" s="2867">
        <f>'数据-取费表'!B38</f>
        <v>0.02</v>
      </c>
      <c r="G21" s="2864" t="s">
        <v>3367</v>
      </c>
    </row>
    <row r="22" spans="1:7" s="2861" customFormat="1" ht="15">
      <c r="A22" s="2839" t="s">
        <v>3368</v>
      </c>
      <c r="B22" s="2901" t="s">
        <v>3369</v>
      </c>
      <c r="C22" s="2865" t="str">
        <f>F22&amp;"V"</f>
        <v>0.02V</v>
      </c>
      <c r="D22" s="303"/>
      <c r="E22" s="2863"/>
      <c r="F22" s="2867">
        <f>'数据-取费表'!B39</f>
        <v>0.02</v>
      </c>
      <c r="G22" s="4047" t="s">
        <v>3730</v>
      </c>
    </row>
    <row r="23" spans="1:7" s="2861" customFormat="1" ht="15">
      <c r="A23" s="2839" t="s">
        <v>3370</v>
      </c>
      <c r="B23" s="2903" t="s">
        <v>3318</v>
      </c>
      <c r="C23" s="2840" t="str">
        <f ca="1">SUM(C24:C25)&amp;"+"&amp;C26&amp;"V"</f>
        <v>247+0.0006V</v>
      </c>
      <c r="D23" s="2866"/>
      <c r="E23" s="303"/>
      <c r="F23" s="2867">
        <f ca="1">'数据-取费表'!B41</f>
        <v>3.1300000000000001E-2</v>
      </c>
      <c r="G23" s="2864" t="str">
        <f>IF('数据-取费表'!B22&lt;=1,"单利计息","复利计息")</f>
        <v>复利计息</v>
      </c>
    </row>
    <row r="24" spans="1:7" s="114" customFormat="1">
      <c r="A24" s="2911" t="s">
        <v>1457</v>
      </c>
      <c r="B24" s="2909" t="s">
        <v>1458</v>
      </c>
      <c r="C24" s="2855">
        <f ca="1">ROUND(IF('数据-取费表'!B22&lt;=1,C6*F23*'数据-取费表'!B23,C6*(POWER((1+F23),'数据-取费表'!B23)-1)),0)</f>
        <v>121</v>
      </c>
      <c r="D24" s="138"/>
      <c r="E24" s="138"/>
      <c r="F24" s="2856"/>
      <c r="G24" s="140" t="s">
        <v>1459</v>
      </c>
    </row>
    <row r="25" spans="1:7" s="114" customFormat="1">
      <c r="A25" s="2911" t="s">
        <v>1460</v>
      </c>
      <c r="B25" s="2909" t="s">
        <v>3319</v>
      </c>
      <c r="C25" s="2855">
        <f ca="1">ROUND(IF('数据-取费表'!B22&lt;=1,(C9+C21)*F23*'数据-取费表'!B23/2,(C9+C21)*(POWER((1+F23),'数据-取费表'!B23/2)-1)),0)</f>
        <v>126</v>
      </c>
      <c r="D25" s="138"/>
      <c r="E25" s="138"/>
      <c r="F25" s="2856"/>
      <c r="G25" s="140" t="s">
        <v>1461</v>
      </c>
    </row>
    <row r="26" spans="1:7" s="114" customFormat="1">
      <c r="A26" s="2911" t="s">
        <v>348</v>
      </c>
      <c r="B26" s="2909" t="s">
        <v>1462</v>
      </c>
      <c r="C26" s="2852">
        <f ca="1">ROUND(IF('数据-取费表'!B22&lt;=1,F22*F23*'数据-取费表'!B23/2,F22*(POWER((1+F23),'数据-取费表'!B23/2)-1)),4)</f>
        <v>5.9999999999999995E-4</v>
      </c>
      <c r="D26" s="138"/>
      <c r="E26" s="141"/>
      <c r="F26" s="2856"/>
      <c r="G26" s="143"/>
    </row>
    <row r="27" spans="1:7" s="2861" customFormat="1" ht="15">
      <c r="A27" s="2839" t="s">
        <v>3371</v>
      </c>
      <c r="B27" s="2903" t="s">
        <v>3320</v>
      </c>
      <c r="C27" s="2868" t="str">
        <f ca="1">C28&amp;"+"&amp;C29&amp;"V"</f>
        <v>296+0.001V</v>
      </c>
      <c r="D27" s="2866"/>
      <c r="E27" s="303"/>
      <c r="F27" s="2869">
        <f ca="1">IF(B1="",'数据-取费表'!Q16,INDIRECT("'数据-取费表'!q"&amp;$G$1))</f>
        <v>0.05</v>
      </c>
      <c r="G27" s="2864" t="s">
        <v>3372</v>
      </c>
    </row>
    <row r="28" spans="1:7" s="114" customFormat="1">
      <c r="A28" s="2904" t="s">
        <v>344</v>
      </c>
      <c r="B28" s="2909" t="s">
        <v>1467</v>
      </c>
      <c r="C28" s="2833">
        <f ca="1">ROUND(C6*F27*'数据-取费表'!B23/'数据-取费表'!B22+(C9+C21)*F27,0)</f>
        <v>296</v>
      </c>
      <c r="D28" s="135"/>
      <c r="E28" s="136"/>
      <c r="F28" s="2857"/>
      <c r="G28" s="3463" t="s">
        <v>3528</v>
      </c>
    </row>
    <row r="29" spans="1:7" s="114" customFormat="1">
      <c r="A29" s="2904" t="s">
        <v>345</v>
      </c>
      <c r="B29" s="2909" t="s">
        <v>1468</v>
      </c>
      <c r="C29" s="2852">
        <f ca="1">ROUND(F22*F27,4)</f>
        <v>1E-3</v>
      </c>
      <c r="D29" s="135"/>
      <c r="E29" s="136"/>
      <c r="F29" s="2857"/>
      <c r="G29" s="147"/>
    </row>
    <row r="30" spans="1:7" s="2861" customFormat="1" ht="15">
      <c r="A30" s="2839" t="s">
        <v>3373</v>
      </c>
      <c r="B30" s="2901" t="s">
        <v>3374</v>
      </c>
      <c r="C30" s="2862">
        <v>0</v>
      </c>
      <c r="D30" s="303"/>
      <c r="E30" s="2841"/>
      <c r="F30" s="2867"/>
      <c r="G30" s="2870" t="s">
        <v>3321</v>
      </c>
    </row>
    <row r="31" spans="1:7" s="114" customFormat="1" ht="15.75">
      <c r="A31" s="2912">
        <v>2</v>
      </c>
      <c r="B31" s="2913" t="s">
        <v>3322</v>
      </c>
      <c r="C31" s="2853">
        <f ca="1">C57</f>
        <v>911</v>
      </c>
      <c r="D31" s="2843"/>
      <c r="E31" s="2843"/>
      <c r="F31" s="2858">
        <f>IF('数据-取费表'!B24=0,'数据-取费表'!N16,1)</f>
        <v>0.78</v>
      </c>
      <c r="G31" s="2844" t="s">
        <v>3358</v>
      </c>
    </row>
    <row r="32" spans="1:7" s="114" customFormat="1" ht="15.75">
      <c r="A32" s="2831" t="s">
        <v>3323</v>
      </c>
      <c r="B32" s="2830" t="s">
        <v>3324</v>
      </c>
      <c r="C32" s="2853">
        <f ca="1">C5-C31</f>
        <v>5687</v>
      </c>
      <c r="D32" s="2843"/>
      <c r="E32" s="2843"/>
      <c r="F32" s="2842"/>
      <c r="G32" s="2845" t="s">
        <v>3357</v>
      </c>
    </row>
    <row r="33" spans="1:7" s="114" customFormat="1" ht="16.5" thickBot="1">
      <c r="A33" s="2914">
        <v>4</v>
      </c>
      <c r="B33" s="2915" t="s">
        <v>3359</v>
      </c>
      <c r="C33" s="2854">
        <f ca="1">ROUND(C32*(1+F33),0)</f>
        <v>6199</v>
      </c>
      <c r="D33" s="2846"/>
      <c r="E33" s="2846"/>
      <c r="F33" s="2859">
        <f>IF(G33="其他类型公式—成本价值×（1+9%）",9%,3%)</f>
        <v>0.09</v>
      </c>
      <c r="G33" s="4048" t="s">
        <v>3738</v>
      </c>
    </row>
    <row r="34" spans="1:7" s="123" customFormat="1"/>
    <row r="35" spans="1:7" s="114" customFormat="1"/>
    <row r="36" spans="1:7" s="114" customFormat="1"/>
    <row r="37" spans="1:7" s="114" customFormat="1"/>
    <row r="38" spans="1:7" ht="15.75" thickBot="1">
      <c r="A38" s="3141" t="s">
        <v>3325</v>
      </c>
      <c r="B38" s="3142"/>
      <c r="C38" s="3142"/>
      <c r="D38" s="3142"/>
      <c r="E38" s="3142"/>
      <c r="F38" s="3142"/>
      <c r="G38" s="3143"/>
    </row>
    <row r="39" spans="1:7" ht="15.75" thickBot="1">
      <c r="A39" s="3144" t="s">
        <v>3352</v>
      </c>
      <c r="B39" s="3145" t="s">
        <v>3353</v>
      </c>
      <c r="C39" s="3146" t="s">
        <v>3354</v>
      </c>
      <c r="D39" s="3147" t="s">
        <v>3498</v>
      </c>
      <c r="E39" s="3148" t="s">
        <v>3499</v>
      </c>
      <c r="F39" s="3148" t="s">
        <v>3500</v>
      </c>
      <c r="G39" s="3149" t="s">
        <v>3355</v>
      </c>
    </row>
    <row r="40" spans="1:7" ht="15">
      <c r="A40" s="3150" t="s">
        <v>3501</v>
      </c>
      <c r="B40" s="3151" t="s">
        <v>3326</v>
      </c>
      <c r="C40" s="3152">
        <f ca="1">SUM(C41:C46)</f>
        <v>3675</v>
      </c>
      <c r="D40" s="3150"/>
      <c r="E40" s="3150"/>
      <c r="F40" s="3150"/>
      <c r="G40" s="3150"/>
    </row>
    <row r="41" spans="1:7" ht="15.75">
      <c r="A41" s="2896" t="s">
        <v>3327</v>
      </c>
      <c r="B41" s="2971" t="str">
        <f t="shared" ref="B41:C43" si="0">B10</f>
        <v xml:space="preserve">  建安费用</v>
      </c>
      <c r="C41" s="2828">
        <f t="shared" ca="1" si="0"/>
        <v>3040</v>
      </c>
      <c r="D41" s="2823"/>
      <c r="E41" s="2823"/>
      <c r="F41" s="2824"/>
      <c r="G41" s="2824"/>
    </row>
    <row r="42" spans="1:7" ht="15.75">
      <c r="A42" s="2896" t="s">
        <v>3328</v>
      </c>
      <c r="B42" s="2971" t="str">
        <f t="shared" si="0"/>
        <v xml:space="preserve">  前期费用</v>
      </c>
      <c r="C42" s="2828">
        <f t="shared" ca="1" si="0"/>
        <v>182</v>
      </c>
      <c r="D42" s="2823"/>
      <c r="E42" s="2823"/>
      <c r="F42" s="2824"/>
      <c r="G42" s="2824"/>
    </row>
    <row r="43" spans="1:7" ht="15.75">
      <c r="A43" s="2896" t="s">
        <v>3400</v>
      </c>
      <c r="B43" s="2900" t="str">
        <f t="shared" si="0"/>
        <v xml:space="preserve">  公共配套设施费用</v>
      </c>
      <c r="C43" s="2828">
        <f t="shared" ca="1" si="0"/>
        <v>0</v>
      </c>
      <c r="D43" s="2823"/>
      <c r="E43" s="2823"/>
      <c r="F43" s="2824"/>
      <c r="G43" s="2824"/>
    </row>
    <row r="44" spans="1:7" ht="15.75">
      <c r="A44" s="2896" t="s">
        <v>3310</v>
      </c>
      <c r="B44" s="2900" t="str">
        <f>B18</f>
        <v>红线内市政费用</v>
      </c>
      <c r="C44" s="2828">
        <f ca="1">C18</f>
        <v>331</v>
      </c>
      <c r="D44" s="2823"/>
      <c r="E44" s="2823"/>
      <c r="F44" s="2824"/>
      <c r="G44" s="2824"/>
    </row>
    <row r="45" spans="1:7" ht="15.75">
      <c r="A45" s="2911" t="s">
        <v>3329</v>
      </c>
      <c r="B45" s="2906" t="str">
        <f>B19</f>
        <v xml:space="preserve">  其他工程费</v>
      </c>
      <c r="C45" s="2833">
        <f ca="1">C19</f>
        <v>61</v>
      </c>
      <c r="D45" s="2969"/>
      <c r="E45" s="2969"/>
      <c r="F45" s="2970"/>
      <c r="G45" s="2970"/>
    </row>
    <row r="46" spans="1:7" ht="15.75">
      <c r="A46" s="2911" t="s">
        <v>3399</v>
      </c>
      <c r="B46" s="2906" t="s">
        <v>3330</v>
      </c>
      <c r="C46" s="2833">
        <f ca="1">C20</f>
        <v>61</v>
      </c>
      <c r="D46" s="2969"/>
      <c r="E46" s="2969"/>
      <c r="F46" s="2970"/>
      <c r="G46" s="2970"/>
    </row>
    <row r="47" spans="1:7" ht="15">
      <c r="A47" s="2972" t="s">
        <v>3502</v>
      </c>
      <c r="B47" s="2973" t="s">
        <v>3503</v>
      </c>
      <c r="C47" s="2974">
        <f ca="1">ROUND(C40*F47,0)</f>
        <v>74</v>
      </c>
      <c r="D47" s="2975"/>
      <c r="E47" s="2975"/>
      <c r="F47" s="2976">
        <f>F21</f>
        <v>0.02</v>
      </c>
      <c r="G47" s="2977" t="s">
        <v>3504</v>
      </c>
    </row>
    <row r="48" spans="1:7"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117+0.0006V建1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117</v>
      </c>
      <c r="D50" s="1109"/>
      <c r="E50" s="1109"/>
      <c r="F50" s="1092"/>
      <c r="G50" s="4683" t="s">
        <v>3343</v>
      </c>
    </row>
    <row r="51" spans="1:7">
      <c r="A51" s="2896" t="s">
        <v>3328</v>
      </c>
      <c r="B51" s="2900" t="s">
        <v>3333</v>
      </c>
      <c r="C51" s="2997">
        <f ca="1">ROUND(IF('数据-取费表'!B22&lt;=1,F48*F23*'数据-取费表'!B22/2,F48*(POWER((1+F23),'数据-取费表'!B22/2)-1)),4)</f>
        <v>5.9999999999999995E-4</v>
      </c>
      <c r="D51" s="1109"/>
      <c r="E51" s="1109"/>
      <c r="F51" s="1092"/>
      <c r="G51" s="4684"/>
    </row>
    <row r="52" spans="1:7" ht="15">
      <c r="A52" s="2972" t="s">
        <v>3509</v>
      </c>
      <c r="B52" s="2981" t="s">
        <v>3334</v>
      </c>
      <c r="C52" s="2982" t="str">
        <f ca="1">C53&amp;"+"&amp;C54&amp;"V建1"</f>
        <v>187+0.001V建1</v>
      </c>
      <c r="D52" s="2983"/>
      <c r="E52" s="2975"/>
      <c r="F52" s="2984">
        <f ca="1">F27</f>
        <v>0.05</v>
      </c>
      <c r="G52" s="2985" t="s">
        <v>3510</v>
      </c>
    </row>
    <row r="53" spans="1:7">
      <c r="A53" s="2896" t="s">
        <v>3331</v>
      </c>
      <c r="B53" s="2899" t="s">
        <v>3335</v>
      </c>
      <c r="C53" s="2828">
        <f ca="1">ROUND((C40+C47)*F27,0)</f>
        <v>187</v>
      </c>
      <c r="D53" s="2829"/>
      <c r="E53" s="2825"/>
      <c r="F53" s="2826"/>
      <c r="G53" s="2827"/>
    </row>
    <row r="54" spans="1:7">
      <c r="A54" s="2896" t="s">
        <v>3332</v>
      </c>
      <c r="B54" s="2899" t="s">
        <v>3336</v>
      </c>
      <c r="C54" s="2895">
        <f ca="1">ROUND(F48*F27,4)</f>
        <v>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4142</v>
      </c>
      <c r="D56" s="303"/>
      <c r="E56" s="303"/>
      <c r="F56" s="2989"/>
      <c r="G56" s="2988" t="s">
        <v>3340</v>
      </c>
    </row>
    <row r="57" spans="1:7" ht="15">
      <c r="A57" s="2839" t="s">
        <v>3473</v>
      </c>
      <c r="B57" s="2990" t="s">
        <v>3337</v>
      </c>
      <c r="C57" s="2862">
        <f ca="1">ROUND(C56*(1-F57),0)</f>
        <v>911</v>
      </c>
      <c r="D57" s="303"/>
      <c r="E57" s="303"/>
      <c r="F57" s="2989">
        <f>F31</f>
        <v>0.78</v>
      </c>
      <c r="G57" s="2988" t="s">
        <v>3341</v>
      </c>
    </row>
    <row r="58" spans="1:7" ht="16.5">
      <c r="A58" s="2839" t="s">
        <v>3514</v>
      </c>
      <c r="B58" s="2986" t="s">
        <v>3515</v>
      </c>
      <c r="C58" s="2862">
        <f ca="1">C56-C57</f>
        <v>3231</v>
      </c>
      <c r="D58" s="303"/>
      <c r="E58" s="303"/>
      <c r="F58" s="2989"/>
      <c r="G58" s="2988" t="s">
        <v>3342</v>
      </c>
    </row>
    <row r="59" spans="1:7" ht="15">
      <c r="A59" s="2991" t="s">
        <v>3401</v>
      </c>
      <c r="B59" s="2992" t="s">
        <v>3338</v>
      </c>
      <c r="C59" s="2993">
        <f ca="1">ROUND(C58*(1+F59),0)</f>
        <v>3522</v>
      </c>
      <c r="D59" s="2994"/>
      <c r="E59" s="2994"/>
      <c r="F59" s="2995">
        <f>F33</f>
        <v>0.09</v>
      </c>
      <c r="G59" s="2994" t="s">
        <v>3516</v>
      </c>
    </row>
    <row r="60" spans="1:7" ht="14.25">
      <c r="A60" s="2821"/>
      <c r="B60" s="2822"/>
    </row>
    <row r="62" spans="1:7" ht="21" customHeight="1">
      <c r="B62" s="2892" t="s">
        <v>1507</v>
      </c>
      <c r="C62" s="171"/>
    </row>
    <row r="63" spans="1:7" ht="21" customHeight="1">
      <c r="B63" s="217" t="s">
        <v>789</v>
      </c>
      <c r="C63" s="2893">
        <f ca="1">1-C64</f>
        <v>0.43200000000000005</v>
      </c>
    </row>
    <row r="64" spans="1:7" ht="21" customHeight="1">
      <c r="B64" s="217" t="s">
        <v>790</v>
      </c>
      <c r="C64" s="2894">
        <f ca="1">ROUND(C58/C32,3)</f>
        <v>0.56799999999999995</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75" t="str">
        <f>项目基本情况!B1</f>
        <v>北京市房地产抵押价值预评估</v>
      </c>
      <c r="C37" s="4475"/>
      <c r="D37" s="4475"/>
      <c r="E37" s="4475"/>
      <c r="F37" s="4475"/>
      <c r="G37" s="4475"/>
      <c r="H37" s="4475"/>
      <c r="I37" s="4475"/>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c r="D1" s="1479" t="s">
        <v>1508</v>
      </c>
      <c r="E1" s="98"/>
      <c r="F1" s="98"/>
      <c r="G1" s="830">
        <f>MATCH(B1,'数据-取费表'!A6:A16,0)+5</f>
        <v>7</v>
      </c>
      <c r="H1" s="3432" t="str">
        <f>IF(ISERROR(FIND("住宅",B1)),"非住宅","住宅")</f>
        <v>非住宅</v>
      </c>
    </row>
    <row r="2" spans="1:10" s="100" customFormat="1" ht="15.75">
      <c r="A2" s="101" t="s">
        <v>1437</v>
      </c>
      <c r="B2" s="4234">
        <f ca="1">ROUND(D3/10000,4)</f>
        <v>3480.6106</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3151</v>
      </c>
      <c r="C3" s="99" t="s">
        <v>1440</v>
      </c>
      <c r="D3" s="99">
        <f ca="1">IF(C1="含税",E2+C33,E2+C32)</f>
        <v>34806106</v>
      </c>
      <c r="E3" s="2837"/>
      <c r="F3" s="99"/>
      <c r="G3" s="99"/>
    </row>
    <row r="4" spans="1:10" s="100" customFormat="1" ht="16.5" thickBot="1">
      <c r="A4" s="2897" t="s">
        <v>3352</v>
      </c>
      <c r="B4" s="2898" t="s">
        <v>3353</v>
      </c>
      <c r="C4" s="2834" t="s">
        <v>3354</v>
      </c>
      <c r="D4" s="2871" t="s">
        <v>3360</v>
      </c>
      <c r="E4" s="2872" t="s">
        <v>3361</v>
      </c>
      <c r="F4" s="2872" t="s">
        <v>3362</v>
      </c>
      <c r="G4" s="2835" t="s">
        <v>3355</v>
      </c>
    </row>
    <row r="5" spans="1:10" s="108" customFormat="1" ht="15.75">
      <c r="A5" s="2873" t="s">
        <v>3351</v>
      </c>
      <c r="B5" s="2874" t="s">
        <v>3356</v>
      </c>
      <c r="C5" s="2847">
        <f ca="1">ROUND((C6+C9+C21+C24+C25+C28)/(1-F22-C26-C29),0)</f>
        <v>43920725</v>
      </c>
      <c r="D5" s="2875"/>
      <c r="E5" s="2875"/>
      <c r="F5" s="2875"/>
      <c r="G5" s="3048" t="s">
        <v>3518</v>
      </c>
      <c r="J5" s="100"/>
    </row>
    <row r="6" spans="1:10" s="2861" customFormat="1" ht="15">
      <c r="A6" s="2839" t="s">
        <v>3363</v>
      </c>
      <c r="B6" s="2901" t="s">
        <v>3364</v>
      </c>
      <c r="C6" s="2876">
        <f>C7+C8</f>
        <v>0</v>
      </c>
      <c r="D6" s="2838"/>
      <c r="E6" s="2838"/>
      <c r="F6" s="2838"/>
      <c r="G6" s="2877"/>
      <c r="J6" s="100"/>
    </row>
    <row r="7" spans="1:10" s="114" customFormat="1" ht="15">
      <c r="A7" s="2878" t="s">
        <v>344</v>
      </c>
      <c r="B7" s="2902" t="s">
        <v>1448</v>
      </c>
      <c r="C7" s="3433"/>
      <c r="D7" s="2879"/>
      <c r="E7" s="2880"/>
      <c r="F7" s="2880"/>
      <c r="G7" s="161"/>
      <c r="J7" s="100"/>
    </row>
    <row r="8" spans="1:10" s="114" customFormat="1" ht="15">
      <c r="A8" s="2878" t="s">
        <v>345</v>
      </c>
      <c r="B8" s="2902" t="s">
        <v>1450</v>
      </c>
      <c r="C8" s="2849">
        <f>ROUND(C7*F8,0)</f>
        <v>0</v>
      </c>
      <c r="D8" s="149"/>
      <c r="E8" s="2880"/>
      <c r="F8" s="2881">
        <f>IF(项目基本情况!B8="出让",0,'数据-取费表'!B49+'数据-取费表'!B50)</f>
        <v>3.0499999999999999E-2</v>
      </c>
      <c r="G8" s="161"/>
      <c r="J8" s="100"/>
    </row>
    <row r="9" spans="1:10" s="2861" customFormat="1" ht="15">
      <c r="A9" s="2882" t="s">
        <v>336</v>
      </c>
      <c r="B9" s="2903" t="s">
        <v>3309</v>
      </c>
      <c r="C9" s="2862">
        <f ca="1">C10+C11+C12+C13+C19+C20</f>
        <v>38961850</v>
      </c>
      <c r="D9" s="2883"/>
      <c r="E9" s="2884"/>
      <c r="F9" s="2885"/>
      <c r="G9" s="2886"/>
      <c r="J9" s="100"/>
    </row>
    <row r="10" spans="1:10" s="114" customFormat="1" ht="15">
      <c r="A10" s="2904" t="s">
        <v>344</v>
      </c>
      <c r="B10" s="2905" t="s">
        <v>3345</v>
      </c>
      <c r="C10" s="2849">
        <f ca="1">ROUND(IF(B1="",SUMPRODUCT('数据-取费表'!K6:K14,'数据-取费表'!L6:L14),INDIRECT("'数据-取费表'!l"&amp;$G$1)*INDIRECT("'数据-取费表'!k"&amp;$G$1)+'数据-取费表'!L14*INDIRECT("'数据-取费表'!S"&amp;$G$1)),0)</f>
        <v>30398730</v>
      </c>
      <c r="D10" s="2879"/>
      <c r="E10" s="149"/>
      <c r="F10" s="2887">
        <f ca="1">IF('数据-取费表'!B24=0,1,IF(B1="",'数据-取费表'!N16,INDIRECT("'数据-取费表'!n"&amp;$G$1)))</f>
        <v>1</v>
      </c>
      <c r="G10" s="161" t="s">
        <v>1475</v>
      </c>
      <c r="J10" s="100"/>
    </row>
    <row r="11" spans="1:10" s="114" customFormat="1" ht="15">
      <c r="A11" s="2904" t="s">
        <v>349</v>
      </c>
      <c r="B11" s="2905" t="s">
        <v>3346</v>
      </c>
      <c r="C11" s="2849">
        <f ca="1">ROUND(C10*F11,0)</f>
        <v>1823924</v>
      </c>
      <c r="D11" s="149"/>
      <c r="E11" s="149"/>
      <c r="F11" s="2860">
        <f>'数据-取费表'!B33</f>
        <v>0.06</v>
      </c>
      <c r="G11" s="161" t="s">
        <v>1477</v>
      </c>
      <c r="J11" s="100"/>
    </row>
    <row r="12" spans="1:10" s="114" customFormat="1" ht="15">
      <c r="A12" s="2904" t="s">
        <v>350</v>
      </c>
      <c r="B12" s="2905" t="s">
        <v>3347</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3310</v>
      </c>
      <c r="B13" s="2905" t="s">
        <v>3348</v>
      </c>
      <c r="C13" s="2849">
        <f ca="1">C14+C17+C18</f>
        <v>5523246</v>
      </c>
      <c r="D13" s="149"/>
      <c r="E13" s="2880"/>
      <c r="F13" s="2881"/>
      <c r="G13" s="161"/>
      <c r="J13" s="100"/>
    </row>
    <row r="14" spans="1:10" s="123" customFormat="1" ht="15">
      <c r="A14" s="2832" t="s">
        <v>3311</v>
      </c>
      <c r="B14" s="2906" t="s">
        <v>3344</v>
      </c>
      <c r="C14" s="2849">
        <f ca="1">IF(G14="已包含在土地购买价格中","0",IF(B1="",'数据-取费表'!B29,IF(G15="全部缴纳",C15+C16,H15)))</f>
        <v>221</v>
      </c>
      <c r="D14" s="2888"/>
      <c r="E14" s="149"/>
      <c r="F14" s="2881"/>
      <c r="G14" s="1476"/>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0</v>
      </c>
      <c r="F15" s="2881"/>
      <c r="G15" s="1477"/>
      <c r="H15" s="838"/>
      <c r="I15" s="1478" t="s">
        <v>1454</v>
      </c>
      <c r="J15" s="100"/>
    </row>
    <row r="16" spans="1:10" s="114" customFormat="1" ht="15">
      <c r="A16" s="2907" t="s">
        <v>354</v>
      </c>
      <c r="B16" s="2908" t="s">
        <v>1455</v>
      </c>
      <c r="C16" s="2889">
        <f ca="1">ROUND(D16*E16,0)</f>
        <v>2209210</v>
      </c>
      <c r="D16" s="2889">
        <f ca="1">IF(B1="",'数据-汇总表'!E6,IF(INDIRECT("'数据-取费表'!c"&amp;$G$1)="住宅",INDIRECT("'数据-取费表'!s"&amp;$G$1),INDIRECT("'数据-取费表'!k"&amp;$G$1)+INDIRECT("'数据-取费表'!s"&amp;$G$1)))</f>
        <v>11046.05</v>
      </c>
      <c r="E16" s="2889">
        <f>'数据-取费表'!B28</f>
        <v>200</v>
      </c>
      <c r="F16" s="2881"/>
      <c r="G16" s="126"/>
      <c r="J16" s="100"/>
    </row>
    <row r="17" spans="1:10" s="114" customFormat="1" ht="15">
      <c r="A17" s="2832" t="s">
        <v>3312</v>
      </c>
      <c r="B17" s="2909" t="s">
        <v>3317</v>
      </c>
      <c r="C17" s="2849">
        <f ca="1">IF(G17="已包含在土地取得成本中","0",ROUND(D17*E17,0))</f>
        <v>2209210</v>
      </c>
      <c r="D17" s="2890">
        <f ca="1">D15+D16</f>
        <v>11046.05</v>
      </c>
      <c r="E17" s="2890">
        <f>'数据-取费表'!B31</f>
        <v>200</v>
      </c>
      <c r="F17" s="2857"/>
      <c r="G17" s="1476"/>
      <c r="J17" s="100"/>
    </row>
    <row r="18" spans="1:10" s="114" customFormat="1" ht="15">
      <c r="A18" s="2910" t="s">
        <v>3313</v>
      </c>
      <c r="B18" s="2909" t="s">
        <v>1480</v>
      </c>
      <c r="C18" s="2849">
        <f ca="1">ROUND(E18*D18*F10,0)</f>
        <v>3313815</v>
      </c>
      <c r="D18" s="2849">
        <f ca="1">D17</f>
        <v>11046.05</v>
      </c>
      <c r="E18" s="2849">
        <f>'数据-取费表'!B35</f>
        <v>300</v>
      </c>
      <c r="F18" s="2860"/>
      <c r="G18" s="161" t="s">
        <v>1481</v>
      </c>
      <c r="J18" s="100"/>
    </row>
    <row r="19" spans="1:10" s="114" customFormat="1" ht="15">
      <c r="A19" s="2904" t="s">
        <v>352</v>
      </c>
      <c r="B19" s="2905" t="s">
        <v>3349</v>
      </c>
      <c r="C19" s="2849">
        <f ca="1">ROUND(C10*F19,0)</f>
        <v>607975</v>
      </c>
      <c r="D19" s="149"/>
      <c r="E19" s="149"/>
      <c r="F19" s="2860">
        <f>'数据-取费表'!B36</f>
        <v>0.02</v>
      </c>
      <c r="G19" s="161" t="s">
        <v>1477</v>
      </c>
      <c r="J19" s="100"/>
    </row>
    <row r="20" spans="1:10" s="114" customFormat="1" ht="15">
      <c r="A20" s="2904" t="s">
        <v>3314</v>
      </c>
      <c r="B20" s="2905" t="s">
        <v>3350</v>
      </c>
      <c r="C20" s="2849">
        <f ca="1">ROUND(C10*F20,0)</f>
        <v>607975</v>
      </c>
      <c r="D20" s="2891"/>
      <c r="E20" s="145"/>
      <c r="F20" s="2860">
        <f>'数据-取费表'!B37</f>
        <v>0.02</v>
      </c>
      <c r="G20" s="161" t="s">
        <v>1477</v>
      </c>
      <c r="J20" s="100"/>
    </row>
    <row r="21" spans="1:10" s="2861" customFormat="1" ht="15">
      <c r="A21" s="2839" t="s">
        <v>3365</v>
      </c>
      <c r="B21" s="2901" t="s">
        <v>3366</v>
      </c>
      <c r="C21" s="2862">
        <f ca="1">ROUND((C6+C9)*F21,0)</f>
        <v>779237</v>
      </c>
      <c r="D21" s="2863"/>
      <c r="E21" s="2863"/>
      <c r="F21" s="2867">
        <f>'数据-取费表'!B38</f>
        <v>0.02</v>
      </c>
      <c r="G21" s="2864" t="s">
        <v>3367</v>
      </c>
      <c r="J21" s="100"/>
    </row>
    <row r="22" spans="1:10" s="2861" customFormat="1" ht="15">
      <c r="A22" s="2839" t="s">
        <v>3368</v>
      </c>
      <c r="B22" s="2901" t="s">
        <v>3369</v>
      </c>
      <c r="C22" s="2865" t="str">
        <f>F22&amp;"V"</f>
        <v>0.02V</v>
      </c>
      <c r="D22" s="303"/>
      <c r="E22" s="2863"/>
      <c r="F22" s="2867">
        <f>'数据-取费表'!B39</f>
        <v>0.02</v>
      </c>
      <c r="G22" s="4047" t="s">
        <v>3730</v>
      </c>
      <c r="J22" s="100"/>
    </row>
    <row r="23" spans="1:10" s="2861" customFormat="1" ht="15">
      <c r="A23" s="2839" t="s">
        <v>3370</v>
      </c>
      <c r="B23" s="2903" t="s">
        <v>3318</v>
      </c>
      <c r="C23" s="2840" t="str">
        <f ca="1">SUM(C24:C25)&amp;"+"&amp;C26&amp;"V"</f>
        <v>1243896+0.0006V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0</v>
      </c>
      <c r="D24" s="138"/>
      <c r="E24" s="138"/>
      <c r="F24" s="2856"/>
      <c r="G24" s="140" t="s">
        <v>1459</v>
      </c>
      <c r="J24" s="100"/>
    </row>
    <row r="25" spans="1:10" s="114" customFormat="1" ht="15">
      <c r="A25" s="2911" t="s">
        <v>345</v>
      </c>
      <c r="B25" s="2909" t="s">
        <v>3319</v>
      </c>
      <c r="C25" s="2855">
        <f ca="1">ROUND(IF('数据-取费表'!B22&lt;=1,(C9+C21)*F23*'数据-取费表'!B23/2,(C9+C21)*(POWER((1+F23),'数据-取费表'!B23/2)-1)),0)</f>
        <v>1243896</v>
      </c>
      <c r="D25" s="138"/>
      <c r="E25" s="138"/>
      <c r="F25" s="2856"/>
      <c r="G25" s="140" t="s">
        <v>1461</v>
      </c>
      <c r="J25" s="100"/>
    </row>
    <row r="26" spans="1:10" s="114" customFormat="1" ht="15">
      <c r="A26" s="2911" t="s">
        <v>348</v>
      </c>
      <c r="B26" s="2909" t="s">
        <v>1462</v>
      </c>
      <c r="C26" s="2852">
        <f ca="1">ROUND(IF('数据-取费表'!B22&lt;=1,F22*F23*'数据-取费表'!B23/2,F22*(POWER((1+F23),'数据-取费表'!B23/2)-1)),4)</f>
        <v>5.9999999999999995E-4</v>
      </c>
      <c r="D26" s="138"/>
      <c r="E26" s="141"/>
      <c r="F26" s="2856"/>
      <c r="G26" s="143"/>
      <c r="J26" s="100"/>
    </row>
    <row r="27" spans="1:10" s="2861" customFormat="1" ht="15">
      <c r="A27" s="2839" t="s">
        <v>3371</v>
      </c>
      <c r="B27" s="2903" t="s">
        <v>3320</v>
      </c>
      <c r="C27" s="2868" t="str">
        <f ca="1">C28&amp;"+"&amp;C29&amp;"V"</f>
        <v>1987054+0.001V</v>
      </c>
      <c r="D27" s="2866"/>
      <c r="E27" s="303"/>
      <c r="F27" s="2869">
        <f ca="1">IF(B1="",'数据-取费表'!Q16,INDIRECT("'数据-取费表'!q"&amp;$G$1))</f>
        <v>0.05</v>
      </c>
      <c r="G27" s="2864" t="s">
        <v>3372</v>
      </c>
      <c r="J27" s="100"/>
    </row>
    <row r="28" spans="1:10" s="114" customFormat="1" ht="15">
      <c r="A28" s="2904" t="s">
        <v>344</v>
      </c>
      <c r="B28" s="2909" t="s">
        <v>1467</v>
      </c>
      <c r="C28" s="2833">
        <f ca="1">ROUND(C6*F27*'数据-取费表'!B23/'数据-取费表'!B22+(C9+C21)*F27,0)</f>
        <v>1987054</v>
      </c>
      <c r="D28" s="135"/>
      <c r="E28" s="136"/>
      <c r="F28" s="2857"/>
      <c r="G28" s="147"/>
      <c r="J28" s="100"/>
    </row>
    <row r="29" spans="1:10" s="114" customFormat="1" ht="15">
      <c r="A29" s="2904" t="s">
        <v>345</v>
      </c>
      <c r="B29" s="2909" t="s">
        <v>1468</v>
      </c>
      <c r="C29" s="2852">
        <f ca="1">ROUND(F22*F27,4)</f>
        <v>1E-3</v>
      </c>
      <c r="D29" s="135"/>
      <c r="E29" s="136"/>
      <c r="F29" s="2857"/>
      <c r="G29" s="147"/>
      <c r="J29" s="100"/>
    </row>
    <row r="30" spans="1:10" s="2861" customFormat="1" ht="15">
      <c r="A30" s="2839" t="s">
        <v>3373</v>
      </c>
      <c r="B30" s="2901" t="s">
        <v>3374</v>
      </c>
      <c r="C30" s="2862">
        <v>0</v>
      </c>
      <c r="D30" s="303"/>
      <c r="E30" s="2841"/>
      <c r="F30" s="2867"/>
      <c r="G30" s="2870" t="s">
        <v>3321</v>
      </c>
      <c r="J30" s="100"/>
    </row>
    <row r="31" spans="1:10" s="114" customFormat="1" ht="15.75">
      <c r="A31" s="2912">
        <v>2</v>
      </c>
      <c r="B31" s="2913" t="s">
        <v>3322</v>
      </c>
      <c r="C31" s="2853">
        <f ca="1">C57</f>
        <v>9114619</v>
      </c>
      <c r="D31" s="2843"/>
      <c r="E31" s="2843"/>
      <c r="F31" s="2858">
        <f>IF('数据-取费表'!B24=0,'数据-取费表'!N16,1)</f>
        <v>0.78</v>
      </c>
      <c r="G31" s="2844" t="s">
        <v>3358</v>
      </c>
      <c r="J31" s="100"/>
    </row>
    <row r="32" spans="1:10" s="114" customFormat="1" ht="15.75">
      <c r="A32" s="2831" t="s">
        <v>3323</v>
      </c>
      <c r="B32" s="2830" t="s">
        <v>3324</v>
      </c>
      <c r="C32" s="2853">
        <f ca="1">C5-C31</f>
        <v>34806106</v>
      </c>
      <c r="D32" s="2843"/>
      <c r="E32" s="2843"/>
      <c r="F32" s="2842"/>
      <c r="G32" s="2845" t="s">
        <v>3357</v>
      </c>
      <c r="J32" s="100"/>
    </row>
    <row r="33" spans="1:10" s="114" customFormat="1" ht="16.5" thickBot="1">
      <c r="A33" s="2914">
        <v>4</v>
      </c>
      <c r="B33" s="2915" t="s">
        <v>3359</v>
      </c>
      <c r="C33" s="2854">
        <f ca="1">ROUND(C32*(1+F33),0)</f>
        <v>37938656</v>
      </c>
      <c r="D33" s="2846"/>
      <c r="E33" s="2846"/>
      <c r="F33" s="2859">
        <f>IF(G33="其他类型公式—成本价值×（1+9%）",9%,3%)</f>
        <v>0.09</v>
      </c>
      <c r="G33" s="4048" t="s">
        <v>3738</v>
      </c>
      <c r="J33" s="100"/>
    </row>
    <row r="34" spans="1:10" s="123" customFormat="1" ht="15">
      <c r="J34" s="100"/>
    </row>
    <row r="35" spans="1:10" s="114" customFormat="1"/>
    <row r="36" spans="1:10" s="114" customFormat="1"/>
    <row r="37" spans="1:10" s="114" customFormat="1"/>
    <row r="38" spans="1:10" ht="15.75" thickBot="1">
      <c r="A38" s="3141" t="s">
        <v>3325</v>
      </c>
      <c r="B38" s="3142"/>
      <c r="C38" s="3142"/>
      <c r="D38" s="3142"/>
      <c r="E38" s="3142"/>
      <c r="F38" s="3142"/>
      <c r="G38" s="3143"/>
    </row>
    <row r="39" spans="1:10" ht="15.75" thickBot="1">
      <c r="A39" s="3144" t="s">
        <v>3352</v>
      </c>
      <c r="B39" s="3145" t="s">
        <v>3353</v>
      </c>
      <c r="C39" s="3146" t="s">
        <v>3354</v>
      </c>
      <c r="D39" s="3147" t="s">
        <v>3498</v>
      </c>
      <c r="E39" s="3148" t="s">
        <v>3499</v>
      </c>
      <c r="F39" s="3148" t="s">
        <v>3500</v>
      </c>
      <c r="G39" s="3149" t="s">
        <v>3355</v>
      </c>
    </row>
    <row r="40" spans="1:10" ht="15">
      <c r="A40" s="3150" t="s">
        <v>3501</v>
      </c>
      <c r="B40" s="3151" t="s">
        <v>3326</v>
      </c>
      <c r="C40" s="3152">
        <f ca="1">SUM(C41:C46)</f>
        <v>36752419</v>
      </c>
      <c r="D40" s="3150"/>
      <c r="E40" s="3150"/>
      <c r="F40" s="3150"/>
      <c r="G40" s="3150"/>
    </row>
    <row r="41" spans="1:10" ht="15.75">
      <c r="A41" s="2896" t="s">
        <v>3327</v>
      </c>
      <c r="B41" s="2971" t="str">
        <f t="shared" ref="B41:C43" si="0">B10</f>
        <v xml:space="preserve">  建安费用</v>
      </c>
      <c r="C41" s="2828">
        <f t="shared" ca="1" si="0"/>
        <v>30398730</v>
      </c>
      <c r="D41" s="2823"/>
      <c r="E41" s="2823"/>
      <c r="F41" s="2824"/>
      <c r="G41" s="2824"/>
    </row>
    <row r="42" spans="1:10" ht="15.75">
      <c r="A42" s="2896" t="s">
        <v>3328</v>
      </c>
      <c r="B42" s="2971" t="str">
        <f t="shared" si="0"/>
        <v xml:space="preserve">  前期费用</v>
      </c>
      <c r="C42" s="2828">
        <f t="shared" ca="1" si="0"/>
        <v>1823924</v>
      </c>
      <c r="D42" s="2823"/>
      <c r="E42" s="2823"/>
      <c r="F42" s="2824"/>
      <c r="G42" s="2824"/>
    </row>
    <row r="43" spans="1:10" ht="15.75">
      <c r="A43" s="2896" t="s">
        <v>3400</v>
      </c>
      <c r="B43" s="2900" t="str">
        <f t="shared" si="0"/>
        <v xml:space="preserve">  公共配套设施费用</v>
      </c>
      <c r="C43" s="2828">
        <f t="shared" ca="1" si="0"/>
        <v>0</v>
      </c>
      <c r="D43" s="2823"/>
      <c r="E43" s="2823"/>
      <c r="F43" s="2824"/>
      <c r="G43" s="2824"/>
    </row>
    <row r="44" spans="1:10" ht="15.75">
      <c r="A44" s="2896" t="s">
        <v>3310</v>
      </c>
      <c r="B44" s="2900" t="str">
        <f>B18</f>
        <v>红线内市政费用</v>
      </c>
      <c r="C44" s="2828">
        <f ca="1">C18</f>
        <v>3313815</v>
      </c>
      <c r="D44" s="2823"/>
      <c r="E44" s="2823"/>
      <c r="F44" s="2824"/>
      <c r="G44" s="2824"/>
    </row>
    <row r="45" spans="1:10" ht="15.75">
      <c r="A45" s="2911" t="s">
        <v>3329</v>
      </c>
      <c r="B45" s="2906" t="str">
        <f>B19</f>
        <v xml:space="preserve">  其他工程费</v>
      </c>
      <c r="C45" s="2833">
        <f ca="1">C19</f>
        <v>607975</v>
      </c>
      <c r="D45" s="2969"/>
      <c r="E45" s="2969"/>
      <c r="F45" s="2970"/>
      <c r="G45" s="2970"/>
    </row>
    <row r="46" spans="1:10" ht="15.75">
      <c r="A46" s="2911" t="s">
        <v>3399</v>
      </c>
      <c r="B46" s="2906" t="s">
        <v>3330</v>
      </c>
      <c r="C46" s="2833">
        <f ca="1">C20</f>
        <v>607975</v>
      </c>
      <c r="D46" s="2969"/>
      <c r="E46" s="2969"/>
      <c r="F46" s="2970"/>
      <c r="G46" s="2970"/>
    </row>
    <row r="47" spans="1:10" ht="15">
      <c r="A47" s="2972" t="s">
        <v>3502</v>
      </c>
      <c r="B47" s="2973" t="s">
        <v>3503</v>
      </c>
      <c r="C47" s="2974">
        <f ca="1">ROUND(C40*F47,0)</f>
        <v>735048</v>
      </c>
      <c r="D47" s="2975"/>
      <c r="E47" s="2975"/>
      <c r="F47" s="2976">
        <f>F21</f>
        <v>0.02</v>
      </c>
      <c r="G47" s="2977" t="s">
        <v>3504</v>
      </c>
    </row>
    <row r="48" spans="1:10"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1173358+0.0006V建1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1173358</v>
      </c>
      <c r="D50" s="1109"/>
      <c r="E50" s="1109"/>
      <c r="F50" s="1092"/>
      <c r="G50" s="4683" t="s">
        <v>3343</v>
      </c>
    </row>
    <row r="51" spans="1:7">
      <c r="A51" s="2896" t="s">
        <v>3328</v>
      </c>
      <c r="B51" s="2900" t="s">
        <v>3333</v>
      </c>
      <c r="C51" s="2997">
        <f ca="1">ROUND(IF('数据-取费表'!B22&lt;=1,F48*F23*'数据-取费表'!B22/2,F48*(POWER((1+F23),'数据-取费表'!B22/2)-1)),4)</f>
        <v>5.9999999999999995E-4</v>
      </c>
      <c r="D51" s="1109"/>
      <c r="E51" s="1109"/>
      <c r="F51" s="1092"/>
      <c r="G51" s="4684"/>
    </row>
    <row r="52" spans="1:7" ht="15">
      <c r="A52" s="2972" t="s">
        <v>3509</v>
      </c>
      <c r="B52" s="2981" t="s">
        <v>3334</v>
      </c>
      <c r="C52" s="2982" t="str">
        <f ca="1">C53&amp;"+"&amp;C54&amp;"V建1"</f>
        <v>1874373+0.001V建1</v>
      </c>
      <c r="D52" s="2983"/>
      <c r="E52" s="2975"/>
      <c r="F52" s="2984">
        <f ca="1">F27</f>
        <v>0.05</v>
      </c>
      <c r="G52" s="2985" t="s">
        <v>3510</v>
      </c>
    </row>
    <row r="53" spans="1:7">
      <c r="A53" s="2896" t="s">
        <v>3327</v>
      </c>
      <c r="B53" s="2899" t="s">
        <v>3335</v>
      </c>
      <c r="C53" s="2828">
        <f ca="1">ROUND((C40+C47)*F27,0)</f>
        <v>1874373</v>
      </c>
      <c r="D53" s="2829"/>
      <c r="E53" s="2825"/>
      <c r="F53" s="2826"/>
      <c r="G53" s="2827"/>
    </row>
    <row r="54" spans="1:7">
      <c r="A54" s="2896" t="s">
        <v>3328</v>
      </c>
      <c r="B54" s="2899" t="s">
        <v>3336</v>
      </c>
      <c r="C54" s="2895">
        <f ca="1">ROUND(F48*F27,4)</f>
        <v>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41430088</v>
      </c>
      <c r="D56" s="303"/>
      <c r="E56" s="303"/>
      <c r="F56" s="2989"/>
      <c r="G56" s="2988" t="s">
        <v>3340</v>
      </c>
    </row>
    <row r="57" spans="1:7" ht="15">
      <c r="A57" s="2839" t="s">
        <v>3473</v>
      </c>
      <c r="B57" s="2990" t="s">
        <v>3322</v>
      </c>
      <c r="C57" s="2862">
        <f ca="1">ROUND(C56*(1-F57),0)</f>
        <v>9114619</v>
      </c>
      <c r="D57" s="303"/>
      <c r="E57" s="303"/>
      <c r="F57" s="2989">
        <f>F31</f>
        <v>0.78</v>
      </c>
      <c r="G57" s="2988" t="s">
        <v>3341</v>
      </c>
    </row>
    <row r="58" spans="1:7" ht="16.5">
      <c r="A58" s="2839" t="s">
        <v>3514</v>
      </c>
      <c r="B58" s="2986" t="s">
        <v>3515</v>
      </c>
      <c r="C58" s="2862">
        <f ca="1">C56-C57</f>
        <v>32315469</v>
      </c>
      <c r="D58" s="303"/>
      <c r="E58" s="303"/>
      <c r="F58" s="2989"/>
      <c r="G58" s="2988" t="s">
        <v>3342</v>
      </c>
    </row>
    <row r="59" spans="1:7" ht="15">
      <c r="A59" s="2991" t="s">
        <v>3401</v>
      </c>
      <c r="B59" s="2992" t="s">
        <v>3338</v>
      </c>
      <c r="C59" s="2993">
        <f ca="1">ROUND(C58*(1+F59),0)</f>
        <v>35223861</v>
      </c>
      <c r="D59" s="2994"/>
      <c r="E59" s="2994"/>
      <c r="F59" s="2995">
        <f>F33</f>
        <v>0.09</v>
      </c>
      <c r="G59" s="2994" t="s">
        <v>3516</v>
      </c>
    </row>
    <row r="60" spans="1:7" ht="14.25">
      <c r="A60" s="2821"/>
      <c r="B60" s="2822"/>
    </row>
    <row r="62" spans="1:7" ht="21" customHeight="1">
      <c r="B62" s="2892" t="s">
        <v>1507</v>
      </c>
      <c r="C62" s="171"/>
    </row>
    <row r="63" spans="1:7" ht="21" customHeight="1">
      <c r="B63" s="3171" t="s">
        <v>789</v>
      </c>
      <c r="C63" s="2893">
        <f ca="1">1-C64</f>
        <v>7.1999999999999953E-2</v>
      </c>
    </row>
    <row r="64" spans="1:7" ht="21" customHeight="1">
      <c r="B64" s="3171" t="s">
        <v>790</v>
      </c>
      <c r="C64" s="2894">
        <f ca="1">ROUND(C58/C32,3)</f>
        <v>0.92800000000000005</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6088.1803</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5512</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22839820</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2209210</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2209210</v>
      </c>
      <c r="D10" s="598">
        <f ca="1">IF(B1="",'数据-汇总表'!E6,IF(INDIRECT("'数据-取费表'!c"&amp;$G$1)="住宅",INDIRECT("'数据-取费表'!s"&amp;$G$1),INDIRECT("'数据-取费表'!k"&amp;$G$1)+INDIRECT("'数据-取费表'!s"&amp;$G$1)))</f>
        <v>11046.05</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2209210</v>
      </c>
      <c r="D19" s="602">
        <f ca="1">D9+D10</f>
        <v>11046.05</v>
      </c>
      <c r="E19" s="111">
        <f>'数据-取费表'!B31</f>
        <v>200</v>
      </c>
      <c r="F19" s="131"/>
      <c r="G19" s="1476"/>
    </row>
    <row r="20" spans="1:7" s="114" customFormat="1" ht="13.5" customHeight="1">
      <c r="A20" s="155" t="s">
        <v>1519</v>
      </c>
      <c r="B20" s="110" t="s">
        <v>1520</v>
      </c>
      <c r="C20" s="132">
        <f ca="1">ROUND((C5+C19)*F20,0)</f>
        <v>500981</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1608291</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1452149</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140461</v>
      </c>
      <c r="D24" s="138"/>
      <c r="E24" s="138"/>
      <c r="F24" s="139"/>
      <c r="G24" s="140" t="s">
        <v>1531</v>
      </c>
    </row>
    <row r="25" spans="1:7" s="114" customFormat="1" ht="24">
      <c r="A25" s="570" t="s">
        <v>1451</v>
      </c>
      <c r="B25" s="115" t="s">
        <v>1532</v>
      </c>
      <c r="C25" s="832">
        <f ca="1">ROUND(IF('数据-取费表'!B22&lt;=1,C20*F22*'数据-取费表'!B22/2,C20*(POWER((1+F22),'数据-取费表'!B22/2)-1)),0)</f>
        <v>15681</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1277501</v>
      </c>
      <c r="D27" s="135">
        <f ca="1">C29</f>
        <v>1E-3</v>
      </c>
      <c r="E27" s="136" t="s">
        <v>1465</v>
      </c>
      <c r="F27" s="146">
        <f ca="1">IF(B1="",'数据-取费表'!Q16,INDIRECT("'数据-取费表'!q"&amp;$G$1))</f>
        <v>0.05</v>
      </c>
      <c r="G27" s="147" t="s">
        <v>1466</v>
      </c>
    </row>
    <row r="28" spans="1:7" s="114" customFormat="1" ht="13.5" customHeight="1">
      <c r="A28" s="570" t="s">
        <v>344</v>
      </c>
      <c r="B28" s="148" t="s">
        <v>1467</v>
      </c>
      <c r="C28" s="149">
        <f ca="1">ROUND((C5+C19+C20)*F27,0)</f>
        <v>1277501</v>
      </c>
      <c r="D28" s="135"/>
      <c r="E28" s="136"/>
      <c r="F28" s="146"/>
      <c r="G28" s="147"/>
    </row>
    <row r="29" spans="1:7" s="114" customFormat="1" ht="13.5" customHeight="1">
      <c r="A29" s="570" t="s">
        <v>345</v>
      </c>
      <c r="B29" s="148" t="s">
        <v>1468</v>
      </c>
      <c r="C29" s="138">
        <f ca="1">ROUND(C21*F27,4)</f>
        <v>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29081410</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36144444</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30398730</v>
      </c>
      <c r="D34" s="117"/>
      <c r="E34" s="120"/>
      <c r="F34" s="157"/>
      <c r="G34" s="119"/>
    </row>
    <row r="35" spans="1:7" ht="13.5" customHeight="1">
      <c r="A35" s="570" t="s">
        <v>349</v>
      </c>
      <c r="B35" s="115" t="s">
        <v>1476</v>
      </c>
      <c r="C35" s="120">
        <f ca="1">ROUND(C34*F35,0)</f>
        <v>1823924</v>
      </c>
      <c r="D35" s="120"/>
      <c r="E35" s="120"/>
      <c r="F35" s="159">
        <f>'数据-取费表'!B33</f>
        <v>0.06</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3313815</v>
      </c>
      <c r="D37" s="117">
        <f ca="1">D19</f>
        <v>11046.05</v>
      </c>
      <c r="E37" s="149">
        <f>'数据-取费表'!B35</f>
        <v>300</v>
      </c>
      <c r="F37" s="159"/>
      <c r="G37" s="161"/>
    </row>
    <row r="38" spans="1:7" ht="13.5" customHeight="1">
      <c r="A38" s="570" t="s">
        <v>352</v>
      </c>
      <c r="B38" s="115" t="s">
        <v>1482</v>
      </c>
      <c r="C38" s="120">
        <f ca="1">ROUND(C34*F38,0)</f>
        <v>607975</v>
      </c>
      <c r="D38" s="120"/>
      <c r="E38" s="120"/>
      <c r="F38" s="159">
        <f>'数据-取费表'!B36</f>
        <v>0.02</v>
      </c>
      <c r="G38" s="119" t="s">
        <v>1477</v>
      </c>
    </row>
    <row r="39" spans="1:7" s="114" customFormat="1" ht="13.5" customHeight="1">
      <c r="A39" s="155" t="s">
        <v>1483</v>
      </c>
      <c r="B39" s="110" t="s">
        <v>1484</v>
      </c>
      <c r="C39" s="132">
        <f ca="1">ROUND(C33*F20,0)</f>
        <v>722889</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1153947</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1131321</v>
      </c>
      <c r="D42" s="138"/>
      <c r="E42" s="138"/>
      <c r="F42" s="139"/>
      <c r="G42" s="4683" t="s">
        <v>1536</v>
      </c>
    </row>
    <row r="43" spans="1:7" ht="13.5" customHeight="1">
      <c r="A43" s="570" t="s">
        <v>345</v>
      </c>
      <c r="B43" s="115" t="s">
        <v>1493</v>
      </c>
      <c r="C43" s="138">
        <f ca="1">ROUND(IF('数据-取费表'!B22&lt;=1,C39*F22*'数据-取费表'!B20/2,C39*(POWER((1+F22),'数据-取费表'!B20/2)-1)),0)</f>
        <v>22626</v>
      </c>
      <c r="D43" s="138"/>
      <c r="E43" s="138"/>
      <c r="F43" s="139"/>
      <c r="G43" s="4685"/>
    </row>
    <row r="44" spans="1:7" ht="13.5" customHeight="1">
      <c r="A44" s="570" t="s">
        <v>346</v>
      </c>
      <c r="B44" s="115" t="s">
        <v>1494</v>
      </c>
      <c r="C44" s="138">
        <f ca="1">ROUND(IF('数据-取费表'!B22&lt;=1,C40*F22*'数据-取费表'!B20/2,C40*(POWER((1+F22),'数据-取费表'!B20/2)-1)),4)</f>
        <v>5.9999999999999995E-4</v>
      </c>
      <c r="D44" s="138"/>
      <c r="E44" s="138"/>
      <c r="F44" s="139"/>
      <c r="G44" s="4684"/>
    </row>
    <row r="45" spans="1:7" s="114" customFormat="1" ht="13.5" customHeight="1">
      <c r="A45" s="155" t="s">
        <v>1495</v>
      </c>
      <c r="B45" s="144" t="s">
        <v>1464</v>
      </c>
      <c r="C45" s="145">
        <f ca="1">C46</f>
        <v>1843367</v>
      </c>
      <c r="D45" s="135">
        <f ca="1">C47</f>
        <v>1E-3</v>
      </c>
      <c r="E45" s="136" t="s">
        <v>1488</v>
      </c>
      <c r="F45" s="146">
        <f ca="1">F27</f>
        <v>0.05</v>
      </c>
      <c r="G45" s="147" t="s">
        <v>1496</v>
      </c>
    </row>
    <row r="46" spans="1:7" s="114" customFormat="1" ht="13.5" customHeight="1">
      <c r="A46" s="570" t="s">
        <v>344</v>
      </c>
      <c r="B46" s="148" t="s">
        <v>1497</v>
      </c>
      <c r="C46" s="149">
        <f ca="1">ROUND((C33+C39)*F27,0)</f>
        <v>1843367</v>
      </c>
      <c r="D46" s="163"/>
      <c r="E46" s="136"/>
      <c r="F46" s="146"/>
      <c r="G46" s="147"/>
    </row>
    <row r="47" spans="1:7" s="114" customFormat="1" ht="13.5" customHeight="1">
      <c r="A47" s="570" t="s">
        <v>345</v>
      </c>
      <c r="B47" s="148" t="s">
        <v>1498</v>
      </c>
      <c r="C47" s="138">
        <f ca="1">ROUND(C40*F27,4)</f>
        <v>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40769735</v>
      </c>
      <c r="D49" s="132"/>
      <c r="E49" s="132"/>
      <c r="F49" s="164"/>
      <c r="G49" s="134" t="s">
        <v>1501</v>
      </c>
    </row>
    <row r="50" spans="1:7" s="158" customFormat="1">
      <c r="A50" s="155" t="s">
        <v>1502</v>
      </c>
      <c r="B50" s="110" t="s">
        <v>1503</v>
      </c>
      <c r="C50" s="132"/>
      <c r="D50" s="132"/>
      <c r="E50" s="132"/>
      <c r="F50" s="164">
        <f>IF('数据-取费表'!B24=0,'数据-取费表'!N16,1)</f>
        <v>0.78</v>
      </c>
      <c r="G50" s="147"/>
    </row>
    <row r="51" spans="1:7" ht="16.5" customHeight="1">
      <c r="A51" s="155" t="s">
        <v>1504</v>
      </c>
      <c r="B51" s="110" t="s">
        <v>1538</v>
      </c>
      <c r="C51" s="132">
        <f ca="1">ROUND(C49*F50,0)</f>
        <v>31800393</v>
      </c>
      <c r="D51" s="132"/>
      <c r="E51" s="132"/>
      <c r="F51" s="164"/>
      <c r="G51" s="134" t="s">
        <v>1505</v>
      </c>
    </row>
    <row r="52" spans="1:7" s="108" customFormat="1" ht="16.5" thickBot="1">
      <c r="A52" s="165" t="s">
        <v>1506</v>
      </c>
      <c r="B52" s="166"/>
      <c r="C52" s="167">
        <f ca="1">C31+C51</f>
        <v>60881803</v>
      </c>
      <c r="D52" s="166"/>
      <c r="E52" s="166"/>
      <c r="F52" s="166"/>
      <c r="G52" s="168"/>
    </row>
    <row r="55" spans="1:7" ht="15">
      <c r="B55" s="170" t="s">
        <v>1507</v>
      </c>
      <c r="C55" s="171"/>
    </row>
    <row r="56" spans="1:7">
      <c r="B56" s="173" t="s">
        <v>789</v>
      </c>
      <c r="C56" s="175">
        <f ca="1">1-C57</f>
        <v>0.47799999999999998</v>
      </c>
    </row>
    <row r="57" spans="1:7">
      <c r="B57" s="173" t="s">
        <v>790</v>
      </c>
      <c r="C57" s="174">
        <f ca="1">ROUND(C51/C52,3)</f>
        <v>0.52200000000000002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61" sqref="J61"/>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3</v>
      </c>
      <c r="D1" s="1008" t="s">
        <v>41</v>
      </c>
      <c r="E1" s="1009" t="s">
        <v>665</v>
      </c>
      <c r="F1" s="3894">
        <f ca="1">J58</f>
        <v>36.880000000000003</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5363</v>
      </c>
      <c r="C2" s="1032" t="s">
        <v>792</v>
      </c>
      <c r="D2" s="3798" t="s">
        <v>3877</v>
      </c>
      <c r="E2" s="1033"/>
      <c r="F2" s="1034"/>
      <c r="G2" s="2188"/>
      <c r="H2" s="2177"/>
      <c r="I2" s="2177"/>
      <c r="J2" s="2177"/>
      <c r="K2" s="2178"/>
      <c r="L2" s="2177"/>
      <c r="M2" s="2177"/>
    </row>
    <row r="3" spans="1:37" ht="18" customHeight="1" thickBot="1">
      <c r="A3" s="1035" t="s">
        <v>793</v>
      </c>
      <c r="B3" s="3117">
        <f ca="1">IF(ISERROR(B2*10000/F29),0,ROUND(B2*10000/F29,0))</f>
        <v>4855</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3440</v>
      </c>
      <c r="C5" s="3103">
        <f ca="1">C6+C10+C12</f>
        <v>343</v>
      </c>
      <c r="D5" s="1010" t="s">
        <v>680</v>
      </c>
      <c r="E5" s="781"/>
      <c r="F5" s="782"/>
      <c r="G5" s="1030"/>
      <c r="H5" s="188">
        <v>1</v>
      </c>
      <c r="I5" s="3475" t="s">
        <v>679</v>
      </c>
      <c r="J5" s="3103">
        <f ca="1">J6+J10+J12</f>
        <v>0</v>
      </c>
      <c r="K5" s="1010" t="s">
        <v>680</v>
      </c>
      <c r="L5" s="781"/>
      <c r="M5" s="782"/>
    </row>
    <row r="6" spans="1:37" ht="18" customHeight="1">
      <c r="A6" s="779" t="s">
        <v>392</v>
      </c>
      <c r="B6" s="3067" t="s">
        <v>3434</v>
      </c>
      <c r="C6" s="3909">
        <f ca="1">C7-C9</f>
        <v>343</v>
      </c>
      <c r="D6" s="3068" t="s">
        <v>3438</v>
      </c>
      <c r="E6" s="3066" t="s">
        <v>3432</v>
      </c>
      <c r="F6" s="3441">
        <f ca="1">INDIRECT("'数据-取费表'!u"&amp;$G$1)</f>
        <v>1</v>
      </c>
      <c r="G6" s="1030"/>
      <c r="H6" s="779" t="s">
        <v>392</v>
      </c>
      <c r="I6" s="3479" t="s">
        <v>681</v>
      </c>
      <c r="J6" s="3104">
        <f ca="1">J7-J9</f>
        <v>0</v>
      </c>
      <c r="K6" s="3068" t="s">
        <v>3438</v>
      </c>
      <c r="L6" s="3066" t="s">
        <v>3432</v>
      </c>
      <c r="M6" s="3896">
        <f ca="1">INDIRECT("'数据-取费表'!z"&amp;$G$1)</f>
        <v>0</v>
      </c>
    </row>
    <row r="7" spans="1:37" ht="18" customHeight="1">
      <c r="A7" s="4703" t="s">
        <v>391</v>
      </c>
      <c r="B7" s="4688" t="s">
        <v>3435</v>
      </c>
      <c r="C7" s="4690">
        <f ca="1">ROUND(F6*F7*F8/10000,0)</f>
        <v>403</v>
      </c>
      <c r="D7" s="4705" t="s">
        <v>3521</v>
      </c>
      <c r="E7" s="3467" t="s">
        <v>684</v>
      </c>
      <c r="F7" s="3895">
        <f ca="1">IF(INDIRECT("'数据-取费表'!ah"&amp;$G$1)="",INDIRECT("'数据-取费表'!k"&amp;$G$1),INDIRECT("'数据-取费表'!ah"&amp;$G$1))</f>
        <v>11046.05</v>
      </c>
      <c r="G7" s="1030"/>
      <c r="H7" s="4703" t="s">
        <v>391</v>
      </c>
      <c r="I7" s="4688" t="s">
        <v>3435</v>
      </c>
      <c r="J7" s="4699">
        <f ca="1">ROUND(M6*M8*M7/10000,0)</f>
        <v>0</v>
      </c>
      <c r="K7" s="4691" t="s">
        <v>3437</v>
      </c>
      <c r="L7" s="191" t="s">
        <v>684</v>
      </c>
      <c r="M7" s="3897">
        <f ca="1">F7</f>
        <v>11046.05</v>
      </c>
    </row>
    <row r="8" spans="1:37" ht="18" customHeight="1">
      <c r="A8" s="4704"/>
      <c r="B8" s="4689"/>
      <c r="C8" s="4690"/>
      <c r="D8" s="4705"/>
      <c r="E8" s="191" t="s">
        <v>685</v>
      </c>
      <c r="F8" s="3895">
        <f ca="1">INDIRECT("'数据-取费表'!ai"&amp;$G$1)</f>
        <v>365</v>
      </c>
      <c r="G8" s="1030"/>
      <c r="H8" s="4704"/>
      <c r="I8" s="4689"/>
      <c r="J8" s="4699"/>
      <c r="K8" s="4691"/>
      <c r="L8" s="191" t="s">
        <v>685</v>
      </c>
      <c r="M8" s="3897">
        <f ca="1">INDIRECT("'数据-取费表'!ai"&amp;$G$1)</f>
        <v>365</v>
      </c>
    </row>
    <row r="9" spans="1:37" ht="18" customHeight="1">
      <c r="A9" s="3049" t="s">
        <v>3436</v>
      </c>
      <c r="B9" s="3473" t="s">
        <v>3433</v>
      </c>
      <c r="C9" s="3891">
        <f ca="1">ROUND(C7*F9,0)</f>
        <v>60</v>
      </c>
      <c r="D9" s="3068" t="s">
        <v>3439</v>
      </c>
      <c r="E9" s="191" t="s">
        <v>686</v>
      </c>
      <c r="F9" s="3137">
        <f ca="1">INDIRECT("'数据-取费表'!w"&amp;$G$1)</f>
        <v>0.15</v>
      </c>
      <c r="G9" s="1030"/>
      <c r="H9" s="3049" t="s">
        <v>3436</v>
      </c>
      <c r="I9" s="3473" t="s">
        <v>3433</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0</v>
      </c>
      <c r="D10" s="1012" t="s">
        <v>2033</v>
      </c>
      <c r="E10" s="202" t="s">
        <v>688</v>
      </c>
      <c r="F10" s="821" t="s">
        <v>3878</v>
      </c>
      <c r="G10" s="1030"/>
      <c r="H10" s="779" t="s">
        <v>396</v>
      </c>
      <c r="I10" s="1011" t="s">
        <v>687</v>
      </c>
      <c r="J10" s="4457">
        <f ca="1">ROUND(IF(M10="押一",J6/12*M11,IF(M10="押二",J6/12*2*M11,IF(M10="押三",J6/12*3*M11,J11*M11))),0)</f>
        <v>0</v>
      </c>
      <c r="K10" s="1012" t="s">
        <v>2032</v>
      </c>
      <c r="L10" s="202" t="s">
        <v>688</v>
      </c>
      <c r="M10" s="821"/>
    </row>
    <row r="11" spans="1:37" ht="18" customHeight="1">
      <c r="A11" s="197"/>
      <c r="B11" s="3436" t="s">
        <v>3527</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3731</v>
      </c>
      <c r="B13" s="789" t="s">
        <v>701</v>
      </c>
      <c r="C13" s="3073">
        <f ca="1">ROUND(C14+C21+C22+C23,0)</f>
        <v>90</v>
      </c>
      <c r="D13" s="796" t="s">
        <v>702</v>
      </c>
      <c r="E13" s="3472"/>
      <c r="F13" s="782"/>
      <c r="G13" s="1030"/>
      <c r="H13" s="788" t="s">
        <v>3731</v>
      </c>
      <c r="I13" s="789" t="s">
        <v>701</v>
      </c>
      <c r="J13" s="3478">
        <f ca="1">ROUND(J14+J21+J22+J23,0)</f>
        <v>45</v>
      </c>
      <c r="K13" s="3470" t="s">
        <v>3491</v>
      </c>
      <c r="L13" s="3472"/>
      <c r="M13" s="782"/>
    </row>
    <row r="14" spans="1:37" ht="18" customHeight="1">
      <c r="A14" s="722" t="s">
        <v>392</v>
      </c>
      <c r="B14" s="191" t="s">
        <v>706</v>
      </c>
      <c r="C14" s="3051">
        <f ca="1">ROUND(IF(AND(项目基本情况!B11="自然人",项目基本情况!B10="北京市",M52="住宅"),C6*F14,C15+C18+C19),2)</f>
        <v>76.94</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36.32</v>
      </c>
      <c r="K14" s="3100" t="s">
        <v>3490</v>
      </c>
      <c r="L14" s="3471" t="s">
        <v>708</v>
      </c>
      <c r="M14" s="4458" t="str">
        <f>IF(项目基本情况!B11="企业","",IF('数据-取费表'!B10="住宅",IF(M6*M7*M8/12/(1+'数据-取费表'!F30)&gt;100000,4%,2.5%),IF(M6*M7*M8/12/(1+'数据-取费表'!F30)&gt;100000,12%,7%)))</f>
        <v/>
      </c>
    </row>
    <row r="15" spans="1:37" s="1042" customFormat="1" ht="18" customHeight="1">
      <c r="A15" s="3049" t="s">
        <v>3441</v>
      </c>
      <c r="B15" s="3066" t="s">
        <v>3442</v>
      </c>
      <c r="C15" s="3051">
        <f ca="1">ROUND((C16-C17)*(1+F15),2)</f>
        <v>33.409999999999997</v>
      </c>
      <c r="D15" s="3100" t="s">
        <v>3490</v>
      </c>
      <c r="E15" s="191" t="s">
        <v>3479</v>
      </c>
      <c r="F15" s="3132">
        <f>'数据-取费表'!B44</f>
        <v>0.12000000000000001</v>
      </c>
      <c r="G15" s="1041"/>
      <c r="H15" s="722" t="s">
        <v>391</v>
      </c>
      <c r="I15" s="3066" t="s">
        <v>3442</v>
      </c>
      <c r="J15" s="3051">
        <f ca="1">ROUND((J16-J17)*(1+M15),2)</f>
        <v>-0.84</v>
      </c>
      <c r="K15" s="1092"/>
      <c r="L15" s="191" t="s">
        <v>3479</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3077">
        <f ca="1">ROUND(C6*F16,2)</f>
        <v>30.87</v>
      </c>
      <c r="D16" s="1092"/>
      <c r="E16" s="3078" t="s">
        <v>3445</v>
      </c>
      <c r="F16" s="3132">
        <v>0.09</v>
      </c>
      <c r="G16" s="1030"/>
      <c r="H16" s="2832" t="s">
        <v>3311</v>
      </c>
      <c r="I16" s="3071" t="s">
        <v>3443</v>
      </c>
      <c r="J16" s="3077">
        <f ca="1">ROUND(J6*M16,2)</f>
        <v>0</v>
      </c>
      <c r="K16" s="3079" t="s">
        <v>3446</v>
      </c>
      <c r="L16" s="3078" t="s">
        <v>3445</v>
      </c>
      <c r="M16" s="219">
        <v>0.09</v>
      </c>
    </row>
    <row r="17" spans="1:37" s="1042" customFormat="1" ht="18" customHeight="1">
      <c r="A17" s="2832" t="s">
        <v>3312</v>
      </c>
      <c r="B17" s="3071" t="s">
        <v>3444</v>
      </c>
      <c r="C17" s="3101">
        <f ca="1">ROUND(C21*F16+((C22+C23)*F17),2)</f>
        <v>1.04</v>
      </c>
      <c r="D17" s="3079" t="s">
        <v>3446</v>
      </c>
      <c r="E17" s="3079"/>
      <c r="F17" s="3132">
        <v>0.06</v>
      </c>
      <c r="G17" s="1041"/>
      <c r="H17" s="2832" t="s">
        <v>3312</v>
      </c>
      <c r="I17" s="3071" t="s">
        <v>3444</v>
      </c>
      <c r="J17" s="3101">
        <f ca="1">ROUND(J21*M16+((J22+J23)*M17),2)</f>
        <v>0.75</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41.16</v>
      </c>
      <c r="D18" s="3070" t="s">
        <v>3879</v>
      </c>
      <c r="E18" s="191" t="s">
        <v>699</v>
      </c>
      <c r="F18" s="3133">
        <f>IF(D18="按票据","——",IF(D18="按不含税租金收入计税",'数据-取费表'!B52,'数据-取费表'!B51))</f>
        <v>0.12</v>
      </c>
      <c r="G18" s="1041"/>
      <c r="H18" s="722" t="s">
        <v>393</v>
      </c>
      <c r="I18" s="191" t="s">
        <v>714</v>
      </c>
      <c r="J18" s="3051">
        <f ca="1">IF(K18="按不含税租金收入计税",ROUND(J6*M18,2),ROUND(C47*M18*0.7,2))</f>
        <v>34.79</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2.37</v>
      </c>
      <c r="D19" s="212" t="s">
        <v>718</v>
      </c>
      <c r="E19" s="191" t="s">
        <v>719</v>
      </c>
      <c r="F19" s="3134">
        <f>'数据-取费表'!B53</f>
        <v>1.5</v>
      </c>
      <c r="G19" s="1030"/>
      <c r="H19" s="722" t="s">
        <v>667</v>
      </c>
      <c r="I19" s="60" t="s">
        <v>717</v>
      </c>
      <c r="J19" s="3074">
        <f ca="1">ROUND(M19*M20/10000,2)</f>
        <v>2.37</v>
      </c>
      <c r="K19" s="212" t="s">
        <v>718</v>
      </c>
      <c r="L19" s="191" t="s">
        <v>719</v>
      </c>
      <c r="M19" s="213">
        <f>'数据-取费表'!B53</f>
        <v>1.5</v>
      </c>
    </row>
    <row r="20" spans="1:37" s="1042" customFormat="1" ht="18" customHeight="1">
      <c r="A20" s="214"/>
      <c r="B20" s="810"/>
      <c r="C20" s="3075"/>
      <c r="D20" s="215"/>
      <c r="E20" s="191" t="s">
        <v>723</v>
      </c>
      <c r="F20" s="3129">
        <f ca="1">INDIRECT("'数据-取费表'!r"&amp;$G$1)</f>
        <v>15789.4</v>
      </c>
      <c r="G20" s="1041"/>
      <c r="H20" s="214"/>
      <c r="I20" s="200"/>
      <c r="J20" s="3075"/>
      <c r="K20" s="215"/>
      <c r="L20" s="191" t="s">
        <v>723</v>
      </c>
      <c r="M20" s="192">
        <f ca="1">INDIRECT("'数据-取费表'!r"&amp;$G$1)</f>
        <v>15789.4</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8.2799999999999994</v>
      </c>
      <c r="D21" s="3471" t="s">
        <v>3480</v>
      </c>
      <c r="E21" s="191" t="s">
        <v>699</v>
      </c>
      <c r="F21" s="3135">
        <f ca="1">INDIRECT("'数据-取费表'!Ak"&amp;$G$1)</f>
        <v>2E-3</v>
      </c>
      <c r="G21" s="1041"/>
      <c r="H21" s="722" t="s">
        <v>396</v>
      </c>
      <c r="I21" s="191" t="s">
        <v>725</v>
      </c>
      <c r="J21" s="3051">
        <f ca="1">ROUND(J31*M21,2)</f>
        <v>8.2799999999999994</v>
      </c>
      <c r="K21" s="3471"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3.23</v>
      </c>
      <c r="D22" s="3471" t="s">
        <v>3488</v>
      </c>
      <c r="E22" s="191" t="s">
        <v>731</v>
      </c>
      <c r="F22" s="3136">
        <f ca="1">INDIRECT("'数据-取费表'!Al"&amp;$G$1)</f>
        <v>1E-3</v>
      </c>
      <c r="G22" s="1030"/>
      <c r="H22" s="722" t="s">
        <v>431</v>
      </c>
      <c r="I22" s="191" t="s">
        <v>729</v>
      </c>
      <c r="J22" s="3051">
        <f ca="1">ROUND(J33*M22,2)</f>
        <v>0</v>
      </c>
      <c r="K22" s="3471" t="s">
        <v>730</v>
      </c>
      <c r="L22" s="191" t="s">
        <v>731</v>
      </c>
      <c r="M22" s="218">
        <f ca="1">INDIRECT("'数据-取费表'!Al"&amp;$G$1)</f>
        <v>1E-3</v>
      </c>
    </row>
    <row r="23" spans="1:37" s="1042" customFormat="1" ht="18" customHeight="1" thickBot="1">
      <c r="A23" s="798" t="s">
        <v>671</v>
      </c>
      <c r="B23" s="799" t="s">
        <v>715</v>
      </c>
      <c r="C23" s="3076">
        <f ca="1">ROUND(C5*F23,2)</f>
        <v>1.72</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3732</v>
      </c>
      <c r="B24" s="803" t="s">
        <v>759</v>
      </c>
      <c r="C24" s="3073">
        <f ca="1">C5-C13</f>
        <v>253</v>
      </c>
      <c r="D24" s="804" t="s">
        <v>760</v>
      </c>
      <c r="E24" s="805"/>
      <c r="F24" s="806"/>
      <c r="G24" s="1041"/>
      <c r="H24" s="788" t="s">
        <v>3323</v>
      </c>
      <c r="I24" s="803" t="s">
        <v>739</v>
      </c>
      <c r="J24" s="3478">
        <f ca="1">J5-J13</f>
        <v>-45</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1" t="s">
        <v>761</v>
      </c>
      <c r="C25" s="4702">
        <f ca="1">IF(C5&lt;&gt;0,ROUND(C24*(1-((1+F27)/(1+F25))^F26)/(F25-F27),0),0)</f>
        <v>4805</v>
      </c>
      <c r="D25" s="212" t="s">
        <v>745</v>
      </c>
      <c r="E25" s="191" t="s">
        <v>746</v>
      </c>
      <c r="F25" s="3137">
        <f ca="1">INDIRECT("'数据-取费表'!I"&amp;$G$1)</f>
        <v>5.5E-2</v>
      </c>
      <c r="G25" s="1030"/>
      <c r="H25" s="4692" t="s">
        <v>3733</v>
      </c>
      <c r="I25" s="4695" t="s">
        <v>744</v>
      </c>
      <c r="J25" s="4698">
        <f ca="1">IF(J5&lt;&gt;0,ROUND(J24*(1-((1+M27)/(1+M25))^M26)/(M25-M27),0),0)</f>
        <v>0</v>
      </c>
      <c r="K25" s="212" t="s">
        <v>745</v>
      </c>
      <c r="L25" s="202" t="s">
        <v>746</v>
      </c>
      <c r="M25" s="203">
        <f ca="1">INDIRECT("'数据-取费表'!I"&amp;$G$1)</f>
        <v>5.5E-2</v>
      </c>
    </row>
    <row r="26" spans="1:37">
      <c r="A26" s="3155"/>
      <c r="B26" s="4701"/>
      <c r="C26" s="4702"/>
      <c r="D26" s="220" t="s">
        <v>762</v>
      </c>
      <c r="E26" s="191" t="s">
        <v>750</v>
      </c>
      <c r="F26" s="3139">
        <f ca="1">IF(INDIRECT("'数据-取费表'!af"&amp;$G$1)=0,INDIRECT("'数据-取费表'!ae"&amp;$G$1),INDIRECT("'数据-取费表'!af"&amp;$G$1))</f>
        <v>36.880000000000003</v>
      </c>
      <c r="G26" s="1030"/>
      <c r="H26" s="4693"/>
      <c r="I26" s="4696"/>
      <c r="J26" s="4699"/>
      <c r="K26" s="3471" t="s">
        <v>749</v>
      </c>
      <c r="L26" s="191" t="s">
        <v>750</v>
      </c>
      <c r="M26" s="221">
        <f ca="1">INDIRECT("'数据-取费表'!ag"&amp;$G$1)</f>
        <v>0</v>
      </c>
    </row>
    <row r="27" spans="1:37" ht="18" customHeight="1">
      <c r="A27" s="1079"/>
      <c r="B27" s="4701"/>
      <c r="C27" s="4702"/>
      <c r="D27" s="215"/>
      <c r="E27" s="191" t="s">
        <v>753</v>
      </c>
      <c r="F27" s="3137">
        <f ca="1">INDIRECT("'数据-取费表'!v"&amp;$G$1)</f>
        <v>1.4999999999999999E-2</v>
      </c>
      <c r="G27" s="1030"/>
      <c r="H27" s="4694"/>
      <c r="I27" s="4697"/>
      <c r="J27" s="4700"/>
      <c r="K27" s="3471"/>
      <c r="L27" s="191" t="s">
        <v>753</v>
      </c>
      <c r="M27" s="201">
        <f ca="1">INDIRECT("'数据-取费表'!aa"&amp;$G$1)</f>
        <v>0</v>
      </c>
    </row>
    <row r="28" spans="1:37" s="1042" customFormat="1" ht="18" customHeight="1" thickBot="1">
      <c r="A28" s="4447" t="s">
        <v>3734</v>
      </c>
      <c r="B28" s="4448" t="s">
        <v>3519</v>
      </c>
      <c r="C28" s="4449">
        <f ca="1">ROUND(C25*(1+F28),0)</f>
        <v>5237</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191"/>
      <c r="M28" s="221">
        <f ca="1">INDIRECT("'数据-取费表'!k"&amp;$G$1)</f>
        <v>11046.05</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4741</v>
      </c>
      <c r="D29" s="4452" t="s">
        <v>3523</v>
      </c>
      <c r="E29" s="226" t="s">
        <v>765</v>
      </c>
      <c r="F29" s="3140">
        <f ca="1">INDIRECT("'数据-取费表'!k"&amp;$G$1)</f>
        <v>11046.05</v>
      </c>
      <c r="G29" s="1041"/>
      <c r="H29" s="4441" t="s">
        <v>3735</v>
      </c>
      <c r="I29" s="4442" t="s">
        <v>3520</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3675</v>
      </c>
      <c r="D31" s="3093" t="s">
        <v>3455</v>
      </c>
      <c r="E31" s="3089"/>
      <c r="F31" s="3090"/>
      <c r="G31" s="1030"/>
      <c r="H31" s="3109" t="s">
        <v>3447</v>
      </c>
      <c r="I31" s="3112" t="s">
        <v>3493</v>
      </c>
      <c r="J31" s="3113">
        <f ca="1">C47</f>
        <v>4142</v>
      </c>
      <c r="K31" s="3651" t="s">
        <v>3489</v>
      </c>
      <c r="L31" s="3114"/>
      <c r="M31" s="3466"/>
    </row>
    <row r="32" spans="1:37" ht="18" customHeight="1">
      <c r="A32" s="3049" t="s">
        <v>3441</v>
      </c>
      <c r="B32" s="3013" t="s">
        <v>694</v>
      </c>
      <c r="C32" s="2944">
        <f ca="1">INDIRECT("'数据-取费表'!m"&amp;$G$1)+INDIRECT("'数据-取费表'!t"&amp;$G$1)</f>
        <v>3040</v>
      </c>
      <c r="D32" s="2818" t="s">
        <v>695</v>
      </c>
      <c r="E32" s="2818"/>
      <c r="F32" s="221"/>
      <c r="G32" s="1030"/>
      <c r="H32" s="3110" t="s">
        <v>3494</v>
      </c>
      <c r="I32" s="3115" t="s">
        <v>3475</v>
      </c>
      <c r="J32" s="2996">
        <f ca="1">ROUND(J31*(1-M32),0)</f>
        <v>4142</v>
      </c>
      <c r="K32" s="191" t="s">
        <v>3478</v>
      </c>
      <c r="L32" s="3068" t="s">
        <v>3496</v>
      </c>
      <c r="M32" s="201">
        <f ca="1">INDIRECT("'数据-取费表'!ad"&amp;$G$1)</f>
        <v>0</v>
      </c>
    </row>
    <row r="33" spans="1:13" ht="18" customHeight="1" thickBot="1">
      <c r="A33" s="3049" t="s">
        <v>3449</v>
      </c>
      <c r="B33" s="3013" t="s">
        <v>697</v>
      </c>
      <c r="C33" s="3052">
        <f ca="1">ROUND(C32*F33,0)</f>
        <v>182</v>
      </c>
      <c r="D33" s="191" t="s">
        <v>698</v>
      </c>
      <c r="E33" s="191" t="s">
        <v>699</v>
      </c>
      <c r="F33" s="3133">
        <f>'数据-取费表'!B33</f>
        <v>0.06</v>
      </c>
      <c r="G33" s="1030"/>
      <c r="H33" s="3111" t="s">
        <v>3495</v>
      </c>
      <c r="I33" s="3116" t="s">
        <v>3477</v>
      </c>
      <c r="J33" s="3117">
        <f ca="1">J31-J32</f>
        <v>0</v>
      </c>
      <c r="K33" s="3091" t="s">
        <v>3522</v>
      </c>
      <c r="L33" s="225"/>
      <c r="M33" s="3118"/>
    </row>
    <row r="34" spans="1:13" ht="18" customHeight="1">
      <c r="A34" s="3049" t="s">
        <v>3450</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3451</v>
      </c>
      <c r="B35" s="3013" t="s">
        <v>703</v>
      </c>
      <c r="C35" s="3052">
        <f ca="1">ROUND(F35*(F29+INDIRECT("'数据-取费表'!S"&amp;$G$1))/10000,0)</f>
        <v>331</v>
      </c>
      <c r="D35" s="191" t="s">
        <v>704</v>
      </c>
      <c r="E35" s="191" t="s">
        <v>705</v>
      </c>
      <c r="F35" s="3134">
        <f>'数据-取费表'!B35</f>
        <v>300</v>
      </c>
      <c r="G35" s="1030"/>
    </row>
    <row r="36" spans="1:13" ht="18" customHeight="1">
      <c r="A36" s="3049" t="s">
        <v>3452</v>
      </c>
      <c r="B36" s="3071" t="s">
        <v>3453</v>
      </c>
      <c r="C36" s="3052">
        <f ca="1">ROUND(C32*F36,0)</f>
        <v>61</v>
      </c>
      <c r="D36" s="191" t="s">
        <v>698</v>
      </c>
      <c r="E36" s="191" t="s">
        <v>699</v>
      </c>
      <c r="F36" s="3133">
        <f>'数据-取费表'!B36</f>
        <v>0.02</v>
      </c>
      <c r="G36" s="1030"/>
      <c r="H36" s="868"/>
      <c r="I36" s="868"/>
      <c r="J36" s="868"/>
      <c r="K36" s="2069"/>
      <c r="L36" s="868"/>
      <c r="M36" s="868"/>
    </row>
    <row r="37" spans="1:13" ht="18" customHeight="1">
      <c r="A37" s="3049" t="s">
        <v>3452</v>
      </c>
      <c r="B37" s="3071" t="s">
        <v>3454</v>
      </c>
      <c r="C37" s="3052">
        <f ca="1">ROUND(C32*F37,0)</f>
        <v>61</v>
      </c>
      <c r="D37" s="191" t="s">
        <v>698</v>
      </c>
      <c r="E37" s="191" t="s">
        <v>699</v>
      </c>
      <c r="F37" s="3133">
        <f>'数据-取费表'!B37</f>
        <v>0.02</v>
      </c>
      <c r="G37" s="1030"/>
      <c r="H37" s="868"/>
      <c r="I37" s="868"/>
      <c r="J37" s="868"/>
      <c r="K37" s="2069"/>
      <c r="L37" s="868"/>
      <c r="M37" s="868"/>
    </row>
    <row r="38" spans="1:13" ht="18" customHeight="1">
      <c r="A38" s="204" t="s">
        <v>3462</v>
      </c>
      <c r="B38" s="3082" t="s">
        <v>3463</v>
      </c>
      <c r="C38" s="3104">
        <f ca="1">ROUND(C31*F38,0)</f>
        <v>74</v>
      </c>
      <c r="D38" s="3083" t="s">
        <v>3464</v>
      </c>
      <c r="E38" s="3082" t="s">
        <v>3465</v>
      </c>
      <c r="F38" s="3137">
        <f>'数据-取费表'!B38</f>
        <v>0.02</v>
      </c>
      <c r="G38" s="1030"/>
      <c r="H38" s="868"/>
      <c r="I38" s="868"/>
      <c r="J38" s="868"/>
      <c r="K38" s="2069"/>
      <c r="L38" s="868"/>
      <c r="M38" s="868"/>
    </row>
    <row r="39" spans="1:13" ht="18" customHeight="1">
      <c r="A39" s="204" t="s">
        <v>3466</v>
      </c>
      <c r="B39" s="3082" t="s">
        <v>3467</v>
      </c>
      <c r="C39" s="3900" t="str">
        <f>F39&amp;"V"</f>
        <v>0.02V</v>
      </c>
      <c r="D39" s="3083" t="s">
        <v>3468</v>
      </c>
      <c r="E39" s="3082" t="s">
        <v>3469</v>
      </c>
      <c r="F39" s="3137">
        <f>'数据-取费表'!B39</f>
        <v>0.02</v>
      </c>
      <c r="G39" s="1030"/>
      <c r="H39" s="868"/>
      <c r="I39" s="868"/>
      <c r="J39" s="868"/>
      <c r="K39" s="2069"/>
      <c r="L39" s="868"/>
      <c r="M39" s="868"/>
    </row>
    <row r="40" spans="1:13" ht="18" customHeight="1">
      <c r="A40" s="204" t="s">
        <v>3470</v>
      </c>
      <c r="B40" s="3085" t="s">
        <v>3456</v>
      </c>
      <c r="C40" s="3900" t="str">
        <f ca="1">C41&amp;"+"&amp;C42&amp;"V建"</f>
        <v>117+0.0006V建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117</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3471</v>
      </c>
      <c r="B43" s="3085" t="s">
        <v>3457</v>
      </c>
      <c r="C43" s="3900" t="str">
        <f ca="1">C44&amp;"+"&amp;C45&amp;"V建"</f>
        <v>187+0.001V建</v>
      </c>
      <c r="D43" s="3033" t="s">
        <v>3472</v>
      </c>
      <c r="E43" s="205"/>
      <c r="F43" s="3134"/>
      <c r="G43" s="1030"/>
      <c r="H43" s="868"/>
      <c r="I43" s="868"/>
      <c r="J43" s="868"/>
      <c r="K43" s="2069"/>
      <c r="L43" s="868"/>
      <c r="M43" s="868"/>
    </row>
    <row r="44" spans="1:13" ht="18" customHeight="1">
      <c r="A44" s="3049" t="s">
        <v>391</v>
      </c>
      <c r="B44" s="191" t="s">
        <v>741</v>
      </c>
      <c r="C44" s="3052">
        <f ca="1">ROUND((C31+C38)*F44,0)</f>
        <v>187</v>
      </c>
      <c r="D44" s="1964" t="s">
        <v>742</v>
      </c>
      <c r="E44" s="191" t="s">
        <v>743</v>
      </c>
      <c r="F44" s="3137">
        <f ca="1">INDIRECT("'数据-取费表'!q"&amp;$G$1)</f>
        <v>0.05</v>
      </c>
      <c r="G44" s="1030"/>
      <c r="H44" s="868"/>
      <c r="I44" s="868"/>
      <c r="J44" s="868"/>
      <c r="K44" s="2069"/>
      <c r="L44" s="868"/>
      <c r="M44" s="868"/>
    </row>
    <row r="45" spans="1:13" ht="18" customHeight="1">
      <c r="A45" s="3049" t="s">
        <v>393</v>
      </c>
      <c r="B45" s="191" t="s">
        <v>747</v>
      </c>
      <c r="C45" s="3901">
        <f ca="1">ROUND(F39*F44,4)</f>
        <v>1E-3</v>
      </c>
      <c r="D45" s="1964" t="s">
        <v>748</v>
      </c>
      <c r="E45" s="191"/>
      <c r="F45" s="3133"/>
      <c r="G45" s="1030"/>
      <c r="H45" s="868"/>
      <c r="I45" s="868"/>
      <c r="J45" s="868"/>
      <c r="K45" s="2069"/>
      <c r="L45" s="868"/>
      <c r="M45" s="868"/>
    </row>
    <row r="46" spans="1:13" ht="18" customHeight="1">
      <c r="A46" s="204" t="s">
        <v>3458</v>
      </c>
      <c r="B46" s="3082" t="s">
        <v>3459</v>
      </c>
      <c r="C46" s="4440">
        <f>ROUND(F46/(1+'数据-取费表'!C43),4)</f>
        <v>0</v>
      </c>
      <c r="D46" s="3083"/>
      <c r="E46" s="3082"/>
      <c r="F46" s="3137"/>
      <c r="G46" s="1030"/>
      <c r="H46" s="868"/>
      <c r="I46" s="868"/>
      <c r="J46" s="868"/>
      <c r="K46" s="2069"/>
      <c r="L46" s="868"/>
      <c r="M46" s="868"/>
    </row>
    <row r="47" spans="1:13" s="1030" customFormat="1" ht="18" customHeight="1">
      <c r="A47" s="204" t="s">
        <v>3460</v>
      </c>
      <c r="B47" s="3082" t="s">
        <v>3461</v>
      </c>
      <c r="C47" s="3104">
        <f ca="1">ROUND((C31+C38+C41+C44)/(1-F39-C42-C45-C46),0)</f>
        <v>4142</v>
      </c>
      <c r="D47" s="3098" t="s">
        <v>3489</v>
      </c>
      <c r="E47" s="3082"/>
      <c r="F47" s="3137"/>
      <c r="K47" s="1047"/>
    </row>
    <row r="48" spans="1:13" s="1030" customFormat="1" ht="18" customHeight="1">
      <c r="A48" s="3086" t="s">
        <v>3474</v>
      </c>
      <c r="B48" s="3085" t="s">
        <v>3475</v>
      </c>
      <c r="C48" s="3104">
        <f ca="1">ROUND(C47*(1-F48),0)</f>
        <v>911</v>
      </c>
      <c r="D48" s="191" t="s">
        <v>3478</v>
      </c>
      <c r="E48" s="191" t="s">
        <v>693</v>
      </c>
      <c r="F48" s="3133">
        <f ca="1">INDIRECT("'数据-取费表'!y"&amp;$G$1)</f>
        <v>0.78</v>
      </c>
      <c r="K48" s="1047"/>
    </row>
    <row r="49" spans="1:18" s="1030" customFormat="1" ht="18" customHeight="1" thickBot="1">
      <c r="A49" s="3087" t="s">
        <v>3476</v>
      </c>
      <c r="B49" s="3096" t="s">
        <v>3486</v>
      </c>
      <c r="C49" s="3117">
        <f ca="1">C47-C48</f>
        <v>3231</v>
      </c>
      <c r="D49" s="3091" t="s">
        <v>3522</v>
      </c>
      <c r="E49" s="223"/>
      <c r="F49" s="3092"/>
      <c r="K49" s="1047"/>
    </row>
    <row r="50" spans="1:18" s="1030" customFormat="1" ht="18" customHeight="1" thickBot="1">
      <c r="A50" s="1045"/>
      <c r="B50" s="1045"/>
      <c r="C50" s="1046"/>
      <c r="D50" s="1045"/>
      <c r="E50" s="1045"/>
      <c r="F50" s="1045"/>
      <c r="I50" s="3119" t="s">
        <v>3497</v>
      </c>
      <c r="J50" s="530"/>
      <c r="O50" s="2187" t="s">
        <v>795</v>
      </c>
      <c r="P50" s="1106"/>
      <c r="Q50" s="1106"/>
      <c r="R50" s="1106"/>
    </row>
    <row r="51" spans="1:18" s="1030" customFormat="1" ht="13.5" thickBot="1">
      <c r="A51" s="1049" t="s">
        <v>796</v>
      </c>
      <c r="C51" s="3126">
        <f ca="1">IF(D2="含税",C78-C28,C75-C25)</f>
        <v>-5525</v>
      </c>
      <c r="D51" s="1051" t="str">
        <f>C2</f>
        <v>万元</v>
      </c>
      <c r="E51" s="1045"/>
      <c r="F51" s="1045"/>
      <c r="I51" s="1052" t="s">
        <v>797</v>
      </c>
      <c r="J51" s="1053"/>
      <c r="K51" s="1054"/>
      <c r="L51" s="3446">
        <f ca="1">IF(M52="住宅",0,IF(L53&gt;J56,L65,J65))</f>
        <v>115</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3880</v>
      </c>
      <c r="K52" s="1061" t="s">
        <v>803</v>
      </c>
      <c r="L52" s="3447">
        <f ca="1">INDIRECT("'数据-取费表'!d"&amp;$G$1)</f>
        <v>50</v>
      </c>
      <c r="M52" s="1026" t="str">
        <f>IF(ISNUMBER(FIND("住宅",C1)),"住宅","非住宅")</f>
        <v>非住宅</v>
      </c>
      <c r="O52" s="1063" t="s">
        <v>397</v>
      </c>
      <c r="P52" s="1064" t="s">
        <v>804</v>
      </c>
      <c r="Q52" s="3455">
        <f ca="1">C25+J28</f>
        <v>4805</v>
      </c>
      <c r="R52" s="1065" t="s">
        <v>805</v>
      </c>
    </row>
    <row r="53" spans="1:18" s="1030" customFormat="1" ht="28.5" thickBot="1">
      <c r="A53" s="816" t="s">
        <v>432</v>
      </c>
      <c r="B53" s="189" t="s">
        <v>679</v>
      </c>
      <c r="C53" s="3120">
        <f ca="1">C54+C58+C60</f>
        <v>0</v>
      </c>
      <c r="D53" s="818"/>
      <c r="E53" s="819"/>
      <c r="F53" s="702"/>
      <c r="G53" s="526"/>
      <c r="H53" s="527"/>
      <c r="I53" s="1066" t="s">
        <v>806</v>
      </c>
      <c r="J53" s="1067" t="s">
        <v>3881</v>
      </c>
      <c r="K53" s="1068" t="s">
        <v>807</v>
      </c>
      <c r="L53" s="3444">
        <f ca="1">INDIRECT("'数据-取费表'!f"&amp;$G$1)</f>
        <v>36.880000000000003</v>
      </c>
      <c r="O53" s="1063" t="s">
        <v>398</v>
      </c>
      <c r="P53" s="1064" t="s">
        <v>808</v>
      </c>
      <c r="Q53" s="3455">
        <f ca="1">J65</f>
        <v>115</v>
      </c>
      <c r="R53" s="1065" t="s">
        <v>809</v>
      </c>
    </row>
    <row r="54" spans="1:18" s="1030" customFormat="1" ht="15.75" thickBot="1">
      <c r="A54" s="715" t="s">
        <v>433</v>
      </c>
      <c r="B54" s="1017" t="s">
        <v>766</v>
      </c>
      <c r="C54" s="3121">
        <f ca="1">C55-C57</f>
        <v>0</v>
      </c>
      <c r="D54" s="765" t="s">
        <v>2026</v>
      </c>
      <c r="E54" s="3095" t="s">
        <v>3485</v>
      </c>
      <c r="F54" s="3902"/>
      <c r="G54" s="1070"/>
      <c r="H54" s="527"/>
      <c r="I54" s="1066" t="s">
        <v>810</v>
      </c>
      <c r="J54" s="3442">
        <v>2015</v>
      </c>
      <c r="K54" s="1068" t="s">
        <v>811</v>
      </c>
      <c r="L54" s="3448"/>
      <c r="O54" s="1073" t="s">
        <v>399</v>
      </c>
      <c r="P54" s="1064" t="s">
        <v>812</v>
      </c>
      <c r="Q54" s="3455">
        <f ca="1">C47</f>
        <v>4142</v>
      </c>
      <c r="R54" s="1065" t="s">
        <v>805</v>
      </c>
    </row>
    <row r="55" spans="1:18" s="1030" customFormat="1" ht="13.5" thickBot="1">
      <c r="A55" s="716" t="s">
        <v>3483</v>
      </c>
      <c r="B55" s="3094" t="s">
        <v>3481</v>
      </c>
      <c r="C55" s="3122">
        <f ca="1">ROUND(F54*F56*F55/10000,0)</f>
        <v>0</v>
      </c>
      <c r="D55" s="693"/>
      <c r="E55" s="766" t="s">
        <v>684</v>
      </c>
      <c r="F55" s="3903">
        <f ca="1">F7</f>
        <v>11046.05</v>
      </c>
      <c r="H55" s="527"/>
      <c r="I55" s="1066" t="s">
        <v>813</v>
      </c>
      <c r="J55" s="3452">
        <f>SUMPRODUCT((I68:I70=J52)*(J67:L67=J53)*(J68:L70))</f>
        <v>50</v>
      </c>
      <c r="K55" s="1068" t="s">
        <v>814</v>
      </c>
      <c r="L55" s="3448"/>
      <c r="M55" s="1075"/>
      <c r="O55" s="1073" t="s">
        <v>400</v>
      </c>
      <c r="P55" s="1064" t="s">
        <v>815</v>
      </c>
      <c r="Q55" s="1076">
        <f ca="1">J63</f>
        <v>0.4</v>
      </c>
      <c r="R55" s="1065"/>
    </row>
    <row r="56" spans="1:18" s="1030" customFormat="1" ht="13.5" thickBot="1">
      <c r="A56" s="717"/>
      <c r="B56" s="719"/>
      <c r="C56" s="3123"/>
      <c r="D56" s="693"/>
      <c r="E56" s="721" t="s">
        <v>685</v>
      </c>
      <c r="F56" s="3895">
        <f ca="1">F8</f>
        <v>365</v>
      </c>
      <c r="I56" s="1077" t="s">
        <v>816</v>
      </c>
      <c r="J56" s="3444">
        <f>IF(J54="",J55,J54+J55-YEAR('数据-取费表'!B2))</f>
        <v>39</v>
      </c>
      <c r="K56" s="1079" t="s">
        <v>817</v>
      </c>
      <c r="L56" s="3449">
        <f ca="1">ROUND(-PV(INDIRECT("'数据-取费表'!h"&amp;$G$1),J56,(C24-C48*C83),0),0)</f>
        <v>3220</v>
      </c>
      <c r="M56" s="1081"/>
      <c r="O56" s="1073" t="s">
        <v>401</v>
      </c>
      <c r="P56" s="1064" t="s">
        <v>818</v>
      </c>
      <c r="Q56" s="1076">
        <f>J57</f>
        <v>7.4999999999999997E-2</v>
      </c>
      <c r="R56" s="1065"/>
    </row>
    <row r="57" spans="1:18" s="1030" customFormat="1" ht="13.5" thickBot="1">
      <c r="A57" s="717" t="s">
        <v>3484</v>
      </c>
      <c r="B57" s="3094" t="s">
        <v>3482</v>
      </c>
      <c r="C57" s="3123">
        <f ca="1">ROUND(C55*F57,0)</f>
        <v>0</v>
      </c>
      <c r="D57" s="693"/>
      <c r="E57" s="721" t="s">
        <v>686</v>
      </c>
      <c r="F57" s="3130"/>
      <c r="I57" s="1082" t="s">
        <v>819</v>
      </c>
      <c r="J57" s="1083">
        <v>7.4999999999999997E-2</v>
      </c>
      <c r="K57" s="1082" t="s">
        <v>820</v>
      </c>
      <c r="L57" s="1083"/>
      <c r="O57" s="1073" t="s">
        <v>402</v>
      </c>
      <c r="P57" s="1064" t="s">
        <v>821</v>
      </c>
      <c r="Q57" s="3454">
        <f ca="1">J58</f>
        <v>36.880000000000003</v>
      </c>
      <c r="R57" s="1065" t="s">
        <v>822</v>
      </c>
    </row>
    <row r="58" spans="1:18" s="1030" customFormat="1" ht="24.75" thickBot="1">
      <c r="A58" s="842" t="s">
        <v>434</v>
      </c>
      <c r="B58" s="1019" t="s">
        <v>687</v>
      </c>
      <c r="C58" s="3104">
        <f ca="1">ROUND(IF(F58="押一",C54/12*F11,IF(F58="押二",C54/12*2*F11,IF(F58="押三",C54/12*3*F11,C59*F11))),0)</f>
        <v>0</v>
      </c>
      <c r="D58" s="1012" t="s">
        <v>2032</v>
      </c>
      <c r="E58" s="202" t="s">
        <v>688</v>
      </c>
      <c r="F58" s="3904"/>
      <c r="I58" s="1084" t="s">
        <v>823</v>
      </c>
      <c r="J58" s="3445">
        <f ca="1">IF(M52="住宅",IF(D1="——",MAX(J56,L53),MAX(J56,L53-'数据-取费表'!B24)),IF(D1="——",MIN(J56,L53),MIN(J56,L53-'数据-取费表'!B24)))</f>
        <v>36.880000000000003</v>
      </c>
      <c r="K58" s="4686" t="s">
        <v>824</v>
      </c>
      <c r="L58" s="4687"/>
      <c r="O58" s="1063" t="s">
        <v>403</v>
      </c>
      <c r="P58" s="1064" t="s">
        <v>825</v>
      </c>
      <c r="Q58" s="3455">
        <f ca="1">Q52+Q53</f>
        <v>4920</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4.2000000000000003E-2</v>
      </c>
      <c r="K60" s="1090" t="s">
        <v>828</v>
      </c>
      <c r="L60" s="1091"/>
      <c r="O60" s="1056" t="s">
        <v>798</v>
      </c>
      <c r="P60" s="1057" t="s">
        <v>799</v>
      </c>
      <c r="Q60" s="1058" t="s">
        <v>800</v>
      </c>
      <c r="R60" s="1058" t="s">
        <v>801</v>
      </c>
    </row>
    <row r="61" spans="1:18" s="1030" customFormat="1" ht="25.5" thickTop="1" thickBot="1">
      <c r="A61" s="697">
        <v>2</v>
      </c>
      <c r="B61" s="3097" t="s">
        <v>3487</v>
      </c>
      <c r="C61" s="2848">
        <f ca="1">C49</f>
        <v>3231</v>
      </c>
      <c r="D61" s="1092"/>
      <c r="E61" s="1093"/>
      <c r="F61" s="1085"/>
      <c r="I61" s="1094" t="s">
        <v>829</v>
      </c>
      <c r="J61" s="1095" t="s">
        <v>3861</v>
      </c>
      <c r="K61" s="1066" t="s">
        <v>830</v>
      </c>
      <c r="L61" s="3444" t="str">
        <f ca="1">IF(L53&lt;J56,"——",L53-J58)</f>
        <v>——</v>
      </c>
      <c r="O61" s="1063" t="s">
        <v>397</v>
      </c>
      <c r="P61" s="1064" t="s">
        <v>804</v>
      </c>
      <c r="Q61" s="3455">
        <f ca="1">C25+J28</f>
        <v>4805</v>
      </c>
      <c r="R61" s="1065" t="s">
        <v>805</v>
      </c>
    </row>
    <row r="62" spans="1:18" s="1030" customFormat="1" ht="24.75" thickBot="1">
      <c r="A62" s="1096"/>
      <c r="B62" s="690" t="s">
        <v>754</v>
      </c>
      <c r="C62" s="3124">
        <f ca="1">C47</f>
        <v>4142</v>
      </c>
      <c r="D62" s="3099" t="s">
        <v>3489</v>
      </c>
      <c r="E62" s="1098"/>
      <c r="F62" s="1099"/>
      <c r="I62" s="1100" t="s">
        <v>831</v>
      </c>
      <c r="J62" s="3907">
        <f ca="1">IF(OR(M52="住宅",J56&lt;L53,J61="是"),"——",J56-L53)</f>
        <v>2.1199999999999974</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13</v>
      </c>
      <c r="D63" s="700" t="s">
        <v>702</v>
      </c>
      <c r="E63" s="701"/>
      <c r="F63" s="702"/>
      <c r="I63" s="1100" t="s">
        <v>835</v>
      </c>
      <c r="J63" s="1102">
        <f ca="1">IF(J60&lt;0.4,0.4,J60)</f>
        <v>0.4</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1.32</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1657</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3442</v>
      </c>
      <c r="C65" s="3051">
        <f ca="1">ROUND((C66-C67)*(1+F65),2)</f>
        <v>-1.05</v>
      </c>
      <c r="D65" s="3100" t="s">
        <v>3490</v>
      </c>
      <c r="E65" s="191" t="s">
        <v>3479</v>
      </c>
      <c r="F65" s="3132">
        <f>F15</f>
        <v>0.12000000000000001</v>
      </c>
      <c r="I65" s="1103" t="s">
        <v>840</v>
      </c>
      <c r="J65" s="4459">
        <f ca="1">IF(OR(M52="住宅",J56&lt;L53,J61="是"),"0",ROUND(J64/(1+J57)^J58,0))</f>
        <v>115</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3443</v>
      </c>
      <c r="C66" s="3051">
        <f ca="1">ROUND(C54*F66,2)</f>
        <v>0</v>
      </c>
      <c r="D66" s="1092"/>
      <c r="E66" s="3078" t="s">
        <v>3445</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3444</v>
      </c>
      <c r="C67" s="3051">
        <f ca="1">ROUND(C71*F66+((C72+C73)*F67),2)</f>
        <v>0.94</v>
      </c>
      <c r="D67" s="3079" t="s">
        <v>3446</v>
      </c>
      <c r="E67" s="3079"/>
      <c r="F67" s="3132">
        <f t="shared" si="0"/>
        <v>0.06</v>
      </c>
      <c r="I67" s="1107" t="s">
        <v>845</v>
      </c>
      <c r="J67" s="1108" t="s">
        <v>846</v>
      </c>
      <c r="K67" s="1108" t="s">
        <v>847</v>
      </c>
      <c r="L67" s="1108" t="s">
        <v>848</v>
      </c>
      <c r="M67" s="1109" t="s">
        <v>849</v>
      </c>
      <c r="O67" s="1063" t="s">
        <v>403</v>
      </c>
      <c r="P67" s="1064" t="s">
        <v>850</v>
      </c>
      <c r="Q67" s="3454">
        <f ca="1">Q61+Q62</f>
        <v>4805</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2.37</v>
      </c>
      <c r="D69" s="705" t="s">
        <v>773</v>
      </c>
      <c r="E69" s="690" t="s">
        <v>774</v>
      </c>
      <c r="F69" s="3905">
        <f t="shared" si="1"/>
        <v>1.5</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15789.4</v>
      </c>
      <c r="I70" s="1107" t="s">
        <v>854</v>
      </c>
      <c r="J70" s="3906">
        <v>40</v>
      </c>
      <c r="K70" s="3906">
        <v>30</v>
      </c>
      <c r="L70" s="3906">
        <v>50</v>
      </c>
      <c r="M70" s="1110">
        <v>0.02</v>
      </c>
      <c r="O70" s="1063" t="s">
        <v>397</v>
      </c>
      <c r="P70" s="1064" t="s">
        <v>855</v>
      </c>
      <c r="Q70" s="3455">
        <f ca="1">C25+J28</f>
        <v>4805</v>
      </c>
      <c r="R70" s="1065" t="s">
        <v>805</v>
      </c>
    </row>
    <row r="71" spans="1:18" s="1030" customFormat="1" ht="16.5" thickBot="1">
      <c r="A71" s="722" t="s">
        <v>776</v>
      </c>
      <c r="B71" s="690" t="s">
        <v>777</v>
      </c>
      <c r="C71" s="3051">
        <f ca="1">ROUND(C62*F71,2)</f>
        <v>8.2799999999999994</v>
      </c>
      <c r="D71" s="704" t="s">
        <v>3480</v>
      </c>
      <c r="E71" s="690" t="s">
        <v>770</v>
      </c>
      <c r="F71" s="3135">
        <f t="shared" ca="1" si="1"/>
        <v>2E-3</v>
      </c>
      <c r="O71" s="1063" t="s">
        <v>398</v>
      </c>
      <c r="P71" s="1064" t="s">
        <v>833</v>
      </c>
      <c r="Q71" s="3454">
        <f ca="1">L65</f>
        <v>0</v>
      </c>
      <c r="R71" s="1065" t="s">
        <v>856</v>
      </c>
    </row>
    <row r="72" spans="1:18" s="1030" customFormat="1" ht="16.5" thickBot="1">
      <c r="A72" s="722" t="s">
        <v>779</v>
      </c>
      <c r="B72" s="690" t="s">
        <v>729</v>
      </c>
      <c r="C72" s="3051">
        <f ca="1">ROUND(C61*F72,2)</f>
        <v>3.23</v>
      </c>
      <c r="D72" s="704" t="s">
        <v>3488</v>
      </c>
      <c r="E72" s="690" t="s">
        <v>731</v>
      </c>
      <c r="F72" s="3136">
        <f t="shared" ca="1" si="1"/>
        <v>1E-3</v>
      </c>
      <c r="O72" s="1073" t="s">
        <v>399</v>
      </c>
      <c r="P72" s="1064" t="s">
        <v>837</v>
      </c>
      <c r="Q72" s="3455">
        <f ca="1">L56</f>
        <v>3220</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189</v>
      </c>
      <c r="R73" s="1065" t="s">
        <v>408</v>
      </c>
    </row>
    <row r="74" spans="1:18" s="1030" customFormat="1" ht="13.5" thickBot="1">
      <c r="A74" s="697" t="s">
        <v>388</v>
      </c>
      <c r="B74" s="707" t="s">
        <v>739</v>
      </c>
      <c r="C74" s="3104">
        <f ca="1">C53-C63</f>
        <v>-13</v>
      </c>
      <c r="D74" s="703" t="s">
        <v>740</v>
      </c>
      <c r="E74" s="708"/>
      <c r="F74" s="3138"/>
      <c r="O74" s="1073" t="s">
        <v>405</v>
      </c>
      <c r="P74" s="1112" t="s">
        <v>859</v>
      </c>
      <c r="Q74" s="3455">
        <f ca="1">C24</f>
        <v>253</v>
      </c>
      <c r="R74" s="1065" t="s">
        <v>805</v>
      </c>
    </row>
    <row r="75" spans="1:18" s="1030" customFormat="1" ht="13.5" thickBot="1">
      <c r="A75" s="3160" t="s">
        <v>389</v>
      </c>
      <c r="B75" s="688" t="s">
        <v>761</v>
      </c>
      <c r="C75" s="3108">
        <f ca="1">ROUND(C74*(1-((1+F77)/(1+F75))^F76)/(F75-F77),0)</f>
        <v>-264</v>
      </c>
      <c r="D75" s="3157" t="s">
        <v>745</v>
      </c>
      <c r="E75" s="690" t="s">
        <v>746</v>
      </c>
      <c r="F75" s="3137">
        <f ca="1">F25</f>
        <v>5.5E-2</v>
      </c>
      <c r="O75" s="1073" t="s">
        <v>406</v>
      </c>
      <c r="P75" s="1112" t="s">
        <v>860</v>
      </c>
      <c r="Q75" s="3455">
        <f ca="1">C48</f>
        <v>911</v>
      </c>
      <c r="R75" s="1065" t="s">
        <v>805</v>
      </c>
    </row>
    <row r="76" spans="1:18" s="1030" customFormat="1" ht="13.5" thickBot="1">
      <c r="A76" s="3161"/>
      <c r="B76" s="692"/>
      <c r="C76" s="3125"/>
      <c r="D76" s="3158" t="s">
        <v>749</v>
      </c>
      <c r="E76" s="690" t="s">
        <v>750</v>
      </c>
      <c r="F76" s="3139">
        <f ca="1">F26</f>
        <v>36.880000000000003</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3492</v>
      </c>
      <c r="C78" s="3107">
        <f ca="1">ROUND(C75*(1+F28),0)</f>
        <v>-288</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-261</v>
      </c>
      <c r="D79" s="713" t="s">
        <v>3523</v>
      </c>
      <c r="E79" s="714" t="s">
        <v>765</v>
      </c>
      <c r="F79" s="3140">
        <f ca="1">F29</f>
        <v>11046.05</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4805</v>
      </c>
      <c r="R80" s="1065" t="s">
        <v>404</v>
      </c>
    </row>
    <row r="81" spans="1:12">
      <c r="A81" s="1030"/>
      <c r="B81" s="173" t="s">
        <v>862</v>
      </c>
      <c r="C81" s="1114"/>
      <c r="D81" s="1030"/>
      <c r="E81" s="1030"/>
      <c r="F81" s="1030"/>
      <c r="I81" s="1030"/>
      <c r="J81" s="1030"/>
      <c r="K81" s="1047"/>
      <c r="L81" s="1030"/>
    </row>
    <row r="82" spans="1:12">
      <c r="A82" s="1030"/>
      <c r="B82" s="228" t="s">
        <v>782</v>
      </c>
      <c r="C82" s="3214">
        <f ca="1">ROUND(C48*C83,0)</f>
        <v>64</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0.747</v>
      </c>
    </row>
    <row r="87" spans="1:12">
      <c r="B87" s="228" t="s">
        <v>787</v>
      </c>
      <c r="C87" s="3215">
        <f ca="1">ROUND(C82/C24,3)</f>
        <v>0.253</v>
      </c>
    </row>
    <row r="88" spans="1:12">
      <c r="B88" s="170" t="s">
        <v>788</v>
      </c>
      <c r="C88" s="138"/>
    </row>
    <row r="89" spans="1:12">
      <c r="B89" s="173" t="s">
        <v>789</v>
      </c>
      <c r="C89" s="3216">
        <f ca="1">1-C90</f>
        <v>0.34299999999999997</v>
      </c>
    </row>
    <row r="90" spans="1:12">
      <c r="B90" s="173" t="s">
        <v>790</v>
      </c>
      <c r="C90" s="3215">
        <f ca="1">ROUND(C49/(C25+J28+L51),3)</f>
        <v>0.65700000000000003</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c r="D1" s="1008"/>
      <c r="E1" s="1009" t="s">
        <v>665</v>
      </c>
      <c r="F1" s="772">
        <f ca="1">J58</f>
        <v>0</v>
      </c>
      <c r="G1" s="1024">
        <f>MATCH(C1,'数据-取费表'!A6:A16,0)+5</f>
        <v>7</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t="e">
        <f ca="1">ROUND(D3/10000,4)</f>
        <v>#DIV/0!</v>
      </c>
      <c r="C2" s="1032" t="s">
        <v>792</v>
      </c>
      <c r="D2" s="3798"/>
      <c r="E2" s="1033"/>
      <c r="F2" s="1034"/>
      <c r="G2" s="2188"/>
      <c r="H2" s="2177"/>
      <c r="I2" s="2177"/>
      <c r="J2" s="2177"/>
      <c r="K2" s="2178"/>
      <c r="L2" s="2177"/>
      <c r="M2" s="2177"/>
    </row>
    <row r="3" spans="1:37" ht="18" customHeight="1" thickBot="1">
      <c r="A3" s="1035" t="s">
        <v>793</v>
      </c>
      <c r="B3" s="1036">
        <f ca="1">IF(ISERROR(D3/F29),0,ROUND(D3/F29,0))</f>
        <v>0</v>
      </c>
      <c r="C3" s="1032" t="s">
        <v>794</v>
      </c>
      <c r="D3" s="1032" t="e">
        <f ca="1">IF(D2="含税",ROUND((C25+J28+L51)*(1+F28),0),C25+J28+L51)</f>
        <v>#DIV/0!</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3440</v>
      </c>
      <c r="C5" s="3103">
        <f ca="1">C6+C10+C12</f>
        <v>0</v>
      </c>
      <c r="D5" s="1010" t="s">
        <v>680</v>
      </c>
      <c r="E5" s="781"/>
      <c r="F5" s="782"/>
      <c r="G5" s="1030"/>
      <c r="H5" s="188">
        <v>1</v>
      </c>
      <c r="I5" s="3475" t="s">
        <v>679</v>
      </c>
      <c r="J5" s="3103">
        <f ca="1">J6+J10+J12</f>
        <v>0</v>
      </c>
      <c r="K5" s="1010" t="s">
        <v>680</v>
      </c>
      <c r="L5" s="3659"/>
      <c r="M5" s="782"/>
    </row>
    <row r="6" spans="1:37" ht="18" customHeight="1">
      <c r="A6" s="779" t="s">
        <v>392</v>
      </c>
      <c r="B6" s="3067" t="s">
        <v>3434</v>
      </c>
      <c r="C6" s="3909">
        <f ca="1">C7-C9</f>
        <v>0</v>
      </c>
      <c r="D6" s="3068" t="s">
        <v>3438</v>
      </c>
      <c r="E6" s="3066" t="s">
        <v>3432</v>
      </c>
      <c r="F6" s="3441">
        <f ca="1">INDIRECT("'数据-取费表'!u"&amp;$G$1)</f>
        <v>0</v>
      </c>
      <c r="G6" s="1030"/>
      <c r="H6" s="779" t="s">
        <v>392</v>
      </c>
      <c r="I6" s="3479" t="s">
        <v>681</v>
      </c>
      <c r="J6" s="3104">
        <f ca="1">J7-J9</f>
        <v>0</v>
      </c>
      <c r="K6" s="3068" t="s">
        <v>3438</v>
      </c>
      <c r="L6" s="3660" t="s">
        <v>3432</v>
      </c>
      <c r="M6" s="3937">
        <f ca="1">INDIRECT("'数据-取费表'!z"&amp;$G$1)</f>
        <v>0</v>
      </c>
    </row>
    <row r="7" spans="1:37" ht="18" customHeight="1">
      <c r="A7" s="4703" t="s">
        <v>391</v>
      </c>
      <c r="B7" s="4688" t="s">
        <v>3435</v>
      </c>
      <c r="C7" s="4690">
        <f ca="1">ROUND(F6*F7*F8,0)</f>
        <v>0</v>
      </c>
      <c r="D7" s="4705" t="s">
        <v>3521</v>
      </c>
      <c r="E7" s="3467" t="s">
        <v>684</v>
      </c>
      <c r="F7" s="3895">
        <f ca="1">IF(INDIRECT("'数据-取费表'!ah"&amp;$G$1)="",INDIRECT("'数据-取费表'!k"&amp;$G$1),INDIRECT("'数据-取费表'!ah"&amp;$G$1))</f>
        <v>0</v>
      </c>
      <c r="G7" s="1030"/>
      <c r="H7" s="4703" t="s">
        <v>391</v>
      </c>
      <c r="I7" s="4688" t="s">
        <v>3435</v>
      </c>
      <c r="J7" s="4699">
        <f ca="1">ROUND(M6*M8*M7/10000,0)</f>
        <v>0</v>
      </c>
      <c r="K7" s="4691" t="s">
        <v>3437</v>
      </c>
      <c r="L7" s="2076" t="s">
        <v>684</v>
      </c>
      <c r="M7" s="3938">
        <f ca="1">F7</f>
        <v>0</v>
      </c>
    </row>
    <row r="8" spans="1:37" ht="18" customHeight="1">
      <c r="A8" s="4704"/>
      <c r="B8" s="4689"/>
      <c r="C8" s="4690"/>
      <c r="D8" s="4705"/>
      <c r="E8" s="191" t="s">
        <v>685</v>
      </c>
      <c r="F8" s="3895">
        <f ca="1">INDIRECT("'数据-取费表'!ai"&amp;$G$1)</f>
        <v>0</v>
      </c>
      <c r="G8" s="1030"/>
      <c r="H8" s="4704"/>
      <c r="I8" s="4689"/>
      <c r="J8" s="4699"/>
      <c r="K8" s="4691"/>
      <c r="L8" s="2076" t="s">
        <v>685</v>
      </c>
      <c r="M8" s="3938">
        <f ca="1">INDIRECT("'数据-取费表'!ai"&amp;$G$1)</f>
        <v>0</v>
      </c>
    </row>
    <row r="9" spans="1:37" ht="18" customHeight="1">
      <c r="A9" s="3049" t="s">
        <v>3436</v>
      </c>
      <c r="B9" s="3473" t="s">
        <v>3433</v>
      </c>
      <c r="C9" s="3891">
        <f ca="1">ROUND(C7*F9,0)</f>
        <v>0</v>
      </c>
      <c r="D9" s="3068" t="s">
        <v>3439</v>
      </c>
      <c r="E9" s="191" t="s">
        <v>686</v>
      </c>
      <c r="F9" s="3137">
        <f ca="1">INDIRECT("'数据-取费表'!w"&amp;$G$1)</f>
        <v>0</v>
      </c>
      <c r="G9" s="1030"/>
      <c r="H9" s="3049" t="s">
        <v>3436</v>
      </c>
      <c r="I9" s="3473" t="s">
        <v>3433</v>
      </c>
      <c r="J9" s="3104">
        <f ca="1">ROUND(J7*M9,0)</f>
        <v>0</v>
      </c>
      <c r="K9" s="3474"/>
      <c r="L9" s="3469" t="s">
        <v>686</v>
      </c>
      <c r="M9" s="3924">
        <f ca="1">INDIRECT("'数据-取费表'!ab"&amp;$G$1)</f>
        <v>0</v>
      </c>
    </row>
    <row r="10" spans="1:37" ht="18" customHeight="1">
      <c r="A10" s="779" t="s">
        <v>396</v>
      </c>
      <c r="B10" s="1011" t="s">
        <v>687</v>
      </c>
      <c r="C10" s="4453">
        <f ca="1">ROUND(IF(F10="押一",C6/12*F11,IF(F10="押二",C6/12*2*F11,IF(F10="押三",C6/12*3*F11,C11*F11))),0)</f>
        <v>0</v>
      </c>
      <c r="D10" s="1012" t="s">
        <v>2032</v>
      </c>
      <c r="E10" s="202" t="s">
        <v>688</v>
      </c>
      <c r="F10" s="821"/>
      <c r="G10" s="1030"/>
      <c r="H10" s="779" t="s">
        <v>396</v>
      </c>
      <c r="I10" s="1011" t="s">
        <v>687</v>
      </c>
      <c r="J10" s="4457">
        <f ca="1">ROUND(IF(M10="押一",J6/12*M11,IF(M10="押二",J6/12*2*M11,IF(M10="押三",J6/12*3*M11,J11*M11))),0)</f>
        <v>0</v>
      </c>
      <c r="K10" s="1012" t="s">
        <v>2032</v>
      </c>
      <c r="L10" s="3469" t="s">
        <v>688</v>
      </c>
      <c r="M10" s="3925"/>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3731</v>
      </c>
      <c r="B13" s="789" t="s">
        <v>701</v>
      </c>
      <c r="C13" s="3892">
        <f ca="1">ROUND(C14+C21+C22+C23,0)</f>
        <v>0</v>
      </c>
      <c r="D13" s="796" t="s">
        <v>702</v>
      </c>
      <c r="E13" s="3472"/>
      <c r="F13" s="782"/>
      <c r="G13" s="1030"/>
      <c r="H13" s="788" t="s">
        <v>3731</v>
      </c>
      <c r="I13" s="789" t="s">
        <v>701</v>
      </c>
      <c r="J13" s="3478">
        <f ca="1">ROUND(J14+J21+J22+J23,0)</f>
        <v>0</v>
      </c>
      <c r="K13" s="3470" t="s">
        <v>3491</v>
      </c>
      <c r="L13" s="782"/>
      <c r="M13" s="3927"/>
    </row>
    <row r="14" spans="1:37" ht="18" customHeight="1">
      <c r="A14" s="722" t="s">
        <v>392</v>
      </c>
      <c r="B14" s="191" t="s">
        <v>706</v>
      </c>
      <c r="C14" s="3052">
        <f ca="1">ROUND(IF(AND(项目基本情况!B11="自然人",项目基本情况!B10="北京市",M52="住宅"),C6*F14,C15+C18+C19),2)</f>
        <v>0</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0</v>
      </c>
      <c r="K14" s="3100" t="s">
        <v>3490</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3308</v>
      </c>
      <c r="C15" s="3052">
        <f ca="1">ROUND((C16-C17)*(1+F15),0)</f>
        <v>0</v>
      </c>
      <c r="D15" s="3100" t="s">
        <v>3490</v>
      </c>
      <c r="E15" s="191" t="s">
        <v>3479</v>
      </c>
      <c r="F15" s="3132">
        <f>'数据-取费表'!B44</f>
        <v>0.12000000000000001</v>
      </c>
      <c r="G15" s="1041"/>
      <c r="H15" s="722" t="s">
        <v>391</v>
      </c>
      <c r="I15" s="3066" t="s">
        <v>3308</v>
      </c>
      <c r="J15" s="3051">
        <f ca="1">ROUND((J16-J17)*(1+M15),2)</f>
        <v>0</v>
      </c>
      <c r="K15" s="1092"/>
      <c r="L15" s="2076" t="s">
        <v>3479</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2996">
        <f ca="1">ROUND(C6*F16,0)</f>
        <v>0</v>
      </c>
      <c r="D16" s="1092"/>
      <c r="E16" s="3078" t="s">
        <v>3445</v>
      </c>
      <c r="F16" s="3132">
        <v>0.09</v>
      </c>
      <c r="G16" s="1030"/>
      <c r="H16" s="2832" t="s">
        <v>3311</v>
      </c>
      <c r="I16" s="3071" t="s">
        <v>3443</v>
      </c>
      <c r="J16" s="3077">
        <f ca="1">ROUND(J6*M16,2)</f>
        <v>0</v>
      </c>
      <c r="K16" s="3079" t="s">
        <v>3446</v>
      </c>
      <c r="L16" s="3662" t="s">
        <v>3445</v>
      </c>
      <c r="M16" s="3929">
        <v>0.09</v>
      </c>
    </row>
    <row r="17" spans="1:37" s="1042" customFormat="1" ht="18" customHeight="1">
      <c r="A17" s="2832" t="s">
        <v>3312</v>
      </c>
      <c r="B17" s="3071" t="s">
        <v>3444</v>
      </c>
      <c r="C17" s="3437">
        <f ca="1">ROUND(C21*F16+((C22+C23)*F17),0)</f>
        <v>0</v>
      </c>
      <c r="D17" s="3079" t="s">
        <v>3446</v>
      </c>
      <c r="E17" s="3079"/>
      <c r="F17" s="3132">
        <v>0.06</v>
      </c>
      <c r="G17" s="1041"/>
      <c r="H17" s="2832" t="s">
        <v>3312</v>
      </c>
      <c r="I17" s="3071" t="s">
        <v>3444</v>
      </c>
      <c r="J17" s="3101">
        <f ca="1">ROUND(J21*M16+((J22+J23)*M17),2)</f>
        <v>0</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0</v>
      </c>
      <c r="D18" s="3070"/>
      <c r="E18" s="191" t="s">
        <v>699</v>
      </c>
      <c r="F18" s="3133">
        <f>IF(D18="按票据","——",IF(D18="按不含税租金收入计税",'数据-取费表'!B52,'数据-取费表'!B51))</f>
        <v>1.2E-2</v>
      </c>
      <c r="G18" s="1041"/>
      <c r="H18" s="722" t="s">
        <v>393</v>
      </c>
      <c r="I18" s="191" t="s">
        <v>714</v>
      </c>
      <c r="J18" s="3051">
        <f ca="1">IF(K18="按不含税租金收入计税",ROUND(J6*M18,2),ROUND(C47*M18*0.7,2))</f>
        <v>0</v>
      </c>
      <c r="K18" s="1016"/>
      <c r="L18" s="2076" t="s">
        <v>699</v>
      </c>
      <c r="M18" s="3928">
        <f>IF(K18="按不含税租金收入计税",'数据-取费表'!B52,'数据-取费表'!B51)</f>
        <v>1.2E-2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1.5</v>
      </c>
      <c r="G19" s="1030"/>
      <c r="H19" s="722" t="s">
        <v>667</v>
      </c>
      <c r="I19" s="60" t="s">
        <v>717</v>
      </c>
      <c r="J19" s="3074">
        <f ca="1">ROUND(M19*M20/10000,2)</f>
        <v>0</v>
      </c>
      <c r="K19" s="212" t="s">
        <v>718</v>
      </c>
      <c r="L19" s="2076" t="s">
        <v>719</v>
      </c>
      <c r="M19" s="3936">
        <f>'数据-取费表'!B53</f>
        <v>1.5</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0</v>
      </c>
      <c r="D21" s="3471" t="s">
        <v>726</v>
      </c>
      <c r="E21" s="191" t="s">
        <v>699</v>
      </c>
      <c r="F21" s="3135">
        <f ca="1">INDIRECT("'数据-取费表'!Ak"&amp;$G$1)</f>
        <v>0</v>
      </c>
      <c r="G21" s="1041"/>
      <c r="H21" s="722" t="s">
        <v>396</v>
      </c>
      <c r="I21" s="191" t="s">
        <v>725</v>
      </c>
      <c r="J21" s="3051">
        <f ca="1">ROUND(J31*M21,2)</f>
        <v>0</v>
      </c>
      <c r="K21" s="3471" t="s">
        <v>726</v>
      </c>
      <c r="L21" s="2076" t="s">
        <v>699</v>
      </c>
      <c r="M21" s="3930">
        <f ca="1">INDIRECT("'数据-取费表'!Ak"&amp;$G$1)</f>
        <v>0</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0</v>
      </c>
      <c r="D22" s="3471" t="s">
        <v>3488</v>
      </c>
      <c r="E22" s="191" t="s">
        <v>699</v>
      </c>
      <c r="F22" s="3136">
        <f ca="1">INDIRECT("'数据-取费表'!Al"&amp;$G$1)</f>
        <v>0</v>
      </c>
      <c r="G22" s="1030"/>
      <c r="H22" s="722" t="s">
        <v>431</v>
      </c>
      <c r="I22" s="191" t="s">
        <v>729</v>
      </c>
      <c r="J22" s="3051">
        <f ca="1">ROUND(J33*M22,2)</f>
        <v>0</v>
      </c>
      <c r="K22" s="3471" t="s">
        <v>730</v>
      </c>
      <c r="L22" s="2076" t="s">
        <v>699</v>
      </c>
      <c r="M22" s="3931">
        <f ca="1">INDIRECT("'数据-取费表'!Al"&amp;$G$1)</f>
        <v>0</v>
      </c>
    </row>
    <row r="23" spans="1:37" s="1042" customFormat="1" ht="18" customHeight="1" thickBot="1">
      <c r="A23" s="798" t="s">
        <v>670</v>
      </c>
      <c r="B23" s="799" t="s">
        <v>715</v>
      </c>
      <c r="C23" s="3440">
        <f ca="1">ROUND(C5*F23,0)</f>
        <v>0</v>
      </c>
      <c r="D23" s="801" t="s">
        <v>735</v>
      </c>
      <c r="E23" s="799" t="s">
        <v>699</v>
      </c>
      <c r="F23" s="3213">
        <f ca="1">INDIRECT("'数据-取费表'!Am"&amp;$G$1)</f>
        <v>0</v>
      </c>
      <c r="G23" s="1041"/>
      <c r="H23" s="798" t="s">
        <v>670</v>
      </c>
      <c r="I23" s="799" t="s">
        <v>715</v>
      </c>
      <c r="J23" s="3076">
        <f ca="1">ROUND(J5*M23,2)</f>
        <v>0</v>
      </c>
      <c r="K23" s="801" t="s">
        <v>735</v>
      </c>
      <c r="L23" s="3661" t="s">
        <v>699</v>
      </c>
      <c r="M23" s="3932">
        <f ca="1">INDIRECT("'数据-取费表'!Am"&amp;$G$1)</f>
        <v>0</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3323</v>
      </c>
      <c r="B24" s="803" t="s">
        <v>759</v>
      </c>
      <c r="C24" s="3892">
        <f ca="1">C5-C13</f>
        <v>0</v>
      </c>
      <c r="D24" s="804" t="s">
        <v>740</v>
      </c>
      <c r="E24" s="805"/>
      <c r="F24" s="806"/>
      <c r="G24" s="1041"/>
      <c r="H24" s="788" t="s">
        <v>3323</v>
      </c>
      <c r="I24" s="803" t="s">
        <v>739</v>
      </c>
      <c r="J24" s="3478">
        <f ca="1">J5-J13</f>
        <v>0</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1" t="s">
        <v>761</v>
      </c>
      <c r="C25" s="4690" t="e">
        <f ca="1">ROUND(C24*(1-((1+F27)/(1+F25))^F26)/(F25-F27),0)</f>
        <v>#DIV/0!</v>
      </c>
      <c r="D25" s="212" t="s">
        <v>745</v>
      </c>
      <c r="E25" s="191" t="s">
        <v>746</v>
      </c>
      <c r="F25" s="3137">
        <f ca="1">INDIRECT("'数据-取费表'!I"&amp;$G$1)</f>
        <v>0</v>
      </c>
      <c r="G25" s="1030"/>
      <c r="H25" s="4692" t="s">
        <v>3733</v>
      </c>
      <c r="I25" s="4695" t="s">
        <v>744</v>
      </c>
      <c r="J25" s="4698">
        <f ca="1">IF(J5&lt;&gt;0,ROUND(J24*(1-((1+M27)/(1+M25))^M26)/(M25-M27),0),0)</f>
        <v>0</v>
      </c>
      <c r="K25" s="212" t="s">
        <v>745</v>
      </c>
      <c r="L25" s="3469" t="s">
        <v>746</v>
      </c>
      <c r="M25" s="3924">
        <f ca="1">INDIRECT("'数据-取费表'!I"&amp;$G$1)</f>
        <v>0</v>
      </c>
    </row>
    <row r="26" spans="1:37">
      <c r="A26" s="3155"/>
      <c r="B26" s="4701"/>
      <c r="C26" s="4690"/>
      <c r="D26" s="220" t="s">
        <v>762</v>
      </c>
      <c r="E26" s="191" t="s">
        <v>750</v>
      </c>
      <c r="F26" s="3139">
        <f ca="1">IF(INDIRECT("'数据-取费表'!af"&amp;$G$1)=0,INDIRECT("'数据-取费表'!ae"&amp;$G$1),INDIRECT("'数据-取费表'!af"&amp;$G$1))</f>
        <v>0</v>
      </c>
      <c r="G26" s="1030"/>
      <c r="H26" s="4693"/>
      <c r="I26" s="4696"/>
      <c r="J26" s="4699"/>
      <c r="K26" s="3471" t="s">
        <v>749</v>
      </c>
      <c r="L26" s="2076" t="s">
        <v>750</v>
      </c>
      <c r="M26" s="3934">
        <f ca="1">INDIRECT("'数据-取费表'!ag"&amp;$G$1)</f>
        <v>0</v>
      </c>
    </row>
    <row r="27" spans="1:37" ht="18" customHeight="1">
      <c r="A27" s="1079"/>
      <c r="B27" s="4701"/>
      <c r="C27" s="4690"/>
      <c r="D27" s="215"/>
      <c r="E27" s="191" t="s">
        <v>753</v>
      </c>
      <c r="F27" s="3137">
        <f ca="1">INDIRECT("'数据-取费表'!v"&amp;$G$1)</f>
        <v>0</v>
      </c>
      <c r="G27" s="1030"/>
      <c r="H27" s="4694"/>
      <c r="I27" s="4697"/>
      <c r="J27" s="4700"/>
      <c r="K27" s="3471"/>
      <c r="L27" s="2076" t="s">
        <v>753</v>
      </c>
      <c r="M27" s="3935">
        <f ca="1">INDIRECT("'数据-取费表'!aa"&amp;$G$1)</f>
        <v>0</v>
      </c>
    </row>
    <row r="28" spans="1:37" s="1042" customFormat="1" ht="18" customHeight="1" thickBot="1">
      <c r="A28" s="4447" t="s">
        <v>3734</v>
      </c>
      <c r="B28" s="4448" t="s">
        <v>3519</v>
      </c>
      <c r="C28" s="4460" t="e">
        <f ca="1">ROUND(C25*(1+F28),0)</f>
        <v>#DIV/0!</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2076"/>
      <c r="M28" s="3934">
        <f ca="1">INDIRECT("'数据-取费表'!k"&amp;$G$1)</f>
        <v>0</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t="e">
        <f ca="1">ROUND(C28/F29,0)</f>
        <v>#DIV/0!</v>
      </c>
      <c r="D29" s="4452" t="s">
        <v>3523</v>
      </c>
      <c r="E29" s="226" t="s">
        <v>765</v>
      </c>
      <c r="F29" s="3140">
        <f ca="1">INDIRECT("'数据-取费表'!k"&amp;$G$1)</f>
        <v>0</v>
      </c>
      <c r="G29" s="1041"/>
      <c r="H29" s="4441" t="s">
        <v>3736</v>
      </c>
      <c r="I29" s="4442" t="s">
        <v>3520</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0</v>
      </c>
      <c r="D31" s="3093" t="s">
        <v>3455</v>
      </c>
      <c r="E31" s="3089"/>
      <c r="F31" s="3090"/>
      <c r="G31" s="1030"/>
      <c r="H31" s="3109" t="s">
        <v>3447</v>
      </c>
      <c r="I31" s="3112" t="s">
        <v>3493</v>
      </c>
      <c r="J31" s="3113">
        <f ca="1">C47</f>
        <v>0</v>
      </c>
      <c r="K31" s="3651" t="s">
        <v>3489</v>
      </c>
      <c r="L31" s="3114"/>
      <c r="M31" s="3466"/>
    </row>
    <row r="32" spans="1:37" ht="18" customHeight="1">
      <c r="A32" s="3049" t="s">
        <v>391</v>
      </c>
      <c r="B32" s="3013" t="s">
        <v>694</v>
      </c>
      <c r="C32" s="2944">
        <f ca="1">ROUND(INDIRECT("'数据-取费表'!l"&amp;$G$1)*F29+'数据-取费表'!L14*INDIRECT("'数据-取费表'!S"&amp;$G$1),0)</f>
        <v>0</v>
      </c>
      <c r="D32" s="3168" t="s">
        <v>695</v>
      </c>
      <c r="E32" s="3168"/>
      <c r="F32" s="221"/>
      <c r="G32" s="1030"/>
      <c r="H32" s="3110" t="s">
        <v>396</v>
      </c>
      <c r="I32" s="3115" t="s">
        <v>3475</v>
      </c>
      <c r="J32" s="2996">
        <f ca="1">ROUND(J31*(1-M32),0)</f>
        <v>0</v>
      </c>
      <c r="K32" s="191" t="s">
        <v>3478</v>
      </c>
      <c r="L32" s="3068" t="s">
        <v>3496</v>
      </c>
      <c r="M32" s="201">
        <f ca="1">INDIRECT("'数据-取费表'!ad"&amp;$G$1)</f>
        <v>0</v>
      </c>
    </row>
    <row r="33" spans="1:17" ht="18" customHeight="1" thickBot="1">
      <c r="A33" s="3049" t="s">
        <v>3436</v>
      </c>
      <c r="B33" s="3013" t="s">
        <v>697</v>
      </c>
      <c r="C33" s="3052">
        <f ca="1">ROUND(C32*F33,0)</f>
        <v>0</v>
      </c>
      <c r="D33" s="191" t="s">
        <v>698</v>
      </c>
      <c r="E33" s="191" t="s">
        <v>699</v>
      </c>
      <c r="F33" s="3133">
        <f>'数据-取费表'!B33</f>
        <v>0.06</v>
      </c>
      <c r="G33" s="1030"/>
      <c r="H33" s="3111" t="s">
        <v>3466</v>
      </c>
      <c r="I33" s="3116" t="s">
        <v>3477</v>
      </c>
      <c r="J33" s="3117">
        <f ca="1">J31-J32</f>
        <v>0</v>
      </c>
      <c r="K33" s="3091" t="s">
        <v>3522</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3451</v>
      </c>
      <c r="B35" s="3013" t="s">
        <v>703</v>
      </c>
      <c r="C35" s="3052">
        <f ca="1">ROUND(F35*(F29+INDIRECT("'数据-取费表'!S"&amp;$G$1)),0)</f>
        <v>0</v>
      </c>
      <c r="D35" s="191" t="s">
        <v>704</v>
      </c>
      <c r="E35" s="191" t="s">
        <v>705</v>
      </c>
      <c r="F35" s="3912">
        <f>'数据-取费表'!B35</f>
        <v>300</v>
      </c>
      <c r="G35" s="1030"/>
    </row>
    <row r="36" spans="1:17" ht="18" customHeight="1">
      <c r="A36" s="3049" t="s">
        <v>669</v>
      </c>
      <c r="B36" s="3071" t="s">
        <v>3315</v>
      </c>
      <c r="C36" s="3052">
        <f ca="1">ROUND(C32*F36,0)</f>
        <v>0</v>
      </c>
      <c r="D36" s="191" t="s">
        <v>698</v>
      </c>
      <c r="E36" s="191" t="s">
        <v>699</v>
      </c>
      <c r="F36" s="3133">
        <f>'数据-取费表'!B36</f>
        <v>0.02</v>
      </c>
      <c r="G36" s="1030"/>
      <c r="H36" s="868"/>
      <c r="I36" s="868"/>
      <c r="J36" s="868"/>
      <c r="K36" s="2069"/>
      <c r="L36" s="868"/>
      <c r="M36" s="868"/>
    </row>
    <row r="37" spans="1:17" ht="18" customHeight="1">
      <c r="A37" s="3049" t="s">
        <v>669</v>
      </c>
      <c r="B37" s="3071" t="s">
        <v>3316</v>
      </c>
      <c r="C37" s="3052">
        <f ca="1">ROUND(C32*F37,0)</f>
        <v>0</v>
      </c>
      <c r="D37" s="191" t="s">
        <v>698</v>
      </c>
      <c r="E37" s="191" t="s">
        <v>699</v>
      </c>
      <c r="F37" s="3133">
        <f>'数据-取费表'!B37</f>
        <v>0.02</v>
      </c>
      <c r="G37" s="1030"/>
      <c r="H37" s="868"/>
      <c r="I37" s="868"/>
      <c r="J37" s="868"/>
      <c r="K37" s="2069"/>
      <c r="L37" s="868"/>
      <c r="M37" s="868"/>
    </row>
    <row r="38" spans="1:17" ht="18" customHeight="1">
      <c r="A38" s="204" t="s">
        <v>3462</v>
      </c>
      <c r="B38" s="3082" t="s">
        <v>3463</v>
      </c>
      <c r="C38" s="3104">
        <f ca="1">ROUND(C31*F38,0)</f>
        <v>0</v>
      </c>
      <c r="D38" s="3172" t="s">
        <v>3464</v>
      </c>
      <c r="E38" s="3082" t="s">
        <v>3465</v>
      </c>
      <c r="F38" s="3137">
        <f>'数据-取费表'!B38</f>
        <v>0.02</v>
      </c>
      <c r="G38" s="1030"/>
      <c r="H38" s="868"/>
      <c r="I38" s="868"/>
      <c r="J38" s="868"/>
      <c r="K38" s="2069"/>
      <c r="L38" s="868"/>
      <c r="M38" s="868"/>
    </row>
    <row r="39" spans="1:17" ht="18" customHeight="1">
      <c r="A39" s="204" t="s">
        <v>3466</v>
      </c>
      <c r="B39" s="3082" t="s">
        <v>3467</v>
      </c>
      <c r="C39" s="3900" t="str">
        <f>F39&amp;"V"</f>
        <v>0.02V</v>
      </c>
      <c r="D39" s="3172" t="s">
        <v>3468</v>
      </c>
      <c r="E39" s="3082" t="s">
        <v>3469</v>
      </c>
      <c r="F39" s="3137">
        <f>'数据-取费表'!B39</f>
        <v>0.02</v>
      </c>
      <c r="G39" s="1030"/>
      <c r="H39" s="868"/>
      <c r="I39" s="868"/>
      <c r="J39" s="868"/>
      <c r="K39" s="2069"/>
      <c r="L39" s="868"/>
      <c r="M39" s="868"/>
    </row>
    <row r="40" spans="1:17" ht="18" customHeight="1">
      <c r="A40" s="204" t="s">
        <v>3470</v>
      </c>
      <c r="B40" s="3085" t="s">
        <v>3398</v>
      </c>
      <c r="C40" s="3900" t="str">
        <f ca="1">C41&amp;"+"&amp;C42&amp;"V建"</f>
        <v>0+0.0006V建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0</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3471</v>
      </c>
      <c r="B43" s="3085" t="s">
        <v>3334</v>
      </c>
      <c r="C43" s="3900" t="str">
        <f ca="1">C44&amp;"+"&amp;C45&amp;"V建"</f>
        <v>0+0V建</v>
      </c>
      <c r="D43" s="3033" t="s">
        <v>3472</v>
      </c>
      <c r="E43" s="205"/>
      <c r="F43" s="3134"/>
      <c r="G43" s="1030"/>
      <c r="H43" s="868"/>
      <c r="I43" s="868"/>
      <c r="J43" s="868"/>
      <c r="K43" s="2069"/>
      <c r="L43" s="868"/>
      <c r="M43" s="868"/>
    </row>
    <row r="44" spans="1:17" ht="18" customHeight="1">
      <c r="A44" s="3049" t="s">
        <v>391</v>
      </c>
      <c r="B44" s="191" t="s">
        <v>741</v>
      </c>
      <c r="C44" s="3052">
        <f ca="1">ROUND((C31+C38)*F44,0)</f>
        <v>0</v>
      </c>
      <c r="D44" s="1964" t="s">
        <v>742</v>
      </c>
      <c r="E44" s="191" t="s">
        <v>743</v>
      </c>
      <c r="F44" s="3137">
        <f ca="1">INDIRECT("'数据-取费表'!q"&amp;$G$1)</f>
        <v>0</v>
      </c>
      <c r="G44" s="1030"/>
      <c r="H44" s="868"/>
      <c r="I44" s="868"/>
      <c r="J44" s="868"/>
      <c r="K44" s="2069"/>
      <c r="L44" s="868"/>
      <c r="M44" s="868"/>
    </row>
    <row r="45" spans="1:17" ht="18" customHeight="1">
      <c r="A45" s="3049" t="s">
        <v>393</v>
      </c>
      <c r="B45" s="191" t="s">
        <v>747</v>
      </c>
      <c r="C45" s="3898">
        <f ca="1">ROUND(F39*F44,4)</f>
        <v>0</v>
      </c>
      <c r="D45" s="1964" t="s">
        <v>748</v>
      </c>
      <c r="E45" s="191"/>
      <c r="F45" s="3133"/>
      <c r="G45" s="1030"/>
      <c r="H45" s="868"/>
      <c r="I45" s="868"/>
      <c r="J45" s="868"/>
      <c r="K45" s="2069"/>
      <c r="L45" s="868"/>
      <c r="M45" s="868"/>
    </row>
    <row r="46" spans="1:17" ht="18" customHeight="1">
      <c r="A46" s="204" t="s">
        <v>3458</v>
      </c>
      <c r="B46" s="3082" t="s">
        <v>3459</v>
      </c>
      <c r="C46" s="4440">
        <f>ROUND(F46/(1+'数据-取费表'!C43),4)</f>
        <v>0</v>
      </c>
      <c r="D46" s="3172"/>
      <c r="E46" s="3082"/>
      <c r="F46" s="3137"/>
      <c r="G46" s="1030"/>
      <c r="H46" s="868"/>
      <c r="I46" s="868"/>
      <c r="J46" s="868"/>
      <c r="K46" s="2069"/>
      <c r="L46" s="868"/>
      <c r="M46" s="868"/>
    </row>
    <row r="47" spans="1:17" s="1030" customFormat="1" ht="18" customHeight="1">
      <c r="A47" s="204" t="s">
        <v>3460</v>
      </c>
      <c r="B47" s="3082" t="s">
        <v>3461</v>
      </c>
      <c r="C47" s="3104">
        <f ca="1">ROUND((C31+C38+C41+C44)/(1-F39-C42-C45-C46),0)</f>
        <v>0</v>
      </c>
      <c r="D47" s="3098" t="s">
        <v>3489</v>
      </c>
      <c r="E47" s="3082"/>
      <c r="F47" s="3137"/>
      <c r="K47" s="1047"/>
      <c r="Q47" s="3915"/>
    </row>
    <row r="48" spans="1:17" s="1030" customFormat="1" ht="18" customHeight="1">
      <c r="A48" s="3086" t="s">
        <v>3473</v>
      </c>
      <c r="B48" s="3085" t="s">
        <v>3475</v>
      </c>
      <c r="C48" s="3104">
        <f ca="1">ROUND(C47*(1-F48),0)</f>
        <v>0</v>
      </c>
      <c r="D48" s="191" t="s">
        <v>3478</v>
      </c>
      <c r="E48" s="191" t="s">
        <v>693</v>
      </c>
      <c r="F48" s="3133">
        <f ca="1">INDIRECT("'数据-取费表'!y"&amp;$G$1)</f>
        <v>0</v>
      </c>
      <c r="K48" s="1047"/>
      <c r="Q48" s="3915"/>
    </row>
    <row r="49" spans="1:18" s="1030" customFormat="1" ht="18" customHeight="1" thickBot="1">
      <c r="A49" s="3087" t="s">
        <v>3476</v>
      </c>
      <c r="B49" s="3096" t="s">
        <v>3486</v>
      </c>
      <c r="C49" s="3117">
        <f ca="1">C47-C48</f>
        <v>0</v>
      </c>
      <c r="D49" s="3091" t="s">
        <v>3522</v>
      </c>
      <c r="E49" s="223"/>
      <c r="F49" s="3092"/>
      <c r="K49" s="1047"/>
      <c r="Q49" s="3915"/>
    </row>
    <row r="50" spans="1:18" s="1030" customFormat="1" ht="18" customHeight="1" thickBot="1">
      <c r="A50" s="1045"/>
      <c r="B50" s="1045"/>
      <c r="C50" s="1046"/>
      <c r="D50" s="1045"/>
      <c r="E50" s="1045"/>
      <c r="F50" s="1045"/>
      <c r="I50" s="3119" t="s">
        <v>3497</v>
      </c>
      <c r="J50" s="530"/>
      <c r="O50" s="2187" t="s">
        <v>795</v>
      </c>
      <c r="P50" s="1106"/>
      <c r="Q50" s="3917"/>
      <c r="R50" s="1106"/>
    </row>
    <row r="51" spans="1:18" s="1030" customFormat="1" ht="13.5" thickBot="1">
      <c r="A51" s="1049" t="s">
        <v>796</v>
      </c>
      <c r="C51" s="3126" t="e">
        <f ca="1">IF(D2="含税",C78-C28,C75-C25)</f>
        <v>#DIV/0!</v>
      </c>
      <c r="D51" s="1051" t="str">
        <f>C2</f>
        <v>万元</v>
      </c>
      <c r="E51" s="1045"/>
      <c r="F51" s="1045"/>
      <c r="I51" s="1052" t="s">
        <v>797</v>
      </c>
      <c r="J51" s="1053"/>
      <c r="K51" s="1054"/>
      <c r="L51" s="3446" t="e">
        <f ca="1">IF(M52="住宅",0,IF(L53&gt;J56,L65,J65))</f>
        <v>#DIV/0!</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7">
        <f ca="1">INDIRECT("'数据-取费表'!d"&amp;$G$1)</f>
        <v>0</v>
      </c>
      <c r="M52" s="1026" t="str">
        <f>IF(ISNUMBER(FIND("住宅",C1)),"住宅","非住宅")</f>
        <v>非住宅</v>
      </c>
      <c r="O52" s="1063" t="s">
        <v>397</v>
      </c>
      <c r="P52" s="1064" t="s">
        <v>804</v>
      </c>
      <c r="Q52" s="3918" t="e">
        <f ca="1">C25+J28</f>
        <v>#DIV/0!</v>
      </c>
      <c r="R52" s="1065" t="s">
        <v>805</v>
      </c>
    </row>
    <row r="53" spans="1:18" s="1030" customFormat="1" ht="28.5" thickBot="1">
      <c r="A53" s="816" t="s">
        <v>432</v>
      </c>
      <c r="B53" s="3475" t="s">
        <v>679</v>
      </c>
      <c r="C53" s="3120">
        <f ca="1">C54+C58+C60</f>
        <v>0</v>
      </c>
      <c r="D53" s="818"/>
      <c r="E53" s="819"/>
      <c r="F53" s="702"/>
      <c r="G53" s="526"/>
      <c r="H53" s="527"/>
      <c r="I53" s="1066" t="s">
        <v>806</v>
      </c>
      <c r="J53" s="1067"/>
      <c r="K53" s="1068" t="s">
        <v>807</v>
      </c>
      <c r="L53" s="3444">
        <f ca="1">INDIRECT("'数据-取费表'!f"&amp;$G$1)</f>
        <v>0</v>
      </c>
      <c r="O53" s="1063" t="s">
        <v>398</v>
      </c>
      <c r="P53" s="1064" t="s">
        <v>808</v>
      </c>
      <c r="Q53" s="3918" t="e">
        <f ca="1">J65</f>
        <v>#DIV/0!</v>
      </c>
      <c r="R53" s="1065" t="s">
        <v>809</v>
      </c>
    </row>
    <row r="54" spans="1:18" s="1030" customFormat="1" ht="15.75" thickBot="1">
      <c r="A54" s="715" t="s">
        <v>433</v>
      </c>
      <c r="B54" s="1017" t="s">
        <v>766</v>
      </c>
      <c r="C54" s="3121">
        <f ca="1">C55-C57</f>
        <v>0</v>
      </c>
      <c r="D54" s="765" t="s">
        <v>2026</v>
      </c>
      <c r="E54" s="3095" t="s">
        <v>3485</v>
      </c>
      <c r="F54" s="3127"/>
      <c r="G54" s="1070"/>
      <c r="H54" s="527"/>
      <c r="I54" s="1066" t="s">
        <v>810</v>
      </c>
      <c r="J54" s="3442"/>
      <c r="K54" s="1068" t="s">
        <v>811</v>
      </c>
      <c r="L54" s="3448"/>
      <c r="O54" s="1073" t="s">
        <v>399</v>
      </c>
      <c r="P54" s="1064" t="s">
        <v>812</v>
      </c>
      <c r="Q54" s="3918">
        <f ca="1">C47</f>
        <v>0</v>
      </c>
      <c r="R54" s="1065" t="s">
        <v>805</v>
      </c>
    </row>
    <row r="55" spans="1:18" s="1030" customFormat="1" ht="13.5" thickBot="1">
      <c r="A55" s="716" t="s">
        <v>3483</v>
      </c>
      <c r="B55" s="3094" t="s">
        <v>3481</v>
      </c>
      <c r="C55" s="3122">
        <f ca="1">ROUND(F54*F56*F55,0)</f>
        <v>0</v>
      </c>
      <c r="D55" s="693"/>
      <c r="E55" s="766" t="s">
        <v>684</v>
      </c>
      <c r="F55" s="3128">
        <f ca="1">F7</f>
        <v>0</v>
      </c>
      <c r="H55" s="527"/>
      <c r="I55" s="1066" t="s">
        <v>813</v>
      </c>
      <c r="J55" s="3443">
        <f>SUMPRODUCT((I68:I70=J52)*(J67:L67=J53)*(J68:L70))</f>
        <v>0</v>
      </c>
      <c r="K55" s="1068" t="s">
        <v>814</v>
      </c>
      <c r="L55" s="3448"/>
      <c r="M55" s="1075"/>
      <c r="O55" s="1073" t="s">
        <v>400</v>
      </c>
      <c r="P55" s="1064" t="s">
        <v>815</v>
      </c>
      <c r="Q55" s="3919" t="e">
        <f ca="1">J63</f>
        <v>#DIV/0!</v>
      </c>
      <c r="R55" s="1065"/>
    </row>
    <row r="56" spans="1:18" s="1030" customFormat="1" ht="13.5" thickBot="1">
      <c r="A56" s="717"/>
      <c r="B56" s="719"/>
      <c r="C56" s="3123"/>
      <c r="D56" s="693"/>
      <c r="E56" s="721" t="s">
        <v>685</v>
      </c>
      <c r="F56" s="3129">
        <f ca="1">F8</f>
        <v>0</v>
      </c>
      <c r="I56" s="1077" t="s">
        <v>816</v>
      </c>
      <c r="J56" s="3444">
        <f>IF(J54="",J55,J54+J55-YEAR('数据-取费表'!B2))</f>
        <v>0</v>
      </c>
      <c r="K56" s="1079" t="s">
        <v>817</v>
      </c>
      <c r="L56" s="3449">
        <f ca="1">ROUND(-PV(INDIRECT("'数据-取费表'!h"&amp;$G$1),J56,(C24-C48*C83),0),0)</f>
        <v>0</v>
      </c>
      <c r="M56" s="1081"/>
      <c r="O56" s="1073" t="s">
        <v>401</v>
      </c>
      <c r="P56" s="1064" t="s">
        <v>818</v>
      </c>
      <c r="Q56" s="3919">
        <f>J57</f>
        <v>0</v>
      </c>
      <c r="R56" s="1065"/>
    </row>
    <row r="57" spans="1:18" s="1030" customFormat="1" ht="13.5" thickBot="1">
      <c r="A57" s="717" t="s">
        <v>3484</v>
      </c>
      <c r="B57" s="3094" t="s">
        <v>3433</v>
      </c>
      <c r="C57" s="3123">
        <f ca="1">ROUND(C55*F57,0)</f>
        <v>0</v>
      </c>
      <c r="D57" s="693"/>
      <c r="E57" s="721" t="s">
        <v>686</v>
      </c>
      <c r="F57" s="3130"/>
      <c r="I57" s="1082" t="s">
        <v>819</v>
      </c>
      <c r="J57" s="1083"/>
      <c r="K57" s="1082" t="s">
        <v>820</v>
      </c>
      <c r="L57" s="3450"/>
      <c r="O57" s="1073" t="s">
        <v>402</v>
      </c>
      <c r="P57" s="1064" t="s">
        <v>821</v>
      </c>
      <c r="Q57" s="3918">
        <f ca="1">J58</f>
        <v>0</v>
      </c>
      <c r="R57" s="1065" t="s">
        <v>822</v>
      </c>
    </row>
    <row r="58" spans="1:18" s="1030" customFormat="1" ht="24.75" thickBot="1">
      <c r="A58" s="3652" t="s">
        <v>434</v>
      </c>
      <c r="B58" s="1019" t="s">
        <v>687</v>
      </c>
      <c r="C58" s="3104">
        <f ca="1">ROUND(IF(F58="押一",C54/12*F11,IF(F58="押二",C54/12*2*F11,IF(F58="押三",C54/12*3*F11,C59*F11))),0)</f>
        <v>0</v>
      </c>
      <c r="D58" s="1012" t="s">
        <v>2032</v>
      </c>
      <c r="E58" s="202" t="s">
        <v>688</v>
      </c>
      <c r="F58" s="3131"/>
      <c r="I58" s="1084" t="s">
        <v>823</v>
      </c>
      <c r="J58" s="3445">
        <f ca="1">IF(M52="住宅",IF(D1="——",MAX(J56,L53),MAX(J56,L53-'数据-取费表'!B24)),IF(D1="——",MIN(J56,L53),MIN(J56,L53-'数据-取费表'!B24)))</f>
        <v>0</v>
      </c>
      <c r="K58" s="4686" t="s">
        <v>824</v>
      </c>
      <c r="L58" s="4687"/>
      <c r="O58" s="1063" t="s">
        <v>403</v>
      </c>
      <c r="P58" s="1064" t="s">
        <v>825</v>
      </c>
      <c r="Q58" s="3918" t="e">
        <f ca="1">Q52+Q53</f>
        <v>#DIV/0!</v>
      </c>
      <c r="R58" s="1065" t="s">
        <v>404</v>
      </c>
    </row>
    <row r="59" spans="1:18" s="1030" customFormat="1" ht="13.5" thickBot="1">
      <c r="A59" s="843"/>
      <c r="B59" s="1013" t="s">
        <v>666</v>
      </c>
      <c r="C59" s="3910"/>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t="e">
        <f ca="1">ROUND(IF(J52="钢混",J62/J55,1-(1-2%)*(J55-J62)/J55),3)</f>
        <v>#DIV/0!</v>
      </c>
      <c r="K60" s="1090" t="s">
        <v>828</v>
      </c>
      <c r="L60" s="1091"/>
      <c r="O60" s="1056" t="s">
        <v>798</v>
      </c>
      <c r="P60" s="1057" t="s">
        <v>799</v>
      </c>
      <c r="Q60" s="3921" t="s">
        <v>800</v>
      </c>
      <c r="R60" s="1058" t="s">
        <v>801</v>
      </c>
    </row>
    <row r="61" spans="1:18" s="1030" customFormat="1" ht="25.5" thickTop="1" thickBot="1">
      <c r="A61" s="697">
        <v>2</v>
      </c>
      <c r="B61" s="3097" t="s">
        <v>3486</v>
      </c>
      <c r="C61" s="2848">
        <f ca="1">C49</f>
        <v>0</v>
      </c>
      <c r="D61" s="1092"/>
      <c r="E61" s="1093"/>
      <c r="F61" s="1085"/>
      <c r="I61" s="1094" t="s">
        <v>829</v>
      </c>
      <c r="J61" s="1095"/>
      <c r="K61" s="1066" t="s">
        <v>830</v>
      </c>
      <c r="L61" s="3444">
        <f ca="1">IF(L53&lt;J56,"——",L53-J58)</f>
        <v>0</v>
      </c>
      <c r="O61" s="1063" t="s">
        <v>397</v>
      </c>
      <c r="P61" s="1064" t="s">
        <v>804</v>
      </c>
      <c r="Q61" s="3918" t="e">
        <f ca="1">C25+J28</f>
        <v>#DIV/0!</v>
      </c>
      <c r="R61" s="1065" t="s">
        <v>805</v>
      </c>
    </row>
    <row r="62" spans="1:18" s="1030" customFormat="1" ht="24.75" thickBot="1">
      <c r="A62" s="1096"/>
      <c r="B62" s="690" t="s">
        <v>754</v>
      </c>
      <c r="C62" s="3124">
        <f ca="1">C47</f>
        <v>0</v>
      </c>
      <c r="D62" s="3099" t="s">
        <v>3489</v>
      </c>
      <c r="E62" s="1098"/>
      <c r="F62" s="1099"/>
      <c r="I62" s="1100" t="s">
        <v>831</v>
      </c>
      <c r="J62" s="3907">
        <f ca="1">IF(OR(M52="住宅",J56&lt;L53,J61="是"),"——",J56-L53)</f>
        <v>0</v>
      </c>
      <c r="K62" s="1066" t="s">
        <v>832</v>
      </c>
      <c r="L62" s="3453">
        <f ca="1">IF(L53&lt;J56,"——",IF(L60="比较法",L54,IF(L60="基准地价",L55,L56)))</f>
        <v>0</v>
      </c>
      <c r="O62" s="1063" t="s">
        <v>398</v>
      </c>
      <c r="P62" s="1064" t="s">
        <v>833</v>
      </c>
      <c r="Q62" s="3918" t="e">
        <f ca="1">L65</f>
        <v>#DIV/0!</v>
      </c>
      <c r="R62" s="1065" t="s">
        <v>834</v>
      </c>
    </row>
    <row r="63" spans="1:18" s="1030" customFormat="1" ht="24.75" thickBot="1">
      <c r="A63" s="204" t="s">
        <v>387</v>
      </c>
      <c r="B63" s="698" t="s">
        <v>701</v>
      </c>
      <c r="C63" s="3104">
        <f ca="1">ROUND(C64+C71+C72+C73,0)</f>
        <v>0</v>
      </c>
      <c r="D63" s="700" t="s">
        <v>702</v>
      </c>
      <c r="E63" s="701"/>
      <c r="F63" s="702"/>
      <c r="I63" s="1100" t="s">
        <v>835</v>
      </c>
      <c r="J63" s="1102" t="e">
        <f ca="1">IF(J60&lt;0.4,0.4,J60)</f>
        <v>#DIV/0!</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v>
      </c>
      <c r="D64" s="703" t="s">
        <v>3491</v>
      </c>
      <c r="E64" s="704" t="s">
        <v>708</v>
      </c>
      <c r="F64" s="4454" t="str">
        <f>IF(项目基本情况!B11="企业","——",IF('数据-取费表'!B10="住宅",IF(F54*F55*F56/12/(1+'数据-取费表'!F30)&gt;100000,4%,2.5%),IF(F54*F55*F56/12/(1+'数据-取费表'!F30)&gt;100000,12%,7%)))</f>
        <v>——</v>
      </c>
      <c r="I64" s="1100" t="s">
        <v>838</v>
      </c>
      <c r="J64" s="3451"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3308</v>
      </c>
      <c r="C65" s="3051">
        <f ca="1">ROUND((C66-C67)*(1+F65),0)</f>
        <v>0</v>
      </c>
      <c r="D65" s="3100" t="s">
        <v>3490</v>
      </c>
      <c r="E65" s="191" t="s">
        <v>3479</v>
      </c>
      <c r="F65" s="3132">
        <f>F15</f>
        <v>0.12000000000000001</v>
      </c>
      <c r="I65" s="1103" t="s">
        <v>840</v>
      </c>
      <c r="J65" s="4459" t="e">
        <f ca="1">IF(OR(M52="住宅",J56&lt;L53,J61="是"),"0",ROUND(J64/(1+J57)^J58,0))</f>
        <v>#DIV/0!</v>
      </c>
      <c r="K65" s="1105" t="s">
        <v>841</v>
      </c>
      <c r="L65" s="4459" t="e">
        <f ca="1">IF(OR(M52="住宅",L53&lt;J56),0,ROUND(L62*(L63/L64-1),0))</f>
        <v>#DIV/0!</v>
      </c>
      <c r="O65" s="1073" t="s">
        <v>401</v>
      </c>
      <c r="P65" s="1064" t="s">
        <v>842</v>
      </c>
      <c r="Q65" s="3922" t="e">
        <f ca="1">L63</f>
        <v>#DIV/0!</v>
      </c>
      <c r="R65" s="1065" t="s">
        <v>843</v>
      </c>
    </row>
    <row r="66" spans="1:18" s="1030" customFormat="1" ht="13.5" thickBot="1">
      <c r="A66" s="722"/>
      <c r="B66" s="3071" t="s">
        <v>3443</v>
      </c>
      <c r="C66" s="3051">
        <f ca="1">ROUND(C54*F66,0)</f>
        <v>0</v>
      </c>
      <c r="D66" s="1092"/>
      <c r="E66" s="3078" t="s">
        <v>3445</v>
      </c>
      <c r="F66" s="3132">
        <f t="shared" ref="F66:F73" si="0">F16</f>
        <v>0.09</v>
      </c>
      <c r="I66" s="1106"/>
      <c r="J66" s="1106"/>
      <c r="K66" s="1106"/>
      <c r="L66" s="1106"/>
      <c r="O66" s="1073" t="s">
        <v>402</v>
      </c>
      <c r="P66" s="1064" t="str">
        <f>K64</f>
        <v>建设期及建筑物耐用年限下的土地年期修正系数Kn</v>
      </c>
      <c r="Q66" s="3922" t="e">
        <f ca="1">L64</f>
        <v>#DIV/0!</v>
      </c>
      <c r="R66" s="1065" t="s">
        <v>844</v>
      </c>
    </row>
    <row r="67" spans="1:18" s="1030" customFormat="1" ht="13.5" thickBot="1">
      <c r="A67" s="722"/>
      <c r="B67" s="3071" t="s">
        <v>3444</v>
      </c>
      <c r="C67" s="3051">
        <f ca="1">ROUND(C71*F66+((C72+C73)*F67),0)</f>
        <v>0</v>
      </c>
      <c r="D67" s="3079" t="s">
        <v>3446</v>
      </c>
      <c r="E67" s="3079"/>
      <c r="F67" s="3132">
        <f t="shared" si="0"/>
        <v>0.06</v>
      </c>
      <c r="I67" s="1107" t="s">
        <v>845</v>
      </c>
      <c r="J67" s="1108" t="s">
        <v>846</v>
      </c>
      <c r="K67" s="1108" t="s">
        <v>847</v>
      </c>
      <c r="L67" s="1108" t="s">
        <v>848</v>
      </c>
      <c r="M67" s="1109" t="s">
        <v>849</v>
      </c>
      <c r="O67" s="1063" t="s">
        <v>403</v>
      </c>
      <c r="P67" s="1064" t="s">
        <v>825</v>
      </c>
      <c r="Q67" s="3918" t="e">
        <f ca="1">Q61+Q62</f>
        <v>#DIV/0!</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c r="E68" s="690" t="s">
        <v>699</v>
      </c>
      <c r="F68" s="3133">
        <f t="shared" si="0"/>
        <v>1.2E-2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1.5</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t="e">
        <f ca="1">C25+J28</f>
        <v>#DIV/0!</v>
      </c>
      <c r="R70" s="1065" t="s">
        <v>805</v>
      </c>
    </row>
    <row r="71" spans="1:18" s="1030" customFormat="1" ht="16.5" thickBot="1">
      <c r="A71" s="722" t="s">
        <v>776</v>
      </c>
      <c r="B71" s="690" t="s">
        <v>777</v>
      </c>
      <c r="C71" s="3051">
        <f ca="1">ROUND(C62*F71,0)</f>
        <v>0</v>
      </c>
      <c r="D71" s="704" t="s">
        <v>726</v>
      </c>
      <c r="E71" s="690" t="s">
        <v>699</v>
      </c>
      <c r="F71" s="3135">
        <f t="shared" ca="1" si="0"/>
        <v>0</v>
      </c>
      <c r="O71" s="1063" t="s">
        <v>398</v>
      </c>
      <c r="P71" s="1064" t="s">
        <v>833</v>
      </c>
      <c r="Q71" s="3922" t="e">
        <f ca="1">L65</f>
        <v>#DIV/0!</v>
      </c>
      <c r="R71" s="1065" t="s">
        <v>856</v>
      </c>
    </row>
    <row r="72" spans="1:18" s="1030" customFormat="1" ht="16.5" thickBot="1">
      <c r="A72" s="722" t="s">
        <v>779</v>
      </c>
      <c r="B72" s="690" t="s">
        <v>729</v>
      </c>
      <c r="C72" s="3051">
        <f ca="1">ROUND(C61*F72,0)</f>
        <v>0</v>
      </c>
      <c r="D72" s="704" t="s">
        <v>3488</v>
      </c>
      <c r="E72" s="690" t="s">
        <v>699</v>
      </c>
      <c r="F72" s="3136">
        <f t="shared" ca="1" si="0"/>
        <v>0</v>
      </c>
      <c r="O72" s="1073" t="s">
        <v>399</v>
      </c>
      <c r="P72" s="1064" t="s">
        <v>837</v>
      </c>
      <c r="Q72" s="3923">
        <f ca="1">L56</f>
        <v>0</v>
      </c>
      <c r="R72" s="1065" t="s">
        <v>857</v>
      </c>
    </row>
    <row r="73" spans="1:18" s="1030" customFormat="1" ht="16.5" thickBot="1">
      <c r="A73" s="722" t="s">
        <v>780</v>
      </c>
      <c r="B73" s="690" t="s">
        <v>715</v>
      </c>
      <c r="C73" s="3051">
        <f ca="1">ROUND(C53*F73,0)</f>
        <v>0</v>
      </c>
      <c r="D73" s="704" t="s">
        <v>781</v>
      </c>
      <c r="E73" s="690" t="s">
        <v>699</v>
      </c>
      <c r="F73" s="3137">
        <f t="shared" ca="1" si="0"/>
        <v>0</v>
      </c>
      <c r="O73" s="1073" t="s">
        <v>400</v>
      </c>
      <c r="P73" s="1112" t="s">
        <v>858</v>
      </c>
      <c r="Q73" s="3923">
        <f ca="1">ROUND(Q74-Q75*Q76,0)</f>
        <v>0</v>
      </c>
      <c r="R73" s="1065" t="s">
        <v>408</v>
      </c>
    </row>
    <row r="74" spans="1:18" s="1030" customFormat="1" ht="13.5" thickBot="1">
      <c r="A74" s="697" t="s">
        <v>388</v>
      </c>
      <c r="B74" s="707" t="s">
        <v>739</v>
      </c>
      <c r="C74" s="3104">
        <f ca="1">C53-C63</f>
        <v>0</v>
      </c>
      <c r="D74" s="703" t="s">
        <v>740</v>
      </c>
      <c r="E74" s="708"/>
      <c r="F74" s="3138"/>
      <c r="O74" s="1073" t="s">
        <v>405</v>
      </c>
      <c r="P74" s="1112" t="s">
        <v>859</v>
      </c>
      <c r="Q74" s="3923">
        <f ca="1">C24</f>
        <v>0</v>
      </c>
      <c r="R74" s="1065" t="s">
        <v>805</v>
      </c>
    </row>
    <row r="75" spans="1:18" s="1030" customFormat="1" ht="13.5" thickBot="1">
      <c r="A75" s="3653" t="s">
        <v>389</v>
      </c>
      <c r="B75" s="688" t="s">
        <v>761</v>
      </c>
      <c r="C75" s="3476">
        <f ca="1">ROUND(C74*(1-((1+F77)/(1+F75))^F76)/(F75-F77),0)</f>
        <v>0</v>
      </c>
      <c r="D75" s="3157" t="s">
        <v>745</v>
      </c>
      <c r="E75" s="690" t="s">
        <v>746</v>
      </c>
      <c r="F75" s="3137">
        <f ca="1">F25</f>
        <v>0</v>
      </c>
      <c r="O75" s="1073" t="s">
        <v>406</v>
      </c>
      <c r="P75" s="1112" t="s">
        <v>860</v>
      </c>
      <c r="Q75" s="3923">
        <f ca="1">C48</f>
        <v>0</v>
      </c>
      <c r="R75" s="1065" t="s">
        <v>805</v>
      </c>
    </row>
    <row r="76" spans="1:18" s="1030" customFormat="1" ht="13.5" thickBot="1">
      <c r="A76" s="3654"/>
      <c r="B76" s="692"/>
      <c r="C76" s="3477"/>
      <c r="D76" s="3158" t="s">
        <v>749</v>
      </c>
      <c r="E76" s="690" t="s">
        <v>750</v>
      </c>
      <c r="F76" s="3139">
        <f ca="1">F26</f>
        <v>0</v>
      </c>
      <c r="O76" s="1073" t="s">
        <v>407</v>
      </c>
      <c r="P76" s="1112" t="s">
        <v>861</v>
      </c>
      <c r="Q76" s="3919">
        <f ca="1">C83</f>
        <v>0</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3492</v>
      </c>
      <c r="C78" s="3478">
        <f ca="1">ROUND(C75*(1+F28),0)</f>
        <v>0</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t="e">
        <f ca="1">ROUND(C78/F79,0)</f>
        <v>#DIV/0!</v>
      </c>
      <c r="D79" s="713" t="s">
        <v>3523</v>
      </c>
      <c r="E79" s="714" t="s">
        <v>765</v>
      </c>
      <c r="F79" s="3140">
        <f ca="1">F29</f>
        <v>0</v>
      </c>
      <c r="O79" s="1073" t="s">
        <v>409</v>
      </c>
      <c r="P79" s="1064" t="str">
        <f>K64</f>
        <v>建设期及建筑物耐用年限下的土地年期修正系数Kn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t="e">
        <f ca="1">Q70+Q71</f>
        <v>#DIV/0!</v>
      </c>
      <c r="R80" s="1065" t="s">
        <v>404</v>
      </c>
    </row>
    <row r="81" spans="1:12">
      <c r="A81" s="1030"/>
      <c r="B81" s="173" t="s">
        <v>862</v>
      </c>
      <c r="C81" s="1114"/>
      <c r="D81" s="1030"/>
      <c r="E81" s="1030"/>
      <c r="F81" s="1030"/>
      <c r="I81" s="1030"/>
      <c r="J81" s="1030"/>
      <c r="K81" s="1047"/>
      <c r="L81" s="1030"/>
    </row>
    <row r="82" spans="1:12">
      <c r="A82" s="1030"/>
      <c r="B82" s="228" t="s">
        <v>782</v>
      </c>
      <c r="C82" s="3214">
        <f ca="1">ROUND(C48*C83,0)</f>
        <v>0</v>
      </c>
      <c r="D82" s="1030"/>
      <c r="E82" s="1030"/>
      <c r="F82" s="1030"/>
      <c r="I82" s="1030"/>
      <c r="J82" s="1030"/>
      <c r="K82" s="1047"/>
      <c r="L82" s="1030"/>
    </row>
    <row r="83" spans="1:12">
      <c r="B83" s="230" t="s">
        <v>783</v>
      </c>
      <c r="C83" s="3084">
        <f ca="1">INDIRECT("'数据-取费表'!j"&amp;$G$1)</f>
        <v>0</v>
      </c>
    </row>
    <row r="84" spans="1:12">
      <c r="B84" s="232" t="s">
        <v>784</v>
      </c>
      <c r="C84" s="233"/>
    </row>
    <row r="85" spans="1:12">
      <c r="B85" s="170" t="s">
        <v>785</v>
      </c>
      <c r="C85" s="234"/>
    </row>
    <row r="86" spans="1:12">
      <c r="B86" s="228" t="s">
        <v>786</v>
      </c>
      <c r="C86" s="3215" t="e">
        <f ca="1">1-C87</f>
        <v>#DIV/0!</v>
      </c>
    </row>
    <row r="87" spans="1:12">
      <c r="B87" s="228" t="s">
        <v>787</v>
      </c>
      <c r="C87" s="3215" t="e">
        <f ca="1">ROUND(C82/C24,3)</f>
        <v>#DIV/0!</v>
      </c>
    </row>
    <row r="88" spans="1:12">
      <c r="B88" s="170" t="s">
        <v>788</v>
      </c>
      <c r="C88" s="138"/>
    </row>
    <row r="89" spans="1:12">
      <c r="B89" s="173" t="s">
        <v>789</v>
      </c>
      <c r="C89" s="3216" t="e">
        <f ca="1">1-C90</f>
        <v>#DIV/0!</v>
      </c>
    </row>
    <row r="90" spans="1:12">
      <c r="B90" s="173" t="s">
        <v>790</v>
      </c>
      <c r="C90" s="3215"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06" t="s">
        <v>681</v>
      </c>
      <c r="C6" s="784">
        <f ca="1">ROUND(F6*F8*F7*(1-F9),0)</f>
        <v>0</v>
      </c>
      <c r="D6" s="60" t="s">
        <v>2024</v>
      </c>
      <c r="E6" s="191" t="s">
        <v>683</v>
      </c>
      <c r="F6" s="192">
        <f ca="1">INDIRECT("'数据-取费表'!u"&amp;$G$1)</f>
        <v>0</v>
      </c>
      <c r="G6" s="1030"/>
      <c r="H6" s="779" t="s">
        <v>392</v>
      </c>
      <c r="I6" s="4706" t="s">
        <v>681</v>
      </c>
      <c r="J6" s="190">
        <f ca="1">ROUND(M6*M8*M7*(1-M9),0)</f>
        <v>0</v>
      </c>
      <c r="K6" s="1022" t="s">
        <v>2025</v>
      </c>
      <c r="L6" s="191" t="s">
        <v>683</v>
      </c>
      <c r="M6" s="192">
        <f ca="1">INDIRECT("'数据-取费表'!z"&amp;$G$1)</f>
        <v>0</v>
      </c>
    </row>
    <row r="7" spans="1:37" ht="18" customHeight="1">
      <c r="A7" s="783"/>
      <c r="B7" s="4707"/>
      <c r="C7" s="785"/>
      <c r="D7" s="196"/>
      <c r="E7" s="786" t="s">
        <v>684</v>
      </c>
      <c r="F7" s="192">
        <f ca="1">IF(INDIRECT("'数据-取费表'!ah"&amp;$G$1)="",INDIRECT("'数据-取费表'!k"&amp;$G$1),INDIRECT("'数据-取费表'!ah"&amp;$G$1))</f>
        <v>0</v>
      </c>
      <c r="G7" s="1030"/>
      <c r="H7" s="193"/>
      <c r="I7" s="4707"/>
      <c r="J7" s="195"/>
      <c r="K7" s="196"/>
      <c r="L7" s="191" t="s">
        <v>684</v>
      </c>
      <c r="M7" s="192">
        <f ca="1">F7</f>
        <v>0</v>
      </c>
    </row>
    <row r="8" spans="1:37" ht="18" customHeight="1">
      <c r="A8" s="193"/>
      <c r="B8" s="4707"/>
      <c r="C8" s="195"/>
      <c r="D8" s="196"/>
      <c r="E8" s="191" t="s">
        <v>685</v>
      </c>
      <c r="F8" s="192">
        <f ca="1">INDIRECT("'数据-取费表'!ai"&amp;$G$1)</f>
        <v>0</v>
      </c>
      <c r="G8" s="1030"/>
      <c r="H8" s="193"/>
      <c r="I8" s="4707"/>
      <c r="J8" s="195"/>
      <c r="K8" s="196"/>
      <c r="L8" s="191" t="s">
        <v>685</v>
      </c>
      <c r="M8" s="192">
        <f ca="1">INDIRECT("'数据-取费表'!ai"&amp;$G$1)</f>
        <v>0</v>
      </c>
    </row>
    <row r="9" spans="1:37" ht="18" customHeight="1">
      <c r="A9" s="193"/>
      <c r="B9" s="4708"/>
      <c r="C9" s="195"/>
      <c r="D9" s="196"/>
      <c r="E9" s="191" t="s">
        <v>686</v>
      </c>
      <c r="F9" s="201">
        <f ca="1">INDIRECT("'数据-取费表'!w"&amp;$G$1)</f>
        <v>0</v>
      </c>
      <c r="G9" s="1030"/>
      <c r="H9" s="193"/>
      <c r="I9" s="4708"/>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2032</v>
      </c>
      <c r="E10" s="202" t="s">
        <v>688</v>
      </c>
      <c r="F10" s="821"/>
      <c r="G10" s="1030"/>
      <c r="H10" s="779" t="s">
        <v>396</v>
      </c>
      <c r="I10" s="1011" t="s">
        <v>687</v>
      </c>
      <c r="J10" s="190">
        <f ca="1">ROUND(IF(M10="押一",J6/12*M11,IF(M10="押二",J6/12*2*M11,IF(M10="押三",J6/12*3*M11,J11*M11))),0)</f>
        <v>0</v>
      </c>
      <c r="K10" s="1023" t="s">
        <v>2034</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0.06</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3243</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2221</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3243</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1.5</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3259</v>
      </c>
      <c r="B45" s="1045"/>
      <c r="C45" s="1117" t="e">
        <f ca="1">ROUND((C68-C40)/10000,4)</f>
        <v>#DIV/0!</v>
      </c>
      <c r="D45" s="2795" t="s">
        <v>3260</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2035</v>
      </c>
      <c r="E53" s="202" t="s">
        <v>688</v>
      </c>
      <c r="F53" s="821"/>
      <c r="I53" s="1084" t="s">
        <v>823</v>
      </c>
      <c r="J53" s="1752">
        <f ca="1">IF(M47="住宅",IF(D1="——",MAX(J51,L48),MAX(J51,L48-'数据-取费表'!B24)),IF(D1="——",MIN(J51,L48),MIN(J51,L48-'数据-取费表'!B24)))</f>
        <v>0</v>
      </c>
      <c r="K53" s="4686" t="s">
        <v>824</v>
      </c>
      <c r="L53" s="4687"/>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3243</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2345</v>
      </c>
      <c r="B1" s="2299"/>
      <c r="C1" s="2310"/>
      <c r="D1" s="2310"/>
      <c r="E1" s="2300"/>
      <c r="F1" s="2301"/>
      <c r="G1" s="2302"/>
      <c r="J1" s="2305" t="s">
        <v>2229</v>
      </c>
      <c r="K1" s="2306"/>
      <c r="L1" s="2306"/>
      <c r="M1" s="2306"/>
      <c r="N1" s="2306"/>
      <c r="O1" s="2306"/>
      <c r="P1" s="2306"/>
      <c r="Q1" s="2306"/>
      <c r="R1" s="2307"/>
      <c r="S1" s="2308"/>
      <c r="T1" s="2308"/>
      <c r="U1" s="2308"/>
    </row>
    <row r="2" spans="1:22" s="2319" customFormat="1" ht="13.15" customHeight="1">
      <c r="A2" s="1031" t="s">
        <v>2230</v>
      </c>
      <c r="B2" s="3939" t="e">
        <f>IF(D2="——",C40,C40+E2)</f>
        <v>#DIV/0!</v>
      </c>
      <c r="C2" s="2310" t="s">
        <v>2231</v>
      </c>
      <c r="D2" s="2802" t="s">
        <v>3266</v>
      </c>
      <c r="E2" s="2803"/>
      <c r="F2" s="2312"/>
      <c r="G2" s="2313"/>
      <c r="H2" s="2314"/>
      <c r="I2" s="2315"/>
      <c r="J2" s="4709" t="s">
        <v>2232</v>
      </c>
      <c r="K2" s="4710"/>
      <c r="L2" s="2316" t="s">
        <v>2233</v>
      </c>
      <c r="M2" s="2316" t="s">
        <v>2234</v>
      </c>
      <c r="N2" s="2316" t="s">
        <v>2235</v>
      </c>
      <c r="O2" s="2316" t="s">
        <v>2236</v>
      </c>
      <c r="P2" s="2316" t="s">
        <v>2237</v>
      </c>
      <c r="Q2" s="2317" t="s">
        <v>2238</v>
      </c>
      <c r="R2" s="2318" t="s">
        <v>2239</v>
      </c>
      <c r="S2" s="2308"/>
      <c r="T2" s="2308"/>
      <c r="U2" s="2308"/>
      <c r="V2" s="2315"/>
    </row>
    <row r="3" spans="1:22" s="2319" customFormat="1" ht="13.15" customHeight="1">
      <c r="A3" s="2320" t="s">
        <v>2240</v>
      </c>
      <c r="B3" s="3940" t="e">
        <f>ROUND(B2*10000/B4,0)</f>
        <v>#DIV/0!</v>
      </c>
      <c r="C3" s="2310" t="s">
        <v>2241</v>
      </c>
      <c r="D3" s="2310"/>
      <c r="E3" s="2311"/>
      <c r="F3" s="2312"/>
      <c r="G3" s="2313"/>
      <c r="H3" s="2314"/>
      <c r="I3" s="2315"/>
      <c r="J3" s="4711" t="s">
        <v>2242</v>
      </c>
      <c r="K3" s="4712"/>
      <c r="L3" s="2321"/>
      <c r="M3" s="2321"/>
      <c r="N3" s="2321"/>
      <c r="O3" s="2321"/>
      <c r="P3" s="2321"/>
      <c r="Q3" s="2322"/>
      <c r="R3" s="2323">
        <f>SUM(L3:Q3)</f>
        <v>0</v>
      </c>
      <c r="S3" s="2308"/>
      <c r="T3" s="2308"/>
      <c r="U3" s="2308"/>
      <c r="V3" s="2315"/>
    </row>
    <row r="4" spans="1:22" s="2319" customFormat="1" ht="13.15" customHeight="1">
      <c r="A4" s="2324" t="s">
        <v>2243</v>
      </c>
      <c r="B4" s="2358"/>
      <c r="C4" s="2310"/>
      <c r="D4" s="2310"/>
      <c r="E4" s="2311"/>
      <c r="F4" s="2312"/>
      <c r="G4" s="2313"/>
      <c r="H4" s="2314"/>
      <c r="I4" s="2315"/>
      <c r="J4" s="4711" t="s">
        <v>2244</v>
      </c>
      <c r="K4" s="4712"/>
      <c r="L4" s="2326"/>
      <c r="M4" s="2326"/>
      <c r="N4" s="2326"/>
      <c r="O4" s="2326"/>
      <c r="P4" s="2326"/>
      <c r="Q4" s="2327"/>
      <c r="R4" s="2328">
        <f>SUM(L4:Q4)</f>
        <v>0</v>
      </c>
      <c r="S4" s="2308"/>
      <c r="T4" s="2308"/>
      <c r="U4" s="2308"/>
      <c r="V4" s="2315"/>
    </row>
    <row r="5" spans="1:22" s="2319" customFormat="1" ht="13.15" customHeight="1" thickBot="1">
      <c r="A5" s="2329" t="s">
        <v>2245</v>
      </c>
      <c r="B5" s="3941"/>
      <c r="C5" s="2310"/>
      <c r="D5" s="2330"/>
      <c r="E5" s="2312"/>
      <c r="F5" s="2312"/>
      <c r="G5" s="2313"/>
      <c r="H5" s="2314"/>
      <c r="I5" s="2315"/>
      <c r="J5" s="2331" t="s">
        <v>2246</v>
      </c>
      <c r="K5" s="2332"/>
      <c r="L5" s="2332"/>
      <c r="M5" s="2333"/>
      <c r="N5" s="2333"/>
      <c r="O5" s="2333"/>
      <c r="P5" s="2333"/>
      <c r="Q5" s="2333"/>
      <c r="R5" s="2318">
        <f>SUM(R14,R19,R24,R25,R27,R28)</f>
        <v>0</v>
      </c>
      <c r="S5" s="2308"/>
      <c r="T5" s="2308" t="s">
        <v>2247</v>
      </c>
      <c r="U5" s="2308" t="e">
        <f>ROUND(R5*10000/365/R3,1)</f>
        <v>#DIV/0!</v>
      </c>
      <c r="V5" s="2315"/>
    </row>
    <row r="6" spans="1:22" s="2319" customFormat="1" ht="13.15" customHeight="1" thickBot="1">
      <c r="A6" s="4713" t="s">
        <v>3848</v>
      </c>
      <c r="B6" s="4714"/>
      <c r="C6" s="4715"/>
      <c r="D6" s="3942"/>
      <c r="E6" s="4102"/>
      <c r="F6" s="2335"/>
      <c r="G6" s="2336"/>
      <c r="H6" s="2314"/>
      <c r="I6" s="2315"/>
      <c r="J6" s="4716">
        <v>1</v>
      </c>
      <c r="K6" s="4717" t="s">
        <v>2248</v>
      </c>
      <c r="L6" s="2337" t="s">
        <v>2249</v>
      </c>
      <c r="M6" s="2338" t="s">
        <v>2250</v>
      </c>
      <c r="N6" s="2338" t="s">
        <v>2251</v>
      </c>
      <c r="O6" s="2338" t="s">
        <v>2252</v>
      </c>
      <c r="P6" s="2338" t="s">
        <v>2253</v>
      </c>
      <c r="Q6" s="2338" t="s">
        <v>2254</v>
      </c>
      <c r="R6" s="2323" t="s">
        <v>2255</v>
      </c>
      <c r="S6" s="2308"/>
      <c r="T6" s="2308" t="s">
        <v>2256</v>
      </c>
      <c r="U6" s="2308"/>
      <c r="V6" s="2315"/>
    </row>
    <row r="7" spans="1:22" s="2319" customFormat="1" ht="13.15" customHeight="1">
      <c r="A7" s="2339" t="s">
        <v>2257</v>
      </c>
      <c r="B7" s="2340"/>
      <c r="C7" s="2341"/>
      <c r="D7" s="3943">
        <f>SUM(D9,D10,D11,D17,0)</f>
        <v>0</v>
      </c>
      <c r="E7" s="2342" t="e">
        <f>E9+E10+E11+E17</f>
        <v>#DIV/0!</v>
      </c>
      <c r="F7" s="2343"/>
      <c r="G7" s="2344"/>
      <c r="H7" s="2314"/>
      <c r="I7" s="2315"/>
      <c r="J7" s="4716"/>
      <c r="K7" s="4718"/>
      <c r="L7" s="2345" t="s">
        <v>2258</v>
      </c>
      <c r="M7" s="4237"/>
      <c r="N7" s="4236"/>
      <c r="O7" s="2358"/>
      <c r="P7" s="2358"/>
      <c r="Q7" s="4236">
        <v>365</v>
      </c>
      <c r="R7" s="4235">
        <f>ROUND(M7*N7*O7*P7*Q7/10000,0)</f>
        <v>0</v>
      </c>
      <c r="S7" s="2308"/>
      <c r="T7" s="2308" t="s">
        <v>2259</v>
      </c>
      <c r="U7" s="2308"/>
      <c r="V7" s="2315"/>
    </row>
    <row r="8" spans="1:22" s="2319" customFormat="1" ht="13.15" customHeight="1">
      <c r="A8" s="2349" t="s">
        <v>2260</v>
      </c>
      <c r="B8" s="4720" t="s">
        <v>2261</v>
      </c>
      <c r="C8" s="4721"/>
      <c r="D8" s="2350" t="s">
        <v>2262</v>
      </c>
      <c r="E8" s="2351" t="s">
        <v>2263</v>
      </c>
      <c r="F8" s="2352" t="s">
        <v>2264</v>
      </c>
      <c r="G8" s="2353"/>
      <c r="H8" s="2314"/>
      <c r="I8" s="2315"/>
      <c r="J8" s="4716"/>
      <c r="K8" s="4718"/>
      <c r="L8" s="2345" t="s">
        <v>2265</v>
      </c>
      <c r="M8" s="4237"/>
      <c r="N8" s="4236"/>
      <c r="O8" s="2358"/>
      <c r="P8" s="2358"/>
      <c r="Q8" s="4236">
        <v>365</v>
      </c>
      <c r="R8" s="4235">
        <f t="shared" ref="R8:R13" si="0">ROUND(M8*N8*O8*P8*Q8/10000,0)</f>
        <v>0</v>
      </c>
      <c r="S8" s="2308"/>
      <c r="T8" s="2308" t="s">
        <v>2266</v>
      </c>
      <c r="U8" s="2308"/>
      <c r="V8" s="2315"/>
    </row>
    <row r="9" spans="1:22" s="2319" customFormat="1" ht="13.15" customHeight="1">
      <c r="A9" s="2349">
        <v>1</v>
      </c>
      <c r="B9" s="4720" t="s">
        <v>2267</v>
      </c>
      <c r="C9" s="4721"/>
      <c r="D9" s="3944">
        <f>ROUND(D6*E9,0)</f>
        <v>0</v>
      </c>
      <c r="E9" s="3945"/>
      <c r="F9" s="2354" t="s">
        <v>2268</v>
      </c>
      <c r="G9" s="2336"/>
      <c r="H9" s="2314"/>
      <c r="I9" s="2315"/>
      <c r="J9" s="4716"/>
      <c r="K9" s="4718"/>
      <c r="L9" s="2345" t="s">
        <v>2269</v>
      </c>
      <c r="M9" s="4237"/>
      <c r="N9" s="4236"/>
      <c r="O9" s="2358"/>
      <c r="P9" s="2358"/>
      <c r="Q9" s="4236">
        <v>365</v>
      </c>
      <c r="R9" s="4235">
        <f t="shared" si="0"/>
        <v>0</v>
      </c>
      <c r="S9" s="2308"/>
      <c r="T9" s="2308"/>
      <c r="U9" s="2308"/>
      <c r="V9" s="2315"/>
    </row>
    <row r="10" spans="1:22" s="2319" customFormat="1" ht="13.15" customHeight="1">
      <c r="A10" s="2349">
        <v>2</v>
      </c>
      <c r="B10" s="4720" t="s">
        <v>2270</v>
      </c>
      <c r="C10" s="4721"/>
      <c r="D10" s="3944">
        <f>ROUND(D6*E10,0)</f>
        <v>0</v>
      </c>
      <c r="E10" s="3945"/>
      <c r="F10" s="4097" t="s">
        <v>3771</v>
      </c>
      <c r="G10" s="2336"/>
      <c r="H10" s="2314"/>
      <c r="I10" s="2315"/>
      <c r="J10" s="4716"/>
      <c r="K10" s="4718"/>
      <c r="L10" s="2345" t="s">
        <v>2271</v>
      </c>
      <c r="M10" s="4237"/>
      <c r="N10" s="4236"/>
      <c r="O10" s="2358"/>
      <c r="P10" s="2358"/>
      <c r="Q10" s="4236">
        <v>365</v>
      </c>
      <c r="R10" s="4235">
        <f t="shared" si="0"/>
        <v>0</v>
      </c>
      <c r="S10" s="2308"/>
      <c r="T10" s="2308"/>
      <c r="U10" s="2308"/>
      <c r="V10" s="2315"/>
    </row>
    <row r="11" spans="1:22" s="2319" customFormat="1" ht="13.15" customHeight="1">
      <c r="A11" s="2349">
        <v>3</v>
      </c>
      <c r="B11" s="4720" t="s">
        <v>2272</v>
      </c>
      <c r="C11" s="4721"/>
      <c r="D11" s="3944">
        <f>D12+D14+D15+D16</f>
        <v>0</v>
      </c>
      <c r="E11" s="3946" t="e">
        <f>D11/D6</f>
        <v>#DIV/0!</v>
      </c>
      <c r="F11" s="2352"/>
      <c r="G11" s="2353"/>
      <c r="H11" s="2314"/>
      <c r="I11" s="2315"/>
      <c r="J11" s="4716"/>
      <c r="K11" s="4718"/>
      <c r="L11" s="2345" t="s">
        <v>2273</v>
      </c>
      <c r="M11" s="4237"/>
      <c r="N11" s="4236"/>
      <c r="O11" s="2358"/>
      <c r="P11" s="2358"/>
      <c r="Q11" s="4236">
        <v>365</v>
      </c>
      <c r="R11" s="4235">
        <f t="shared" si="0"/>
        <v>0</v>
      </c>
      <c r="S11" s="2308"/>
      <c r="T11" s="2308"/>
      <c r="U11" s="2308"/>
      <c r="V11" s="2315"/>
    </row>
    <row r="12" spans="1:22" s="2319" customFormat="1" ht="13.15" customHeight="1">
      <c r="A12" s="2355" t="s">
        <v>2274</v>
      </c>
      <c r="B12" s="4722" t="s">
        <v>2275</v>
      </c>
      <c r="C12" s="4723"/>
      <c r="D12" s="3947">
        <f>ROUND(D13*1.2%*(1-30%),0)</f>
        <v>0</v>
      </c>
      <c r="E12" s="3948">
        <v>1.2E-2</v>
      </c>
      <c r="F12" s="2352" t="s">
        <v>2276</v>
      </c>
      <c r="G12" s="2353"/>
      <c r="H12" s="2314"/>
      <c r="I12" s="2315"/>
      <c r="J12" s="4716"/>
      <c r="K12" s="4718"/>
      <c r="L12" s="2345" t="s">
        <v>2277</v>
      </c>
      <c r="M12" s="4237"/>
      <c r="N12" s="4236"/>
      <c r="O12" s="2358"/>
      <c r="P12" s="2358"/>
      <c r="Q12" s="4236">
        <v>365</v>
      </c>
      <c r="R12" s="4235">
        <f t="shared" si="0"/>
        <v>0</v>
      </c>
      <c r="S12" s="2308"/>
      <c r="T12" s="2308"/>
      <c r="U12" s="2308"/>
      <c r="V12" s="2315"/>
    </row>
    <row r="13" spans="1:22" s="2319" customFormat="1" ht="13.15" customHeight="1">
      <c r="A13" s="2355"/>
      <c r="B13" s="2356"/>
      <c r="C13" s="2357" t="s">
        <v>2278</v>
      </c>
      <c r="D13" s="3949"/>
      <c r="E13" s="2359"/>
      <c r="F13" s="2352"/>
      <c r="G13" s="2353"/>
      <c r="H13" s="2314"/>
      <c r="I13" s="2315"/>
      <c r="J13" s="4716"/>
      <c r="K13" s="4718"/>
      <c r="L13" s="2345" t="s">
        <v>2279</v>
      </c>
      <c r="M13" s="4237"/>
      <c r="N13" s="4236"/>
      <c r="O13" s="2358"/>
      <c r="P13" s="2358"/>
      <c r="Q13" s="4236">
        <v>365</v>
      </c>
      <c r="R13" s="4235">
        <f t="shared" si="0"/>
        <v>0</v>
      </c>
      <c r="S13" s="2308"/>
      <c r="T13" s="2308"/>
      <c r="U13" s="2308"/>
      <c r="V13" s="2315"/>
    </row>
    <row r="14" spans="1:22" s="2319" customFormat="1" ht="13.15" customHeight="1">
      <c r="A14" s="2355" t="s">
        <v>2280</v>
      </c>
      <c r="B14" s="4722" t="s">
        <v>2281</v>
      </c>
      <c r="C14" s="4723"/>
      <c r="D14" s="3947">
        <f>ROUND(E14*B5/10000,0)</f>
        <v>0</v>
      </c>
      <c r="E14" s="3950"/>
      <c r="F14" s="2352" t="s">
        <v>2282</v>
      </c>
      <c r="G14" s="2353"/>
      <c r="H14" s="2314"/>
      <c r="I14" s="2315"/>
      <c r="J14" s="4716"/>
      <c r="K14" s="4719"/>
      <c r="L14" s="2360" t="s">
        <v>2283</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2284</v>
      </c>
      <c r="B15" s="4724" t="s">
        <v>3845</v>
      </c>
      <c r="C15" s="4723"/>
      <c r="D15" s="3947">
        <f>IF(F15="酒店",E48*(1+E15),IF(F15="购物中心",E67*(1+E15),IF(F15="按比例计算-酒店",E46,E65)))</f>
        <v>0</v>
      </c>
      <c r="E15" s="3948">
        <f>'数据-取费表'!B44</f>
        <v>0.12000000000000001</v>
      </c>
      <c r="F15" s="4100"/>
      <c r="G15" s="4101"/>
      <c r="H15" s="2314"/>
      <c r="I15" s="2315"/>
      <c r="J15" s="4716">
        <v>2</v>
      </c>
      <c r="K15" s="4717" t="s">
        <v>2285</v>
      </c>
      <c r="L15" s="2345" t="s">
        <v>2286</v>
      </c>
      <c r="M15" s="2346" t="s">
        <v>2287</v>
      </c>
      <c r="N15" s="2346" t="s">
        <v>2288</v>
      </c>
      <c r="O15" s="2347" t="s">
        <v>2289</v>
      </c>
      <c r="P15" s="2347" t="s">
        <v>2254</v>
      </c>
      <c r="Q15" s="2325" t="s">
        <v>2290</v>
      </c>
      <c r="R15" s="2364" t="s">
        <v>2255</v>
      </c>
      <c r="S15" s="2308"/>
      <c r="T15" s="2308"/>
      <c r="U15" s="2308"/>
      <c r="V15" s="2315"/>
    </row>
    <row r="16" spans="1:22" s="2319" customFormat="1" ht="13.15" customHeight="1">
      <c r="A16" s="2355" t="s">
        <v>2291</v>
      </c>
      <c r="B16" s="4722" t="s">
        <v>2292</v>
      </c>
      <c r="C16" s="4723"/>
      <c r="D16" s="3951">
        <f>D6*E16</f>
        <v>0</v>
      </c>
      <c r="E16" s="3952"/>
      <c r="F16" s="2354" t="s">
        <v>2293</v>
      </c>
      <c r="G16" s="2336"/>
      <c r="H16" s="2314"/>
      <c r="I16" s="2315"/>
      <c r="J16" s="4716"/>
      <c r="K16" s="4718"/>
      <c r="L16" s="2345" t="s">
        <v>2294</v>
      </c>
      <c r="M16" s="4237"/>
      <c r="N16" s="4237"/>
      <c r="O16" s="2358"/>
      <c r="P16" s="4236">
        <v>365</v>
      </c>
      <c r="Q16" s="4236"/>
      <c r="R16" s="4235">
        <f>ROUND(M16*N16*O16*P16/10000,0)</f>
        <v>0</v>
      </c>
      <c r="S16" s="2308"/>
      <c r="T16" s="2308"/>
      <c r="U16" s="2308"/>
      <c r="V16" s="2315"/>
    </row>
    <row r="17" spans="1:22" s="2319" customFormat="1" ht="13.15" customHeight="1" thickBot="1">
      <c r="A17" s="2365">
        <v>4</v>
      </c>
      <c r="B17" s="4725" t="s">
        <v>2295</v>
      </c>
      <c r="C17" s="4726"/>
      <c r="D17" s="3953">
        <f>ROUND(D6*E17,0)</f>
        <v>0</v>
      </c>
      <c r="E17" s="3954"/>
      <c r="F17" s="4098" t="s">
        <v>3772</v>
      </c>
      <c r="G17" s="2336"/>
      <c r="H17" s="2314"/>
      <c r="I17" s="2315"/>
      <c r="J17" s="4716"/>
      <c r="K17" s="4718"/>
      <c r="L17" s="2345" t="s">
        <v>2296</v>
      </c>
      <c r="M17" s="4237"/>
      <c r="N17" s="4237"/>
      <c r="O17" s="2358"/>
      <c r="P17" s="4236">
        <v>365</v>
      </c>
      <c r="Q17" s="4236"/>
      <c r="R17" s="4235">
        <f>ROUND(M17*N17*O17*P17/10000,0)</f>
        <v>0</v>
      </c>
      <c r="S17" s="2308"/>
      <c r="T17" s="2308"/>
      <c r="U17" s="2308"/>
      <c r="V17" s="2315"/>
    </row>
    <row r="18" spans="1:22" s="2319" customFormat="1" ht="13.15" customHeight="1" thickBot="1">
      <c r="A18" s="2339" t="s">
        <v>2297</v>
      </c>
      <c r="B18" s="2340"/>
      <c r="C18" s="2340"/>
      <c r="D18" s="3955">
        <f>ROUND(D6*E18,0)</f>
        <v>0</v>
      </c>
      <c r="E18" s="3956"/>
      <c r="F18" s="2366" t="s">
        <v>2298</v>
      </c>
      <c r="G18" s="2336"/>
      <c r="H18" s="2314"/>
      <c r="I18" s="2315"/>
      <c r="J18" s="4716"/>
      <c r="K18" s="4718"/>
      <c r="L18" s="2345" t="s">
        <v>2299</v>
      </c>
      <c r="M18" s="4237"/>
      <c r="N18" s="4237"/>
      <c r="O18" s="2358"/>
      <c r="P18" s="4236">
        <v>365</v>
      </c>
      <c r="Q18" s="4236"/>
      <c r="R18" s="4235">
        <f>ROUND(M18*N18*O18*P18/10000,0)</f>
        <v>0</v>
      </c>
      <c r="S18" s="2308"/>
      <c r="T18" s="2308"/>
      <c r="U18" s="2308"/>
      <c r="V18" s="2315"/>
    </row>
    <row r="19" spans="1:22" s="2319" customFormat="1" ht="13.15" customHeight="1" thickBot="1">
      <c r="A19" s="2367" t="s">
        <v>2300</v>
      </c>
      <c r="B19" s="2334"/>
      <c r="C19" s="2334"/>
      <c r="D19" s="2334"/>
      <c r="E19" s="2334"/>
      <c r="F19" s="2335"/>
      <c r="G19" s="2353"/>
      <c r="H19" s="2314"/>
      <c r="I19" s="2315"/>
      <c r="J19" s="4716"/>
      <c r="K19" s="4719"/>
      <c r="L19" s="2360" t="s">
        <v>2283</v>
      </c>
      <c r="M19" s="2361"/>
      <c r="N19" s="2361">
        <f>SUM(N16:N18)</f>
        <v>0</v>
      </c>
      <c r="O19" s="2362"/>
      <c r="P19" s="2368" t="s">
        <v>2344</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16">
        <v>3</v>
      </c>
      <c r="K20" s="4717" t="s">
        <v>2301</v>
      </c>
      <c r="L20" s="2345" t="s">
        <v>2302</v>
      </c>
      <c r="M20" s="2346" t="s">
        <v>2303</v>
      </c>
      <c r="N20" s="2370" t="s">
        <v>2304</v>
      </c>
      <c r="O20" s="2347" t="s">
        <v>2305</v>
      </c>
      <c r="P20" s="2348" t="s">
        <v>2306</v>
      </c>
      <c r="Q20" s="2325" t="s">
        <v>2307</v>
      </c>
      <c r="R20" s="2364" t="s">
        <v>2308</v>
      </c>
      <c r="S20" s="2371"/>
      <c r="T20" s="2371"/>
      <c r="U20" s="2371"/>
      <c r="V20" s="2315"/>
    </row>
    <row r="21" spans="1:22" s="2319" customFormat="1" ht="13.15" customHeight="1">
      <c r="A21" s="2339"/>
      <c r="B21" s="2340"/>
      <c r="C21" s="2372" t="s">
        <v>2309</v>
      </c>
      <c r="D21" s="2373" t="s">
        <v>2310</v>
      </c>
      <c r="E21" s="2374" t="s">
        <v>2311</v>
      </c>
      <c r="F21" s="2369"/>
      <c r="G21" s="2353"/>
      <c r="H21" s="2314"/>
      <c r="I21" s="2315"/>
      <c r="J21" s="4716"/>
      <c r="K21" s="4718"/>
      <c r="L21" s="2345" t="s">
        <v>2312</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2313</v>
      </c>
      <c r="D22" s="2376" t="s">
        <v>2314</v>
      </c>
      <c r="E22" s="2377" t="s">
        <v>2315</v>
      </c>
      <c r="F22" s="2369"/>
      <c r="G22" s="2378"/>
      <c r="H22" s="2314"/>
      <c r="I22" s="2315"/>
      <c r="J22" s="4716"/>
      <c r="K22" s="4718"/>
      <c r="L22" s="2345" t="s">
        <v>2316</v>
      </c>
      <c r="M22" s="4237"/>
      <c r="N22" s="4237"/>
      <c r="O22" s="2358"/>
      <c r="P22" s="4236">
        <v>365</v>
      </c>
      <c r="Q22" s="4236"/>
      <c r="R22" s="4238">
        <f>ROUND(M22*N22*O22*P22/10000,0)</f>
        <v>0</v>
      </c>
      <c r="S22" s="2371"/>
      <c r="T22" s="2371"/>
      <c r="U22" s="2371"/>
      <c r="V22" s="2315"/>
    </row>
    <row r="23" spans="1:22" s="2319" customFormat="1" ht="13.15" customHeight="1">
      <c r="A23" s="2379">
        <v>1</v>
      </c>
      <c r="B23" s="2380" t="s">
        <v>2317</v>
      </c>
      <c r="C23" s="2385">
        <f>D6</f>
        <v>0</v>
      </c>
      <c r="D23" s="3971">
        <f>C23*(1+D24)</f>
        <v>0</v>
      </c>
      <c r="E23" s="3972">
        <f>D23*(1+E24)</f>
        <v>0</v>
      </c>
      <c r="F23" s="2381"/>
      <c r="G23" s="2382"/>
      <c r="H23" s="2314"/>
      <c r="I23" s="2315"/>
      <c r="J23" s="4716"/>
      <c r="K23" s="4718"/>
      <c r="L23" s="2345" t="s">
        <v>2318</v>
      </c>
      <c r="M23" s="4237"/>
      <c r="N23" s="4237"/>
      <c r="O23" s="2358"/>
      <c r="P23" s="4236">
        <v>365</v>
      </c>
      <c r="Q23" s="4236"/>
      <c r="R23" s="4238">
        <f>ROUND(M23*N23*O23*P23/10000,0)</f>
        <v>0</v>
      </c>
      <c r="S23" s="2308"/>
      <c r="T23" s="2308"/>
      <c r="U23" s="2308"/>
      <c r="V23" s="2315"/>
    </row>
    <row r="24" spans="1:22" s="2319" customFormat="1" ht="13.15" customHeight="1">
      <c r="A24" s="2383"/>
      <c r="B24" s="2384" t="s">
        <v>2319</v>
      </c>
      <c r="C24" s="2385"/>
      <c r="D24" s="2386"/>
      <c r="E24" s="2387"/>
      <c r="F24" s="2388"/>
      <c r="G24" s="2382"/>
      <c r="H24" s="2314"/>
      <c r="I24" s="2315"/>
      <c r="J24" s="4716"/>
      <c r="K24" s="4719"/>
      <c r="L24" s="2360" t="s">
        <v>2283</v>
      </c>
      <c r="M24" s="2361">
        <f>SUM(M21:M23)</f>
        <v>0</v>
      </c>
      <c r="N24" s="2361"/>
      <c r="O24" s="2362"/>
      <c r="P24" s="2368" t="s">
        <v>2344</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2320</v>
      </c>
      <c r="L25" s="2391"/>
      <c r="M25" s="2391"/>
      <c r="N25" s="2391"/>
      <c r="O25" s="2391"/>
      <c r="P25" s="2392"/>
      <c r="Q25" s="2393">
        <v>0</v>
      </c>
      <c r="R25" s="4239">
        <f>ROUND(R14*Q25,0)</f>
        <v>0</v>
      </c>
      <c r="S25" s="2308"/>
      <c r="T25" s="2308"/>
      <c r="U25" s="2308"/>
      <c r="V25" s="2394"/>
    </row>
    <row r="26" spans="1:22" s="2395" customFormat="1" ht="13.15" customHeight="1">
      <c r="A26" s="2379">
        <v>2</v>
      </c>
      <c r="B26" s="2380" t="s">
        <v>2321</v>
      </c>
      <c r="C26" s="2385">
        <f>D7</f>
        <v>0</v>
      </c>
      <c r="D26" s="3957">
        <f>D23*D27</f>
        <v>0</v>
      </c>
      <c r="E26" s="3958">
        <f>E23*E27</f>
        <v>0</v>
      </c>
      <c r="F26" s="2381"/>
      <c r="G26" s="2382"/>
      <c r="H26" s="2314"/>
      <c r="I26" s="2315"/>
      <c r="J26" s="4727">
        <v>5</v>
      </c>
      <c r="K26" s="2396" t="s">
        <v>2322</v>
      </c>
      <c r="L26" s="2397"/>
      <c r="M26" s="2398"/>
      <c r="N26" s="2399" t="s">
        <v>2323</v>
      </c>
      <c r="O26" s="2399" t="s">
        <v>2324</v>
      </c>
      <c r="P26" s="2400" t="s">
        <v>2325</v>
      </c>
      <c r="Q26" s="2400" t="s">
        <v>2326</v>
      </c>
      <c r="R26" s="2323" t="s">
        <v>2255</v>
      </c>
      <c r="S26" s="2401"/>
      <c r="T26" s="2401"/>
      <c r="U26" s="2401"/>
      <c r="V26" s="2394"/>
    </row>
    <row r="27" spans="1:22" s="2319" customFormat="1" ht="13.15" customHeight="1">
      <c r="A27" s="2383"/>
      <c r="B27" s="2384" t="s">
        <v>2327</v>
      </c>
      <c r="C27" s="2402" t="e">
        <f>E7</f>
        <v>#DIV/0!</v>
      </c>
      <c r="D27" s="2386"/>
      <c r="E27" s="2387"/>
      <c r="F27" s="2388"/>
      <c r="G27" s="2382"/>
      <c r="H27" s="2403"/>
      <c r="I27" s="2394"/>
      <c r="J27" s="4728"/>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2328</v>
      </c>
      <c r="F28" s="2388"/>
      <c r="G28" s="2378"/>
      <c r="H28" s="2403"/>
      <c r="I28" s="2394"/>
      <c r="J28" s="2407">
        <v>6</v>
      </c>
      <c r="K28" s="2408" t="s">
        <v>2329</v>
      </c>
      <c r="L28" s="2409" t="s">
        <v>2330</v>
      </c>
      <c r="M28" s="3978"/>
      <c r="N28" s="2409" t="s">
        <v>2331</v>
      </c>
      <c r="O28" s="2411"/>
      <c r="P28" s="2409" t="s">
        <v>2332</v>
      </c>
      <c r="Q28" s="2412">
        <v>1.4999999999999999E-2</v>
      </c>
      <c r="R28" s="3977"/>
      <c r="S28" s="2371"/>
      <c r="T28" s="2371"/>
      <c r="U28" s="2371"/>
      <c r="V28" s="2394"/>
    </row>
    <row r="29" spans="1:22" s="2395" customFormat="1" ht="13.15" customHeight="1">
      <c r="A29" s="2379">
        <v>3</v>
      </c>
      <c r="B29" s="2380" t="s">
        <v>2333</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2327</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2334</v>
      </c>
      <c r="K31" s="2306"/>
      <c r="L31" s="2306"/>
      <c r="M31" s="2306"/>
      <c r="N31" s="2306"/>
      <c r="O31" s="2306"/>
      <c r="P31" s="2306"/>
      <c r="Q31" s="2306"/>
      <c r="R31" s="2307"/>
      <c r="S31" s="2371"/>
      <c r="T31" s="2308"/>
      <c r="U31" s="2308"/>
      <c r="V31" s="2394"/>
    </row>
    <row r="32" spans="1:22" s="2395" customFormat="1" ht="13.15" customHeight="1">
      <c r="A32" s="2379">
        <v>4</v>
      </c>
      <c r="B32" s="2380" t="s">
        <v>2335</v>
      </c>
      <c r="C32" s="2385">
        <f>C23-C26-C29</f>
        <v>0</v>
      </c>
      <c r="D32" s="3957">
        <f>D23-D26-D29</f>
        <v>0</v>
      </c>
      <c r="E32" s="3958">
        <f>E23-E26-E29</f>
        <v>0</v>
      </c>
      <c r="F32" s="2381"/>
      <c r="G32" s="2378"/>
      <c r="H32" s="2314"/>
      <c r="I32" s="2315"/>
      <c r="J32" s="4709" t="s">
        <v>2232</v>
      </c>
      <c r="K32" s="4710"/>
      <c r="L32" s="2316" t="s">
        <v>2233</v>
      </c>
      <c r="M32" s="2316" t="s">
        <v>2234</v>
      </c>
      <c r="N32" s="2316" t="s">
        <v>2235</v>
      </c>
      <c r="O32" s="2316" t="s">
        <v>2236</v>
      </c>
      <c r="P32" s="2316" t="s">
        <v>2237</v>
      </c>
      <c r="Q32" s="2317" t="s">
        <v>2238</v>
      </c>
      <c r="R32" s="2415" t="s">
        <v>2239</v>
      </c>
      <c r="S32" s="2371"/>
      <c r="T32" s="2308"/>
      <c r="U32" s="2308"/>
      <c r="V32" s="2394"/>
    </row>
    <row r="33" spans="1:23" s="2319" customFormat="1" ht="13.15" customHeight="1">
      <c r="A33" s="2379"/>
      <c r="B33" s="2380"/>
      <c r="C33" s="2385"/>
      <c r="D33" s="3959"/>
      <c r="E33" s="3960"/>
      <c r="F33" s="2381"/>
      <c r="G33" s="2378"/>
      <c r="H33" s="2403"/>
      <c r="I33" s="2394"/>
      <c r="J33" s="4711" t="s">
        <v>2242</v>
      </c>
      <c r="K33" s="4712"/>
      <c r="L33" s="3979"/>
      <c r="M33" s="3979"/>
      <c r="N33" s="3979"/>
      <c r="O33" s="3979"/>
      <c r="P33" s="3979"/>
      <c r="Q33" s="3980"/>
      <c r="R33" s="3981">
        <f>SUM(L33:Q33)</f>
        <v>0</v>
      </c>
      <c r="S33" s="2371"/>
      <c r="T33" s="2308"/>
      <c r="U33" s="2308"/>
      <c r="V33" s="2315"/>
    </row>
    <row r="34" spans="1:23" s="2319" customFormat="1" ht="13.15" customHeight="1">
      <c r="A34" s="2379">
        <v>5</v>
      </c>
      <c r="B34" s="2380" t="s">
        <v>2336</v>
      </c>
      <c r="C34" s="3961"/>
      <c r="D34" s="3962"/>
      <c r="E34" s="3963"/>
      <c r="F34" s="2381"/>
      <c r="G34" s="2378"/>
      <c r="H34" s="2403"/>
      <c r="I34" s="2394"/>
      <c r="J34" s="4711" t="s">
        <v>2244</v>
      </c>
      <c r="K34" s="4712"/>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2337</v>
      </c>
      <c r="C35" s="2414"/>
      <c r="D35" s="2386"/>
      <c r="E35" s="2387"/>
      <c r="F35" s="2381"/>
      <c r="G35" s="2416"/>
      <c r="H35" s="2314"/>
      <c r="I35" s="2394"/>
      <c r="J35" s="2331" t="s">
        <v>2246</v>
      </c>
      <c r="K35" s="2332"/>
      <c r="L35" s="2332"/>
      <c r="M35" s="2333"/>
      <c r="N35" s="2333"/>
      <c r="O35" s="2333"/>
      <c r="P35" s="2333"/>
      <c r="Q35" s="2333"/>
      <c r="R35" s="2417">
        <f>R40+R41+R43</f>
        <v>0</v>
      </c>
      <c r="S35" s="2371"/>
      <c r="T35" s="2308" t="s">
        <v>2247</v>
      </c>
      <c r="U35" s="2308"/>
      <c r="V35" s="2315"/>
    </row>
    <row r="36" spans="1:23" s="2319" customFormat="1" ht="13.15" customHeight="1" thickBot="1">
      <c r="A36" s="2379">
        <v>7</v>
      </c>
      <c r="B36" s="2418" t="s">
        <v>2338</v>
      </c>
      <c r="C36" s="3964"/>
      <c r="D36" s="3965"/>
      <c r="E36" s="3966"/>
      <c r="F36" s="2419">
        <f>C36+D36+E36</f>
        <v>0</v>
      </c>
      <c r="G36" s="2378"/>
      <c r="H36" s="2314"/>
      <c r="I36" s="2315"/>
      <c r="J36" s="4716">
        <v>1</v>
      </c>
      <c r="K36" s="4717" t="s">
        <v>2339</v>
      </c>
      <c r="L36" s="2337"/>
      <c r="M36" s="2338"/>
      <c r="N36" s="2338"/>
      <c r="O36" s="2338"/>
      <c r="P36" s="2338"/>
      <c r="Q36" s="2338"/>
      <c r="R36" s="2323" t="s">
        <v>2255</v>
      </c>
      <c r="S36" s="2371"/>
      <c r="T36" s="2308" t="s">
        <v>2256</v>
      </c>
      <c r="U36" s="2308"/>
      <c r="V36" s="2315"/>
    </row>
    <row r="37" spans="1:23" s="2319" customFormat="1" ht="13.15" customHeight="1">
      <c r="A37" s="2379"/>
      <c r="B37" s="2380"/>
      <c r="C37" s="2384"/>
      <c r="D37" s="2384"/>
      <c r="E37" s="2384"/>
      <c r="F37" s="2381"/>
      <c r="G37" s="2378"/>
      <c r="H37" s="2314"/>
      <c r="I37" s="2315"/>
      <c r="J37" s="4716"/>
      <c r="K37" s="4718"/>
      <c r="L37" s="3985"/>
      <c r="M37" s="3973"/>
      <c r="N37" s="2358"/>
      <c r="O37" s="2358"/>
      <c r="P37" s="2358"/>
      <c r="Q37" s="2358"/>
      <c r="R37" s="3974"/>
      <c r="S37" s="2371"/>
      <c r="T37" s="2308" t="s">
        <v>2259</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16"/>
      <c r="K38" s="4718"/>
      <c r="L38" s="3985"/>
      <c r="M38" s="3973"/>
      <c r="N38" s="2358"/>
      <c r="O38" s="2358"/>
      <c r="P38" s="2358"/>
      <c r="Q38" s="2358"/>
      <c r="R38" s="3974"/>
      <c r="S38" s="2371"/>
      <c r="T38" s="2308" t="s">
        <v>2266</v>
      </c>
      <c r="U38" s="2308"/>
      <c r="V38" s="2315"/>
    </row>
    <row r="39" spans="1:23" s="2319" customFormat="1" ht="13.15" customHeight="1">
      <c r="A39" s="2379">
        <v>9</v>
      </c>
      <c r="B39" s="2380" t="s">
        <v>2340</v>
      </c>
      <c r="C39" s="3947" t="e">
        <f>C38</f>
        <v>#DIV/0!</v>
      </c>
      <c r="D39" s="3947">
        <f>IF(D23=0,0,D38/(1+D34)^C36)</f>
        <v>0</v>
      </c>
      <c r="E39" s="3947">
        <f>IF(E23=0,0,E38/(1+E34)^(C36+D36))</f>
        <v>0</v>
      </c>
      <c r="F39" s="2381"/>
      <c r="G39" s="2420"/>
      <c r="H39" s="2314"/>
      <c r="I39" s="2315"/>
      <c r="J39" s="4716"/>
      <c r="K39" s="4718"/>
      <c r="L39" s="3985"/>
      <c r="M39" s="3973"/>
      <c r="N39" s="2358"/>
      <c r="O39" s="2358"/>
      <c r="P39" s="2358"/>
      <c r="Q39" s="2358"/>
      <c r="R39" s="3974"/>
      <c r="S39" s="2371"/>
      <c r="T39" s="2308"/>
      <c r="U39" s="2308"/>
      <c r="V39" s="2315"/>
    </row>
    <row r="40" spans="1:23" s="2319" customFormat="1" ht="13.15" customHeight="1">
      <c r="A40" s="2421">
        <v>10</v>
      </c>
      <c r="B40" s="2380" t="s">
        <v>2341</v>
      </c>
      <c r="C40" s="3967" t="e">
        <f>C39+D39+E39</f>
        <v>#DIV/0!</v>
      </c>
      <c r="D40" s="3968"/>
      <c r="E40" s="3968"/>
      <c r="F40" s="2422"/>
      <c r="G40" s="2378"/>
      <c r="H40" s="2314"/>
      <c r="I40" s="2315"/>
      <c r="J40" s="4716"/>
      <c r="K40" s="4719"/>
      <c r="L40" s="2360" t="s">
        <v>2283</v>
      </c>
      <c r="M40" s="2361"/>
      <c r="N40" s="2361"/>
      <c r="O40" s="2362"/>
      <c r="P40" s="2362"/>
      <c r="Q40" s="3986"/>
      <c r="R40" s="4240">
        <f>SUM(R37:R39)</f>
        <v>0</v>
      </c>
      <c r="S40" s="2371"/>
      <c r="T40" s="2308"/>
      <c r="U40" s="2308"/>
      <c r="V40" s="2315"/>
    </row>
    <row r="41" spans="1:23" s="2319" customFormat="1" ht="13.15" customHeight="1" thickBot="1">
      <c r="A41" s="2423">
        <v>11</v>
      </c>
      <c r="B41" s="2424" t="s">
        <v>2342</v>
      </c>
      <c r="C41" s="3969" t="e">
        <f>ROUND(C40*10000/B4,0)</f>
        <v>#DIV/0!</v>
      </c>
      <c r="D41" s="3970"/>
      <c r="E41" s="3970"/>
      <c r="F41" s="2425"/>
      <c r="G41" s="2426"/>
      <c r="H41" s="2314"/>
      <c r="I41" s="2315"/>
      <c r="J41" s="2389">
        <v>2</v>
      </c>
      <c r="K41" s="2390" t="s">
        <v>2320</v>
      </c>
      <c r="L41" s="2391"/>
      <c r="M41" s="2391"/>
      <c r="N41" s="2391"/>
      <c r="O41" s="2391"/>
      <c r="P41" s="2392"/>
      <c r="Q41" s="3973"/>
      <c r="R41" s="4239">
        <f>ROUND(R40*Q41,0)</f>
        <v>0</v>
      </c>
      <c r="S41" s="2371"/>
      <c r="T41" s="2308"/>
      <c r="U41" s="2401"/>
      <c r="V41" s="2315"/>
    </row>
    <row r="42" spans="1:23" s="2319" customFormat="1" ht="13.15" customHeight="1">
      <c r="G42" s="2426"/>
      <c r="H42" s="2314"/>
      <c r="I42" s="2315"/>
      <c r="J42" s="4727">
        <v>3</v>
      </c>
      <c r="K42" s="2396" t="s">
        <v>2322</v>
      </c>
      <c r="L42" s="2397"/>
      <c r="M42" s="2398"/>
      <c r="N42" s="2399" t="s">
        <v>2323</v>
      </c>
      <c r="O42" s="2399" t="s">
        <v>2324</v>
      </c>
      <c r="P42" s="2400" t="s">
        <v>2325</v>
      </c>
      <c r="Q42" s="2400" t="s">
        <v>2326</v>
      </c>
      <c r="R42" s="2323" t="s">
        <v>2255</v>
      </c>
      <c r="S42" s="2401"/>
      <c r="T42" s="2401"/>
      <c r="U42" s="2308"/>
      <c r="V42" s="2315"/>
    </row>
    <row r="43" spans="1:23" ht="13.15" customHeight="1">
      <c r="A43" s="2319"/>
      <c r="B43" s="2319"/>
      <c r="C43" s="2319"/>
      <c r="D43" s="2319"/>
      <c r="E43" s="2319"/>
      <c r="F43" s="2319"/>
      <c r="G43" s="2426"/>
      <c r="H43" s="2314"/>
      <c r="I43" s="2303"/>
      <c r="J43" s="4728"/>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2329</v>
      </c>
      <c r="L44" s="2430" t="s">
        <v>2330</v>
      </c>
      <c r="M44" s="3978"/>
      <c r="N44" s="2430" t="s">
        <v>2331</v>
      </c>
      <c r="O44" s="2410"/>
      <c r="P44" s="2430" t="s">
        <v>2332</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3773</v>
      </c>
      <c r="D46" s="4116" t="s">
        <v>3846</v>
      </c>
      <c r="E46" s="4474"/>
      <c r="F46" s="4127" t="s">
        <v>3835</v>
      </c>
      <c r="G46" s="4128"/>
      <c r="H46" s="4103"/>
      <c r="I46" s="4104"/>
    </row>
    <row r="47" spans="1:23" ht="13.15" customHeight="1">
      <c r="A47" s="4103"/>
      <c r="B47" s="4103"/>
      <c r="C47" s="4117" t="s">
        <v>3774</v>
      </c>
      <c r="D47" s="4118" t="s">
        <v>3775</v>
      </c>
      <c r="E47" s="4129" t="s">
        <v>3776</v>
      </c>
      <c r="F47" s="4129" t="s">
        <v>3777</v>
      </c>
      <c r="G47" s="4130" t="s">
        <v>3778</v>
      </c>
      <c r="H47" s="4105"/>
      <c r="I47" s="4104"/>
    </row>
    <row r="48" spans="1:23" ht="13.15" customHeight="1">
      <c r="A48" s="4105"/>
      <c r="B48" s="4105"/>
      <c r="C48" s="4119">
        <v>1</v>
      </c>
      <c r="D48" s="4118" t="s">
        <v>3779</v>
      </c>
      <c r="E48" s="4140">
        <f>E49-E54</f>
        <v>0</v>
      </c>
      <c r="F48" s="4118"/>
      <c r="G48" s="4130"/>
      <c r="H48" s="4105"/>
      <c r="I48" s="4104"/>
    </row>
    <row r="49" spans="1:9" ht="13.15" customHeight="1">
      <c r="A49" s="4105"/>
      <c r="B49" s="4105"/>
      <c r="C49" s="4119">
        <v>2</v>
      </c>
      <c r="D49" s="4118" t="s">
        <v>3780</v>
      </c>
      <c r="E49" s="4140">
        <f>SUM(E50:E53)</f>
        <v>0</v>
      </c>
      <c r="F49" s="4118"/>
      <c r="G49" s="4130"/>
      <c r="H49" s="4105"/>
      <c r="I49" s="4104"/>
    </row>
    <row r="50" spans="1:9" ht="13.15" customHeight="1">
      <c r="A50" s="4105"/>
      <c r="B50" s="4105"/>
      <c r="C50" s="4120" t="s">
        <v>3796</v>
      </c>
      <c r="D50" s="4121" t="s">
        <v>3781</v>
      </c>
      <c r="E50" s="4141">
        <f>R14*G50/(1+G50)</f>
        <v>0</v>
      </c>
      <c r="F50" s="4131" t="s">
        <v>3797</v>
      </c>
      <c r="G50" s="4132">
        <v>0.06</v>
      </c>
      <c r="H50" s="4105"/>
      <c r="I50" s="4104"/>
    </row>
    <row r="51" spans="1:9" ht="13.15" customHeight="1">
      <c r="A51" s="4105"/>
      <c r="B51" s="4105"/>
      <c r="C51" s="4120" t="s">
        <v>3798</v>
      </c>
      <c r="D51" s="4121" t="s">
        <v>3782</v>
      </c>
      <c r="E51" s="4141">
        <f>R19*G51/(1+G51)</f>
        <v>0</v>
      </c>
      <c r="F51" s="4131" t="s">
        <v>3799</v>
      </c>
      <c r="G51" s="4132">
        <v>0.06</v>
      </c>
      <c r="H51" s="4105"/>
      <c r="I51" s="4104"/>
    </row>
    <row r="52" spans="1:9" ht="13.15" customHeight="1">
      <c r="A52" s="4105"/>
      <c r="B52" s="4105"/>
      <c r="C52" s="4120" t="s">
        <v>3800</v>
      </c>
      <c r="D52" s="4121" t="s">
        <v>3783</v>
      </c>
      <c r="E52" s="4141">
        <f>R24*G52/(1+R24)</f>
        <v>0</v>
      </c>
      <c r="F52" s="4131" t="s">
        <v>3784</v>
      </c>
      <c r="G52" s="4132">
        <v>0.09</v>
      </c>
      <c r="H52" s="4105"/>
      <c r="I52" s="4104"/>
    </row>
    <row r="53" spans="1:9" ht="13.15" customHeight="1">
      <c r="A53" s="4105"/>
      <c r="B53" s="4105"/>
      <c r="C53" s="4120" t="s">
        <v>3801</v>
      </c>
      <c r="D53" s="4121" t="s">
        <v>3785</v>
      </c>
      <c r="E53" s="4141">
        <f>R27*G53/(1+G53)</f>
        <v>0</v>
      </c>
      <c r="F53" s="4131" t="s">
        <v>3784</v>
      </c>
      <c r="G53" s="4132">
        <v>0.09</v>
      </c>
      <c r="H53" s="4105"/>
      <c r="I53" s="4104"/>
    </row>
    <row r="54" spans="1:9" ht="13.15" customHeight="1">
      <c r="A54" s="4105" t="s">
        <v>3830</v>
      </c>
      <c r="B54" s="4104"/>
      <c r="C54" s="4119">
        <v>3</v>
      </c>
      <c r="D54" s="4118" t="s">
        <v>3786</v>
      </c>
      <c r="E54" s="4140">
        <f>E55+E56+E60</f>
        <v>0</v>
      </c>
      <c r="F54" s="4118"/>
      <c r="G54" s="4130"/>
      <c r="H54" s="4105"/>
      <c r="I54" s="4104"/>
    </row>
    <row r="55" spans="1:9" ht="13.15" customHeight="1">
      <c r="A55" s="4106">
        <v>0.05</v>
      </c>
      <c r="B55" s="4107" t="s">
        <v>3834</v>
      </c>
      <c r="C55" s="4120" t="s">
        <v>3796</v>
      </c>
      <c r="D55" s="4121" t="s">
        <v>3787</v>
      </c>
      <c r="E55" s="4141">
        <f>D9*G55/(1+G55)</f>
        <v>0</v>
      </c>
      <c r="F55" s="4133" t="s">
        <v>3836</v>
      </c>
      <c r="G55" s="4132">
        <v>0.13</v>
      </c>
      <c r="H55" s="4105"/>
      <c r="I55" s="4104"/>
    </row>
    <row r="56" spans="1:9" ht="13.15" customHeight="1">
      <c r="A56" s="4106">
        <f>SUM(A57:A59)</f>
        <v>0.39</v>
      </c>
      <c r="B56" s="4107"/>
      <c r="C56" s="4120" t="s">
        <v>3798</v>
      </c>
      <c r="D56" s="4121" t="s">
        <v>3788</v>
      </c>
      <c r="E56" s="4141">
        <f>SUM(E57:E59)</f>
        <v>0</v>
      </c>
      <c r="F56" s="4131"/>
      <c r="G56" s="4134"/>
      <c r="H56" s="4105" t="s">
        <v>3843</v>
      </c>
      <c r="I56" s="4105" t="s">
        <v>3844</v>
      </c>
    </row>
    <row r="57" spans="1:9" ht="13.15" customHeight="1">
      <c r="A57" s="4106">
        <v>0.25</v>
      </c>
      <c r="B57" s="4107" t="s">
        <v>3831</v>
      </c>
      <c r="C57" s="4122" t="s">
        <v>3789</v>
      </c>
      <c r="D57" s="4123" t="s">
        <v>3790</v>
      </c>
      <c r="E57" s="4142">
        <v>0</v>
      </c>
      <c r="F57" s="4135"/>
      <c r="G57" s="4136" t="s">
        <v>3791</v>
      </c>
      <c r="H57" s="4099">
        <v>0.65</v>
      </c>
      <c r="I57" s="4108">
        <f>A57/SUM(A57:A59)</f>
        <v>0.64102564102564097</v>
      </c>
    </row>
    <row r="58" spans="1:9" ht="13.15" customHeight="1">
      <c r="A58" s="4106">
        <v>0.06</v>
      </c>
      <c r="B58" s="4107" t="s">
        <v>3832</v>
      </c>
      <c r="C58" s="4122" t="s">
        <v>3792</v>
      </c>
      <c r="D58" s="4124" t="s">
        <v>3838</v>
      </c>
      <c r="E58" s="4142">
        <f>D10*H58*G58/(1+G58)</f>
        <v>0</v>
      </c>
      <c r="F58" s="4135" t="s">
        <v>3802</v>
      </c>
      <c r="G58" s="4137">
        <v>0.09</v>
      </c>
      <c r="H58" s="4099">
        <v>0.15</v>
      </c>
      <c r="I58" s="4108">
        <f>A58/SUM(A57:A59)</f>
        <v>0.15384615384615383</v>
      </c>
    </row>
    <row r="59" spans="1:9" ht="13.15" customHeight="1">
      <c r="A59" s="4106">
        <v>0.08</v>
      </c>
      <c r="B59" s="4107" t="s">
        <v>3833</v>
      </c>
      <c r="C59" s="4122" t="s">
        <v>3793</v>
      </c>
      <c r="D59" s="4123" t="s">
        <v>3803</v>
      </c>
      <c r="E59" s="4142">
        <f>D10*H59*G59/(1+G59)</f>
        <v>0</v>
      </c>
      <c r="F59" s="4135" t="s">
        <v>3804</v>
      </c>
      <c r="G59" s="4137">
        <v>0.06</v>
      </c>
      <c r="H59" s="4099">
        <v>0.2</v>
      </c>
      <c r="I59" s="4108">
        <f>1-I57-I58</f>
        <v>0.2051282051282052</v>
      </c>
    </row>
    <row r="60" spans="1:9" ht="13.15" customHeight="1">
      <c r="A60" s="4106">
        <f>SUM(A61:A62)</f>
        <v>0.1</v>
      </c>
      <c r="B60" s="4107"/>
      <c r="C60" s="4120" t="s">
        <v>3800</v>
      </c>
      <c r="D60" s="4121" t="s">
        <v>3805</v>
      </c>
      <c r="E60" s="4141">
        <f>SUM(E61:E62)</f>
        <v>0</v>
      </c>
      <c r="F60" s="4131"/>
      <c r="G60" s="4134"/>
      <c r="I60" s="4104"/>
    </row>
    <row r="61" spans="1:9" ht="13.15" customHeight="1">
      <c r="A61" s="4106">
        <v>0.05</v>
      </c>
      <c r="B61" s="4107" t="s">
        <v>3834</v>
      </c>
      <c r="C61" s="4122" t="s">
        <v>3806</v>
      </c>
      <c r="D61" s="4123" t="s">
        <v>3807</v>
      </c>
      <c r="E61" s="4142">
        <f>D17*H61*G61/(1+G61)</f>
        <v>0</v>
      </c>
      <c r="F61" s="4135" t="s">
        <v>3804</v>
      </c>
      <c r="G61" s="4137">
        <v>0.06</v>
      </c>
      <c r="H61" s="4099">
        <v>0.5</v>
      </c>
      <c r="I61" s="4104"/>
    </row>
    <row r="62" spans="1:9" ht="13.15" customHeight="1" thickBot="1">
      <c r="A62" s="4106">
        <v>0.05</v>
      </c>
      <c r="B62" s="4107" t="s">
        <v>3835</v>
      </c>
      <c r="C62" s="4125" t="s">
        <v>3792</v>
      </c>
      <c r="D62" s="4126" t="s">
        <v>3808</v>
      </c>
      <c r="E62" s="4143">
        <f>D17*H62*G62/(1+G62)</f>
        <v>0</v>
      </c>
      <c r="F62" s="4138" t="s">
        <v>3809</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3810</v>
      </c>
      <c r="D65" s="4116" t="s">
        <v>3846</v>
      </c>
      <c r="E65" s="4149"/>
      <c r="F65" s="4127" t="s">
        <v>3847</v>
      </c>
      <c r="G65" s="4144"/>
      <c r="H65" s="4105"/>
      <c r="I65" s="4104"/>
    </row>
    <row r="66" spans="1:9" ht="12.75">
      <c r="A66" s="4105"/>
      <c r="B66" s="4105"/>
      <c r="C66" s="4117" t="s">
        <v>3811</v>
      </c>
      <c r="D66" s="4118" t="s">
        <v>3812</v>
      </c>
      <c r="E66" s="4129" t="s">
        <v>3813</v>
      </c>
      <c r="F66" s="4129" t="s">
        <v>3814</v>
      </c>
      <c r="G66" s="4130" t="s">
        <v>3815</v>
      </c>
      <c r="H66" s="4105"/>
      <c r="I66" s="4104"/>
    </row>
    <row r="67" spans="1:9" ht="12">
      <c r="A67" s="4105"/>
      <c r="B67" s="4105"/>
      <c r="C67" s="4119">
        <v>1</v>
      </c>
      <c r="D67" s="4118" t="s">
        <v>3816</v>
      </c>
      <c r="E67" s="4145">
        <f>E68-E73</f>
        <v>0</v>
      </c>
      <c r="F67" s="4118"/>
      <c r="G67" s="4130"/>
      <c r="H67" s="4105"/>
      <c r="I67" s="4104"/>
    </row>
    <row r="68" spans="1:9" ht="13.15" customHeight="1">
      <c r="A68" s="4105"/>
      <c r="B68" s="4105"/>
      <c r="C68" s="4146">
        <v>2</v>
      </c>
      <c r="D68" s="4118" t="s">
        <v>3817</v>
      </c>
      <c r="E68" s="4145">
        <f>SUM(E69:E70)</f>
        <v>0</v>
      </c>
      <c r="F68" s="4118"/>
      <c r="G68" s="4130"/>
      <c r="H68" s="4105"/>
      <c r="I68" s="4104"/>
    </row>
    <row r="69" spans="1:9" ht="13.15" customHeight="1">
      <c r="A69" s="4105"/>
      <c r="B69" s="4105"/>
      <c r="C69" s="4120" t="s">
        <v>3818</v>
      </c>
      <c r="D69" s="4121" t="s">
        <v>3819</v>
      </c>
      <c r="E69" s="4121"/>
      <c r="F69" s="4131" t="s">
        <v>3820</v>
      </c>
      <c r="G69" s="4132">
        <v>0.09</v>
      </c>
      <c r="H69" s="4105"/>
      <c r="I69" s="4104"/>
    </row>
    <row r="70" spans="1:9" ht="13.15" customHeight="1">
      <c r="A70" s="4105"/>
      <c r="B70" s="4105"/>
      <c r="C70" s="4120" t="s">
        <v>3798</v>
      </c>
      <c r="D70" s="4121" t="s">
        <v>3821</v>
      </c>
      <c r="E70" s="4121"/>
      <c r="F70" s="4131" t="s">
        <v>3822</v>
      </c>
      <c r="G70" s="4132">
        <v>0.06</v>
      </c>
      <c r="H70" s="4105"/>
      <c r="I70" s="4104"/>
    </row>
    <row r="71" spans="1:9" ht="13.15" customHeight="1">
      <c r="A71" s="4105" t="s">
        <v>3837</v>
      </c>
      <c r="B71" s="4105"/>
      <c r="C71" s="4146">
        <v>3</v>
      </c>
      <c r="D71" s="4118" t="s">
        <v>3823</v>
      </c>
      <c r="E71" s="4145">
        <f>E72+E77</f>
        <v>0</v>
      </c>
      <c r="F71" s="4118"/>
      <c r="G71" s="4130"/>
      <c r="H71" s="4105"/>
      <c r="I71" s="4104"/>
    </row>
    <row r="72" spans="1:9" ht="13.15" customHeight="1">
      <c r="A72" s="4106">
        <v>0.05</v>
      </c>
      <c r="B72" s="4113"/>
      <c r="C72" s="4120" t="s">
        <v>3818</v>
      </c>
      <c r="D72" s="4121" t="s">
        <v>3824</v>
      </c>
      <c r="E72" s="4121">
        <f>D9*G72/(1+G72)</f>
        <v>0</v>
      </c>
      <c r="F72" s="4133" t="s">
        <v>3836</v>
      </c>
      <c r="G72" s="4132">
        <v>0.13</v>
      </c>
      <c r="H72" s="4105"/>
      <c r="I72" s="4104"/>
    </row>
    <row r="73" spans="1:9" ht="13.15" customHeight="1">
      <c r="A73" s="4106">
        <f>SUM(A74:A76)</f>
        <v>0.2</v>
      </c>
      <c r="B73" s="4113"/>
      <c r="C73" s="4120" t="s">
        <v>3798</v>
      </c>
      <c r="D73" s="4121" t="s">
        <v>3825</v>
      </c>
      <c r="E73" s="4121">
        <f>SUM(E74:E76)</f>
        <v>0</v>
      </c>
      <c r="F73" s="4131"/>
      <c r="G73" s="4134"/>
      <c r="H73" s="4105" t="s">
        <v>3843</v>
      </c>
      <c r="I73" s="4105" t="s">
        <v>3844</v>
      </c>
    </row>
    <row r="74" spans="1:9" ht="13.15" customHeight="1">
      <c r="A74" s="4106">
        <v>0.05</v>
      </c>
      <c r="B74" s="4113" t="s">
        <v>3841</v>
      </c>
      <c r="C74" s="4147" t="s">
        <v>3826</v>
      </c>
      <c r="D74" s="4123" t="s">
        <v>3827</v>
      </c>
      <c r="E74" s="4123">
        <v>0</v>
      </c>
      <c r="F74" s="4135"/>
      <c r="G74" s="4136" t="s">
        <v>3828</v>
      </c>
      <c r="H74" s="4099">
        <v>0.25</v>
      </c>
      <c r="I74" s="4108">
        <f>A74/SUM(A74:A76)</f>
        <v>0.25</v>
      </c>
    </row>
    <row r="75" spans="1:9" ht="13.15" customHeight="1">
      <c r="A75" s="4106">
        <v>0.1</v>
      </c>
      <c r="B75" s="4113" t="s">
        <v>3839</v>
      </c>
      <c r="C75" s="4147" t="s">
        <v>3794</v>
      </c>
      <c r="D75" s="4124" t="s">
        <v>3838</v>
      </c>
      <c r="E75" s="4123">
        <f>D10*H75*G75/(1+G75)</f>
        <v>0</v>
      </c>
      <c r="F75" s="4135" t="s">
        <v>3829</v>
      </c>
      <c r="G75" s="4137">
        <v>0.09</v>
      </c>
      <c r="H75" s="4099">
        <v>0.5</v>
      </c>
      <c r="I75" s="4108">
        <f>A75/SUM(A74:A76)</f>
        <v>0.5</v>
      </c>
    </row>
    <row r="76" spans="1:9" ht="13.15" customHeight="1">
      <c r="A76" s="4106">
        <v>0.05</v>
      </c>
      <c r="B76" s="4113" t="s">
        <v>3842</v>
      </c>
      <c r="C76" s="4147" t="s">
        <v>3795</v>
      </c>
      <c r="D76" s="4123" t="s">
        <v>3803</v>
      </c>
      <c r="E76" s="4123">
        <f>D10*H76*G76/(1+G76)</f>
        <v>0</v>
      </c>
      <c r="F76" s="4135" t="s">
        <v>3804</v>
      </c>
      <c r="G76" s="4137">
        <v>0.06</v>
      </c>
      <c r="H76" s="4099">
        <v>0.25</v>
      </c>
      <c r="I76" s="4108">
        <f>1-I74-I75</f>
        <v>0.25</v>
      </c>
    </row>
    <row r="77" spans="1:9" ht="13.15" customHeight="1">
      <c r="A77" s="4106">
        <f>SUM(A78:A79)</f>
        <v>0.1</v>
      </c>
      <c r="B77" s="4113"/>
      <c r="C77" s="4120" t="s">
        <v>3800</v>
      </c>
      <c r="D77" s="4121" t="s">
        <v>3805</v>
      </c>
      <c r="E77" s="4121">
        <f>SUM(E78:E79)</f>
        <v>0</v>
      </c>
      <c r="F77" s="4131"/>
      <c r="G77" s="4134"/>
      <c r="I77" s="4104"/>
    </row>
    <row r="78" spans="1:9" ht="13.15" customHeight="1">
      <c r="A78" s="4106">
        <v>0.05</v>
      </c>
      <c r="B78" s="4113" t="s">
        <v>3832</v>
      </c>
      <c r="C78" s="4147" t="s">
        <v>3826</v>
      </c>
      <c r="D78" s="4123" t="s">
        <v>3807</v>
      </c>
      <c r="E78" s="4123">
        <f>D17*H78*G78/(1+G78)</f>
        <v>0</v>
      </c>
      <c r="F78" s="4135" t="s">
        <v>3804</v>
      </c>
      <c r="G78" s="4137">
        <v>0.06</v>
      </c>
      <c r="H78" s="4099">
        <v>0.5</v>
      </c>
      <c r="I78" s="4104"/>
    </row>
    <row r="79" spans="1:9" ht="13.15" customHeight="1" thickBot="1">
      <c r="A79" s="4106">
        <v>0.05</v>
      </c>
      <c r="B79" s="4113" t="s">
        <v>3840</v>
      </c>
      <c r="C79" s="4148" t="s">
        <v>3794</v>
      </c>
      <c r="D79" s="4126" t="s">
        <v>3808</v>
      </c>
      <c r="E79" s="4126">
        <f>D17*H79*G79/(1+G79)</f>
        <v>0</v>
      </c>
      <c r="F79" s="4138" t="s">
        <v>3809</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5363</v>
      </c>
      <c r="C2" s="1485" t="s">
        <v>1569</v>
      </c>
      <c r="D2" s="1486" t="s">
        <v>1570</v>
      </c>
      <c r="E2" s="3261">
        <f>SUM(E6:E13)</f>
        <v>11046.05</v>
      </c>
      <c r="F2" s="2189"/>
      <c r="G2" s="1134"/>
      <c r="H2" s="1134"/>
      <c r="I2" s="1134"/>
      <c r="J2" s="1134"/>
      <c r="K2" s="1134"/>
      <c r="L2" s="1134"/>
      <c r="M2" s="1134"/>
      <c r="N2" s="1134"/>
      <c r="O2" s="1134"/>
      <c r="P2" s="1134"/>
      <c r="Q2" s="1134"/>
      <c r="R2" s="1134"/>
      <c r="S2" s="1134"/>
    </row>
    <row r="3" spans="1:22" ht="15.75">
      <c r="A3" s="1484" t="s">
        <v>673</v>
      </c>
      <c r="B3" s="3260">
        <f ca="1">ROUND(B2*10000/E2,0)</f>
        <v>4855</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29" t="s">
        <v>1572</v>
      </c>
      <c r="C5" s="4730"/>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v>
      </c>
      <c r="B6" s="4241">
        <f ca="1">IF(F6="是",'数据-取费表'!AO6,0)</f>
        <v>5363</v>
      </c>
      <c r="C6" s="1485" t="s">
        <v>1569</v>
      </c>
      <c r="D6" s="2191"/>
      <c r="E6" s="3262">
        <f>IF(OR(A6=0,F6="否"),0,'数据-取费表'!K6+'数据-取费表'!S6)</f>
        <v>11046.05</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2001</v>
      </c>
      <c r="C1" s="4734" t="s">
        <v>2002</v>
      </c>
      <c r="D1" s="4735"/>
      <c r="E1" s="4735"/>
      <c r="F1" s="4735"/>
      <c r="G1" s="4735"/>
      <c r="H1" s="4735"/>
      <c r="I1" s="4735"/>
      <c r="J1" s="4735"/>
      <c r="K1" s="4735"/>
      <c r="L1" s="4735"/>
      <c r="M1" s="4735"/>
      <c r="N1" s="4735"/>
      <c r="O1" s="4735"/>
      <c r="P1" s="4735"/>
      <c r="Q1" s="4735"/>
      <c r="R1" s="4735"/>
      <c r="S1" s="4736"/>
      <c r="T1" s="723" t="s">
        <v>2003</v>
      </c>
    </row>
    <row r="2" spans="1:45" s="485" customFormat="1">
      <c r="A2" s="724"/>
      <c r="B2" s="481" t="s">
        <v>2004</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2005</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2006</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2007</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2008</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2009</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2010</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2011</v>
      </c>
      <c r="B17" s="1734" t="s">
        <v>2012</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2013</v>
      </c>
      <c r="E19" s="988"/>
      <c r="F19" s="988"/>
      <c r="G19" s="988"/>
      <c r="H19" s="769"/>
      <c r="I19" s="64"/>
      <c r="J19" s="64"/>
      <c r="K19" s="64"/>
      <c r="L19" s="64"/>
      <c r="M19" s="64"/>
      <c r="N19" s="64"/>
      <c r="O19" s="64"/>
      <c r="P19" s="64"/>
      <c r="Q19" s="64"/>
      <c r="R19" s="525"/>
      <c r="S19" s="51"/>
    </row>
    <row r="20" spans="1:45" ht="16.5" thickBot="1">
      <c r="A20" s="489" t="s">
        <v>2014</v>
      </c>
      <c r="B20" s="3629" t="e">
        <f ca="1">IF(D20="——",S22,S22-F20)</f>
        <v>#REF!</v>
      </c>
      <c r="C20" s="64"/>
      <c r="D20" s="1736"/>
      <c r="E20" s="989"/>
      <c r="F20" s="3628" t="e">
        <f ca="1">SUMIF(INDIRECT("'"&amp;H20&amp;"'"&amp;"!A:A"),"承租人权益价值",INDIRECT("'"&amp;H20&amp;"'"&amp;"!c:c"))</f>
        <v>#REF!</v>
      </c>
      <c r="G20" s="723" t="s">
        <v>2015</v>
      </c>
      <c r="H20" s="1737"/>
      <c r="I20" s="64"/>
      <c r="J20" s="64"/>
      <c r="K20" s="64"/>
      <c r="L20" s="64"/>
      <c r="M20" s="64"/>
      <c r="N20" s="64"/>
      <c r="O20" s="64"/>
      <c r="P20" s="64"/>
      <c r="Q20" s="64"/>
      <c r="R20" s="525"/>
      <c r="S20" s="51"/>
    </row>
    <row r="21" spans="1:45" ht="15.75">
      <c r="A21" s="489" t="s">
        <v>2016</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2017</v>
      </c>
      <c r="B22" s="12">
        <f>SUM(B24:B10000)</f>
        <v>0</v>
      </c>
      <c r="C22" s="4731" t="s">
        <v>25</v>
      </c>
      <c r="D22" s="4732"/>
      <c r="E22" s="4732"/>
      <c r="F22" s="4732"/>
      <c r="G22" s="4732"/>
      <c r="H22" s="4732"/>
      <c r="I22" s="4732"/>
      <c r="J22" s="4732"/>
      <c r="K22" s="4732"/>
      <c r="L22" s="4732"/>
      <c r="M22" s="4732"/>
      <c r="N22" s="4732"/>
      <c r="O22" s="4732"/>
      <c r="P22" s="4732"/>
      <c r="Q22" s="4733"/>
      <c r="R22" s="4176" t="e">
        <f>ROUND(S22*10000/B22,0)</f>
        <v>#DIV/0!</v>
      </c>
      <c r="S22" s="4176">
        <f>SUM(S24:S10000)</f>
        <v>0</v>
      </c>
    </row>
    <row r="23" spans="1:45" s="7" customFormat="1" ht="24">
      <c r="A23" s="6" t="s">
        <v>2018</v>
      </c>
      <c r="B23" s="3623" t="s">
        <v>2019</v>
      </c>
      <c r="C23" s="6" t="s">
        <v>2020</v>
      </c>
      <c r="D23" s="3459" t="str">
        <f>B5</f>
        <v>修正项2</v>
      </c>
      <c r="E23" s="6" t="s">
        <v>2020</v>
      </c>
      <c r="F23" s="3459" t="str">
        <f>B7</f>
        <v>修正项3</v>
      </c>
      <c r="G23" s="6" t="s">
        <v>2020</v>
      </c>
      <c r="H23" s="3459" t="str">
        <f>B9</f>
        <v>修正项4</v>
      </c>
      <c r="I23" s="6" t="s">
        <v>2020</v>
      </c>
      <c r="J23" s="3459" t="str">
        <f>B11</f>
        <v>修正项5</v>
      </c>
      <c r="K23" s="6" t="s">
        <v>2020</v>
      </c>
      <c r="L23" s="3459" t="str">
        <f>B13</f>
        <v>修正项6</v>
      </c>
      <c r="M23" s="6" t="s">
        <v>2020</v>
      </c>
      <c r="N23" s="3459" t="str">
        <f>B15</f>
        <v>修正项7</v>
      </c>
      <c r="O23" s="6" t="s">
        <v>2020</v>
      </c>
      <c r="P23" s="3459" t="str">
        <f>B17</f>
        <v>楼层</v>
      </c>
      <c r="Q23" s="6" t="s">
        <v>2020</v>
      </c>
      <c r="R23" s="490" t="s">
        <v>2021</v>
      </c>
      <c r="S23" s="6" t="s">
        <v>2022</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2023</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11046.05</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56" t="s">
        <v>1585</v>
      </c>
      <c r="D4" s="4757"/>
      <c r="E4" s="4758" t="s">
        <v>1586</v>
      </c>
      <c r="F4" s="4759"/>
      <c r="G4" s="4756" t="s">
        <v>1587</v>
      </c>
      <c r="H4" s="4757"/>
      <c r="I4" s="4756" t="s">
        <v>1588</v>
      </c>
      <c r="J4" s="4757"/>
      <c r="K4" s="3191" t="s">
        <v>1589</v>
      </c>
      <c r="L4" s="2197"/>
      <c r="M4" s="2198"/>
      <c r="N4" s="2198"/>
      <c r="O4" s="2198"/>
      <c r="P4" s="4760" t="s">
        <v>1590</v>
      </c>
      <c r="Q4" s="4761"/>
      <c r="R4" s="4742" t="s">
        <v>1586</v>
      </c>
      <c r="S4" s="4743"/>
      <c r="T4" s="4742" t="s">
        <v>1587</v>
      </c>
      <c r="U4" s="4743"/>
      <c r="V4" s="4768" t="s">
        <v>1588</v>
      </c>
      <c r="W4" s="4768"/>
      <c r="X4" s="1002"/>
      <c r="Y4" s="4771" t="s">
        <v>1590</v>
      </c>
      <c r="Z4" s="4772"/>
      <c r="AA4" s="4737" t="s">
        <v>1586</v>
      </c>
      <c r="AB4" s="4737" t="s">
        <v>1587</v>
      </c>
      <c r="AC4" s="4737" t="s">
        <v>1588</v>
      </c>
    </row>
    <row r="5" spans="1:29" ht="15">
      <c r="A5" s="245"/>
      <c r="B5" s="246"/>
      <c r="C5" s="4748" t="s">
        <v>1591</v>
      </c>
      <c r="D5" s="4749"/>
      <c r="E5" s="4746" t="s">
        <v>1592</v>
      </c>
      <c r="F5" s="4747"/>
      <c r="G5" s="4748" t="s">
        <v>1593</v>
      </c>
      <c r="H5" s="4749"/>
      <c r="I5" s="4748" t="s">
        <v>1594</v>
      </c>
      <c r="J5" s="4749"/>
      <c r="K5" s="3192"/>
      <c r="L5" s="2197"/>
      <c r="M5" s="2198"/>
      <c r="N5" s="2198"/>
      <c r="O5" s="2198"/>
      <c r="P5" s="4762"/>
      <c r="Q5" s="4763"/>
      <c r="R5" s="4744"/>
      <c r="S5" s="4745"/>
      <c r="T5" s="4744"/>
      <c r="U5" s="4745"/>
      <c r="V5" s="4768"/>
      <c r="W5" s="4768"/>
      <c r="X5" s="1002"/>
      <c r="Y5" s="4773"/>
      <c r="Z5" s="4774"/>
      <c r="AA5" s="4738"/>
      <c r="AB5" s="4738"/>
      <c r="AC5" s="4738"/>
    </row>
    <row r="6" spans="1:29" ht="15.75" thickBot="1">
      <c r="A6" s="247"/>
      <c r="B6" s="248"/>
      <c r="C6" s="4750" t="s">
        <v>1595</v>
      </c>
      <c r="D6" s="4751"/>
      <c r="E6" s="4752" t="s">
        <v>1595</v>
      </c>
      <c r="F6" s="4753"/>
      <c r="G6" s="4750" t="s">
        <v>1595</v>
      </c>
      <c r="H6" s="4751"/>
      <c r="I6" s="4750" t="s">
        <v>1595</v>
      </c>
      <c r="J6" s="4751"/>
      <c r="K6" s="3192" t="s">
        <v>1596</v>
      </c>
      <c r="L6" s="2197"/>
      <c r="M6" s="2198"/>
      <c r="N6" s="2198"/>
      <c r="O6" s="2198"/>
      <c r="P6" s="4764"/>
      <c r="Q6" s="4765"/>
      <c r="R6" s="4744"/>
      <c r="S6" s="4745"/>
      <c r="T6" s="4766"/>
      <c r="U6" s="4767"/>
      <c r="V6" s="4768"/>
      <c r="W6" s="4768"/>
      <c r="X6" s="1002"/>
      <c r="Y6" s="4775"/>
      <c r="Z6" s="4776"/>
      <c r="AA6" s="4739"/>
      <c r="AB6" s="4739"/>
      <c r="AC6" s="4739"/>
    </row>
    <row r="7" spans="1:29" s="49" customFormat="1" ht="15.75" thickBot="1">
      <c r="A7" s="249" t="s">
        <v>1597</v>
      </c>
      <c r="B7" s="250"/>
      <c r="C7" s="3193">
        <f>'数据-取费表'!B2</f>
        <v>46041</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69" t="s">
        <v>1598</v>
      </c>
      <c r="Q7" s="4777"/>
      <c r="R7" s="4173" t="s">
        <v>18</v>
      </c>
      <c r="S7" s="3601">
        <f t="shared" ref="S7:S15" si="0">F7</f>
        <v>0</v>
      </c>
      <c r="T7" s="4173" t="s">
        <v>18</v>
      </c>
      <c r="U7" s="3601">
        <f t="shared" ref="U7:U15" si="1">H7</f>
        <v>0</v>
      </c>
      <c r="V7" s="4173" t="s">
        <v>18</v>
      </c>
      <c r="W7" s="3601">
        <f t="shared" ref="W7:W15" si="2">J7</f>
        <v>0</v>
      </c>
      <c r="X7" s="515"/>
      <c r="Y7" s="4740" t="s">
        <v>1598</v>
      </c>
      <c r="Z7" s="4741"/>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69" t="s">
        <v>1601</v>
      </c>
      <c r="Q8" s="4770"/>
      <c r="R8" s="4173" t="s">
        <v>18</v>
      </c>
      <c r="S8" s="3601">
        <f t="shared" si="0"/>
        <v>100</v>
      </c>
      <c r="T8" s="4173" t="s">
        <v>18</v>
      </c>
      <c r="U8" s="3601">
        <f t="shared" si="1"/>
        <v>100</v>
      </c>
      <c r="V8" s="4173" t="s">
        <v>18</v>
      </c>
      <c r="W8" s="3601">
        <f t="shared" si="2"/>
        <v>100</v>
      </c>
      <c r="X8" s="515"/>
      <c r="Y8" s="4740" t="s">
        <v>1601</v>
      </c>
      <c r="Z8" s="4741"/>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54" t="s">
        <v>1604</v>
      </c>
      <c r="Q9" s="3167" t="str">
        <f t="shared" ref="Q9:Q15" si="6">B9</f>
        <v>用途</v>
      </c>
      <c r="R9" s="4173" t="s">
        <v>13</v>
      </c>
      <c r="S9" s="3601">
        <f t="shared" si="0"/>
        <v>100</v>
      </c>
      <c r="T9" s="4173" t="s">
        <v>13</v>
      </c>
      <c r="U9" s="3601">
        <f t="shared" si="1"/>
        <v>100</v>
      </c>
      <c r="V9" s="4173" t="s">
        <v>13</v>
      </c>
      <c r="W9" s="3601">
        <f t="shared" si="2"/>
        <v>100</v>
      </c>
      <c r="X9" s="515"/>
      <c r="Y9" s="4755"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54"/>
      <c r="Q10" s="3167" t="str">
        <f t="shared" si="6"/>
        <v>土地使用年限（年）</v>
      </c>
      <c r="R10" s="4173" t="s">
        <v>13</v>
      </c>
      <c r="S10" s="3601">
        <f t="shared" si="0"/>
        <v>100</v>
      </c>
      <c r="T10" s="4173" t="s">
        <v>13</v>
      </c>
      <c r="U10" s="3601">
        <f t="shared" si="1"/>
        <v>100</v>
      </c>
      <c r="V10" s="4173" t="s">
        <v>13</v>
      </c>
      <c r="W10" s="3601">
        <f t="shared" si="2"/>
        <v>100</v>
      </c>
      <c r="X10" s="515"/>
      <c r="Y10" s="4755"/>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54"/>
      <c r="Q11" s="3167" t="str">
        <f t="shared" si="6"/>
        <v>容积率</v>
      </c>
      <c r="R11" s="4173" t="s">
        <v>16</v>
      </c>
      <c r="S11" s="3601" t="e">
        <f t="shared" si="0"/>
        <v>#N/A</v>
      </c>
      <c r="T11" s="4173" t="s">
        <v>16</v>
      </c>
      <c r="U11" s="3601" t="e">
        <f t="shared" si="1"/>
        <v>#N/A</v>
      </c>
      <c r="V11" s="4173" t="s">
        <v>16</v>
      </c>
      <c r="W11" s="3601" t="e">
        <f t="shared" si="2"/>
        <v>#N/A</v>
      </c>
      <c r="X11" s="515"/>
      <c r="Y11" s="4755"/>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54"/>
      <c r="Q12" s="3167">
        <f t="shared" si="6"/>
        <v>111</v>
      </c>
      <c r="R12" s="4173" t="s">
        <v>16</v>
      </c>
      <c r="S12" s="3601">
        <f t="shared" si="0"/>
        <v>100</v>
      </c>
      <c r="T12" s="4173" t="s">
        <v>16</v>
      </c>
      <c r="U12" s="3601">
        <f t="shared" si="1"/>
        <v>100</v>
      </c>
      <c r="V12" s="4173" t="s">
        <v>16</v>
      </c>
      <c r="W12" s="3601">
        <f t="shared" si="2"/>
        <v>100</v>
      </c>
      <c r="X12" s="515"/>
      <c r="Y12" s="4755"/>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54"/>
      <c r="Q13" s="3167">
        <f t="shared" si="6"/>
        <v>111</v>
      </c>
      <c r="R13" s="4173" t="s">
        <v>16</v>
      </c>
      <c r="S13" s="3601">
        <f t="shared" si="0"/>
        <v>100</v>
      </c>
      <c r="T13" s="4173" t="s">
        <v>16</v>
      </c>
      <c r="U13" s="3601">
        <f t="shared" si="1"/>
        <v>100</v>
      </c>
      <c r="V13" s="4173" t="s">
        <v>16</v>
      </c>
      <c r="W13" s="3601">
        <f t="shared" si="2"/>
        <v>100</v>
      </c>
      <c r="X13" s="515"/>
      <c r="Y13" s="4755"/>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54"/>
      <c r="Q14" s="3167">
        <f t="shared" si="6"/>
        <v>111</v>
      </c>
      <c r="R14" s="4173" t="s">
        <v>16</v>
      </c>
      <c r="S14" s="3601">
        <f t="shared" si="0"/>
        <v>100</v>
      </c>
      <c r="T14" s="4173" t="s">
        <v>16</v>
      </c>
      <c r="U14" s="3601">
        <f t="shared" si="1"/>
        <v>100</v>
      </c>
      <c r="V14" s="4173" t="s">
        <v>16</v>
      </c>
      <c r="W14" s="3601">
        <f t="shared" si="2"/>
        <v>100</v>
      </c>
      <c r="X14" s="515"/>
      <c r="Y14" s="4755"/>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90" t="s">
        <v>1609</v>
      </c>
      <c r="Q15" s="1658" t="str">
        <f t="shared" si="6"/>
        <v>居住社区成熟度</v>
      </c>
      <c r="R15" s="4299" t="s">
        <v>16</v>
      </c>
      <c r="S15" s="3602">
        <f t="shared" si="0"/>
        <v>100</v>
      </c>
      <c r="T15" s="4299" t="s">
        <v>16</v>
      </c>
      <c r="U15" s="3602">
        <f t="shared" si="1"/>
        <v>100</v>
      </c>
      <c r="V15" s="4299" t="s">
        <v>16</v>
      </c>
      <c r="W15" s="3602">
        <f t="shared" si="2"/>
        <v>100</v>
      </c>
      <c r="X15" s="1002"/>
      <c r="Y15" s="4783"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91"/>
      <c r="Q16" s="1658"/>
      <c r="R16" s="4299"/>
      <c r="S16" s="3602"/>
      <c r="T16" s="4299"/>
      <c r="U16" s="3602"/>
      <c r="V16" s="4299"/>
      <c r="W16" s="3602"/>
      <c r="X16" s="1002"/>
      <c r="Y16" s="4784"/>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91"/>
      <c r="Q17" s="1658" t="str">
        <f>B17</f>
        <v>交通便捷度</v>
      </c>
      <c r="R17" s="4299" t="s">
        <v>16</v>
      </c>
      <c r="S17" s="3602">
        <f>F17</f>
        <v>100</v>
      </c>
      <c r="T17" s="4299" t="s">
        <v>16</v>
      </c>
      <c r="U17" s="3602">
        <f>H17</f>
        <v>100</v>
      </c>
      <c r="V17" s="4299" t="s">
        <v>16</v>
      </c>
      <c r="W17" s="3602">
        <f>J17</f>
        <v>100</v>
      </c>
      <c r="X17" s="1002"/>
      <c r="Y17" s="4784"/>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91"/>
      <c r="Q18" s="1658"/>
      <c r="R18" s="4299"/>
      <c r="S18" s="3602"/>
      <c r="T18" s="4299"/>
      <c r="U18" s="3602"/>
      <c r="V18" s="4299"/>
      <c r="W18" s="3602"/>
      <c r="X18" s="1002"/>
      <c r="Y18" s="4784"/>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91"/>
      <c r="Q19" s="1658" t="str">
        <f>B19</f>
        <v>公共配套设施</v>
      </c>
      <c r="R19" s="4299" t="s">
        <v>16</v>
      </c>
      <c r="S19" s="3602">
        <f>F19</f>
        <v>100</v>
      </c>
      <c r="T19" s="4299" t="s">
        <v>16</v>
      </c>
      <c r="U19" s="3602">
        <f>H19</f>
        <v>100</v>
      </c>
      <c r="V19" s="4299" t="s">
        <v>16</v>
      </c>
      <c r="W19" s="3602">
        <f>J19</f>
        <v>100</v>
      </c>
      <c r="X19" s="1002"/>
      <c r="Y19" s="4784"/>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91"/>
      <c r="Q20" s="1658"/>
      <c r="R20" s="4299"/>
      <c r="S20" s="3602"/>
      <c r="T20" s="4299"/>
      <c r="U20" s="3602"/>
      <c r="V20" s="4299"/>
      <c r="W20" s="3602"/>
      <c r="X20" s="1002"/>
      <c r="Y20" s="4784"/>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91"/>
      <c r="Q21" s="1658" t="str">
        <f>B21</f>
        <v>基础设施水平</v>
      </c>
      <c r="R21" s="4299" t="s">
        <v>13</v>
      </c>
      <c r="S21" s="3602">
        <f>F21</f>
        <v>100</v>
      </c>
      <c r="T21" s="4299" t="s">
        <v>13</v>
      </c>
      <c r="U21" s="3602">
        <f>H21</f>
        <v>100</v>
      </c>
      <c r="V21" s="4299" t="s">
        <v>13</v>
      </c>
      <c r="W21" s="3602">
        <f>J21</f>
        <v>100</v>
      </c>
      <c r="X21" s="1002"/>
      <c r="Y21" s="4784"/>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91"/>
      <c r="Q22" s="1658"/>
      <c r="R22" s="4299"/>
      <c r="S22" s="3602"/>
      <c r="T22" s="4299"/>
      <c r="U22" s="3602"/>
      <c r="V22" s="4299"/>
      <c r="W22" s="3602"/>
      <c r="X22" s="1002"/>
      <c r="Y22" s="4784"/>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91"/>
      <c r="Q23" s="1658" t="str">
        <f>B23</f>
        <v>自然及人文环境</v>
      </c>
      <c r="R23" s="4299" t="s">
        <v>16</v>
      </c>
      <c r="S23" s="3602">
        <f>F23</f>
        <v>100</v>
      </c>
      <c r="T23" s="4299" t="s">
        <v>16</v>
      </c>
      <c r="U23" s="3602">
        <f>H23</f>
        <v>100</v>
      </c>
      <c r="V23" s="4299" t="s">
        <v>16</v>
      </c>
      <c r="W23" s="3602">
        <f>J23</f>
        <v>100</v>
      </c>
      <c r="X23" s="1002"/>
      <c r="Y23" s="4784"/>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91"/>
      <c r="Q24" s="1658"/>
      <c r="R24" s="4299"/>
      <c r="S24" s="3602"/>
      <c r="T24" s="4299"/>
      <c r="U24" s="3602"/>
      <c r="V24" s="4299"/>
      <c r="W24" s="3602"/>
      <c r="X24" s="1002"/>
      <c r="Y24" s="4784"/>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91"/>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84"/>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91"/>
      <c r="Q26" s="1658" t="str">
        <f t="shared" si="11"/>
        <v>朝向</v>
      </c>
      <c r="R26" s="4299" t="s">
        <v>16</v>
      </c>
      <c r="S26" s="3602">
        <f t="shared" si="12"/>
        <v>100</v>
      </c>
      <c r="T26" s="4299" t="s">
        <v>16</v>
      </c>
      <c r="U26" s="3602">
        <f t="shared" si="13"/>
        <v>100</v>
      </c>
      <c r="V26" s="4299" t="s">
        <v>16</v>
      </c>
      <c r="W26" s="3602">
        <f t="shared" si="14"/>
        <v>100</v>
      </c>
      <c r="X26" s="1002"/>
      <c r="Y26" s="4784"/>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91"/>
      <c r="Q27" s="3167">
        <f t="shared" si="11"/>
        <v>111</v>
      </c>
      <c r="R27" s="4173" t="s">
        <v>16</v>
      </c>
      <c r="S27" s="3601">
        <f t="shared" si="12"/>
        <v>100</v>
      </c>
      <c r="T27" s="4173" t="s">
        <v>16</v>
      </c>
      <c r="U27" s="3601">
        <f t="shared" si="13"/>
        <v>100</v>
      </c>
      <c r="V27" s="4173" t="s">
        <v>16</v>
      </c>
      <c r="W27" s="3601">
        <f t="shared" si="14"/>
        <v>100</v>
      </c>
      <c r="X27" s="515"/>
      <c r="Y27" s="4784"/>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91"/>
      <c r="Q28" s="1658">
        <f t="shared" si="11"/>
        <v>111</v>
      </c>
      <c r="R28" s="4299" t="s">
        <v>16</v>
      </c>
      <c r="S28" s="3602">
        <f t="shared" si="12"/>
        <v>100</v>
      </c>
      <c r="T28" s="4299" t="s">
        <v>16</v>
      </c>
      <c r="U28" s="3602">
        <f t="shared" si="13"/>
        <v>100</v>
      </c>
      <c r="V28" s="4299" t="s">
        <v>16</v>
      </c>
      <c r="W28" s="3602">
        <f t="shared" si="14"/>
        <v>100</v>
      </c>
      <c r="X28" s="1002"/>
      <c r="Y28" s="4784"/>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91"/>
      <c r="Q29" s="1658">
        <f t="shared" si="11"/>
        <v>111</v>
      </c>
      <c r="R29" s="4299" t="s">
        <v>16</v>
      </c>
      <c r="S29" s="3602">
        <f t="shared" si="12"/>
        <v>100</v>
      </c>
      <c r="T29" s="4299" t="s">
        <v>16</v>
      </c>
      <c r="U29" s="3602">
        <f t="shared" si="13"/>
        <v>100</v>
      </c>
      <c r="V29" s="4299" t="s">
        <v>16</v>
      </c>
      <c r="W29" s="3602">
        <f t="shared" si="14"/>
        <v>100</v>
      </c>
      <c r="X29" s="1002"/>
      <c r="Y29" s="4784"/>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91"/>
      <c r="Q30" s="1658">
        <f t="shared" si="11"/>
        <v>111</v>
      </c>
      <c r="R30" s="4299" t="s">
        <v>16</v>
      </c>
      <c r="S30" s="3602">
        <f t="shared" si="12"/>
        <v>100</v>
      </c>
      <c r="T30" s="4299" t="s">
        <v>16</v>
      </c>
      <c r="U30" s="3602">
        <f t="shared" si="13"/>
        <v>100</v>
      </c>
      <c r="V30" s="4299" t="s">
        <v>16</v>
      </c>
      <c r="W30" s="3602">
        <f t="shared" si="14"/>
        <v>100</v>
      </c>
      <c r="X30" s="1002"/>
      <c r="Y30" s="4784"/>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91"/>
      <c r="Q31" s="1658">
        <f t="shared" si="11"/>
        <v>111</v>
      </c>
      <c r="R31" s="4299" t="s">
        <v>16</v>
      </c>
      <c r="S31" s="3602">
        <f t="shared" si="12"/>
        <v>100</v>
      </c>
      <c r="T31" s="4299" t="s">
        <v>16</v>
      </c>
      <c r="U31" s="3602">
        <f t="shared" si="13"/>
        <v>100</v>
      </c>
      <c r="V31" s="4299" t="s">
        <v>16</v>
      </c>
      <c r="W31" s="3602">
        <f t="shared" si="14"/>
        <v>100</v>
      </c>
      <c r="X31" s="1002"/>
      <c r="Y31" s="4784"/>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85" t="s">
        <v>1614</v>
      </c>
      <c r="Q32" s="1658" t="str">
        <f t="shared" si="11"/>
        <v>建筑类型</v>
      </c>
      <c r="R32" s="4299" t="s">
        <v>16</v>
      </c>
      <c r="S32" s="3602">
        <f t="shared" si="12"/>
        <v>100</v>
      </c>
      <c r="T32" s="4299" t="s">
        <v>16</v>
      </c>
      <c r="U32" s="3602">
        <f t="shared" si="13"/>
        <v>100</v>
      </c>
      <c r="V32" s="4299" t="s">
        <v>16</v>
      </c>
      <c r="W32" s="3602">
        <f t="shared" si="14"/>
        <v>100</v>
      </c>
      <c r="X32" s="1002"/>
      <c r="Y32" s="4788"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86"/>
      <c r="Q33" s="3247" t="str">
        <f t="shared" si="11"/>
        <v>项目建筑规模</v>
      </c>
      <c r="R33" s="4300" t="s">
        <v>16</v>
      </c>
      <c r="S33" s="3603" t="e">
        <f t="shared" si="12"/>
        <v>#N/A</v>
      </c>
      <c r="T33" s="4300" t="s">
        <v>16</v>
      </c>
      <c r="U33" s="3603" t="e">
        <f t="shared" si="13"/>
        <v>#N/A</v>
      </c>
      <c r="V33" s="4300" t="s">
        <v>16</v>
      </c>
      <c r="W33" s="3603" t="e">
        <f t="shared" si="14"/>
        <v>#N/A</v>
      </c>
      <c r="X33" s="518"/>
      <c r="Y33" s="4788"/>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86"/>
      <c r="Q34" s="1658" t="str">
        <f t="shared" si="11"/>
        <v>建筑结构</v>
      </c>
      <c r="R34" s="4299" t="s">
        <v>16</v>
      </c>
      <c r="S34" s="3602">
        <f t="shared" si="12"/>
        <v>100</v>
      </c>
      <c r="T34" s="4299" t="s">
        <v>16</v>
      </c>
      <c r="U34" s="3602">
        <f t="shared" si="13"/>
        <v>100</v>
      </c>
      <c r="V34" s="4299" t="s">
        <v>16</v>
      </c>
      <c r="W34" s="3602">
        <f t="shared" si="14"/>
        <v>100</v>
      </c>
      <c r="X34" s="1002"/>
      <c r="Y34" s="4788"/>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86"/>
      <c r="Q35" s="1658" t="str">
        <f t="shared" si="11"/>
        <v>建筑品质</v>
      </c>
      <c r="R35" s="4299" t="s">
        <v>16</v>
      </c>
      <c r="S35" s="3602">
        <f t="shared" si="12"/>
        <v>100</v>
      </c>
      <c r="T35" s="4299" t="s">
        <v>16</v>
      </c>
      <c r="U35" s="3602">
        <f t="shared" si="13"/>
        <v>100</v>
      </c>
      <c r="V35" s="4299" t="s">
        <v>16</v>
      </c>
      <c r="W35" s="3602">
        <f t="shared" si="14"/>
        <v>100</v>
      </c>
      <c r="X35" s="1002"/>
      <c r="Y35" s="4788"/>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86"/>
      <c r="Q36" s="1658" t="str">
        <f t="shared" si="11"/>
        <v>公共部分装修</v>
      </c>
      <c r="R36" s="4299" t="s">
        <v>16</v>
      </c>
      <c r="S36" s="3602">
        <f t="shared" si="12"/>
        <v>100</v>
      </c>
      <c r="T36" s="4299" t="s">
        <v>16</v>
      </c>
      <c r="U36" s="3602">
        <f t="shared" si="13"/>
        <v>100</v>
      </c>
      <c r="V36" s="4299" t="s">
        <v>16</v>
      </c>
      <c r="W36" s="3602">
        <f t="shared" si="14"/>
        <v>100</v>
      </c>
      <c r="X36" s="1002"/>
      <c r="Y36" s="4788"/>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86"/>
      <c r="Q37" s="3167" t="str">
        <f t="shared" si="11"/>
        <v>成新度</v>
      </c>
      <c r="R37" s="4173" t="s">
        <v>16</v>
      </c>
      <c r="S37" s="3601" t="e">
        <f t="shared" si="12"/>
        <v>#N/A</v>
      </c>
      <c r="T37" s="4173" t="s">
        <v>16</v>
      </c>
      <c r="U37" s="3601" t="e">
        <f t="shared" si="13"/>
        <v>#N/A</v>
      </c>
      <c r="V37" s="4173" t="s">
        <v>16</v>
      </c>
      <c r="W37" s="3601" t="e">
        <f t="shared" si="14"/>
        <v>#N/A</v>
      </c>
      <c r="X37" s="515"/>
      <c r="Y37" s="4788"/>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86" t="s">
        <v>1614</v>
      </c>
      <c r="Q38" s="1658" t="str">
        <f t="shared" si="11"/>
        <v>物业管理</v>
      </c>
      <c r="R38" s="4299" t="s">
        <v>16</v>
      </c>
      <c r="S38" s="3602">
        <f t="shared" si="12"/>
        <v>100</v>
      </c>
      <c r="T38" s="4299" t="s">
        <v>16</v>
      </c>
      <c r="U38" s="3602">
        <f t="shared" si="13"/>
        <v>100</v>
      </c>
      <c r="V38" s="4299" t="s">
        <v>16</v>
      </c>
      <c r="W38" s="3602">
        <f t="shared" si="14"/>
        <v>100</v>
      </c>
      <c r="X38" s="1002"/>
      <c r="Y38" s="4788"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86"/>
      <c r="Q39" s="1658" t="str">
        <f t="shared" si="11"/>
        <v>市政基础设施</v>
      </c>
      <c r="R39" s="4299" t="s">
        <v>16</v>
      </c>
      <c r="S39" s="3602">
        <f t="shared" si="12"/>
        <v>100</v>
      </c>
      <c r="T39" s="4299" t="s">
        <v>16</v>
      </c>
      <c r="U39" s="3602">
        <f t="shared" si="13"/>
        <v>100</v>
      </c>
      <c r="V39" s="4299" t="s">
        <v>16</v>
      </c>
      <c r="W39" s="3602">
        <f t="shared" si="14"/>
        <v>100</v>
      </c>
      <c r="X39" s="1002"/>
      <c r="Y39" s="4788"/>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86"/>
      <c r="Q40" s="1658" t="str">
        <f t="shared" si="11"/>
        <v>房型</v>
      </c>
      <c r="R40" s="4299" t="s">
        <v>16</v>
      </c>
      <c r="S40" s="3602">
        <f t="shared" si="12"/>
        <v>100</v>
      </c>
      <c r="T40" s="4299" t="s">
        <v>16</v>
      </c>
      <c r="U40" s="3602">
        <f t="shared" si="13"/>
        <v>100</v>
      </c>
      <c r="V40" s="4299" t="s">
        <v>16</v>
      </c>
      <c r="W40" s="3602">
        <f t="shared" si="14"/>
        <v>100</v>
      </c>
      <c r="X40" s="1002"/>
      <c r="Y40" s="4788"/>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86"/>
      <c r="Q41" s="3247" t="str">
        <f t="shared" si="11"/>
        <v>单套/主力户型建筑面积</v>
      </c>
      <c r="R41" s="4300" t="s">
        <v>16</v>
      </c>
      <c r="S41" s="3603">
        <f t="shared" si="12"/>
        <v>100</v>
      </c>
      <c r="T41" s="4300" t="s">
        <v>16</v>
      </c>
      <c r="U41" s="3603">
        <f t="shared" si="13"/>
        <v>100</v>
      </c>
      <c r="V41" s="4300" t="s">
        <v>16</v>
      </c>
      <c r="W41" s="3603">
        <f t="shared" si="14"/>
        <v>100</v>
      </c>
      <c r="X41" s="518"/>
      <c r="Y41" s="4788"/>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86"/>
      <c r="Q42" s="1658" t="str">
        <f t="shared" si="11"/>
        <v>内部装修</v>
      </c>
      <c r="R42" s="4299" t="s">
        <v>16</v>
      </c>
      <c r="S42" s="3602">
        <f t="shared" si="12"/>
        <v>100</v>
      </c>
      <c r="T42" s="4299" t="s">
        <v>16</v>
      </c>
      <c r="U42" s="3602">
        <f t="shared" si="13"/>
        <v>100</v>
      </c>
      <c r="V42" s="4299" t="s">
        <v>16</v>
      </c>
      <c r="W42" s="3602">
        <f t="shared" si="14"/>
        <v>100</v>
      </c>
      <c r="X42" s="1002"/>
      <c r="Y42" s="4788"/>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86"/>
      <c r="Q43" s="1658" t="str">
        <f t="shared" si="11"/>
        <v>内部装修维护情况</v>
      </c>
      <c r="R43" s="4299" t="s">
        <v>16</v>
      </c>
      <c r="S43" s="3602">
        <f t="shared" si="12"/>
        <v>100</v>
      </c>
      <c r="T43" s="4299" t="s">
        <v>16</v>
      </c>
      <c r="U43" s="3602">
        <f t="shared" si="13"/>
        <v>100</v>
      </c>
      <c r="V43" s="4299" t="s">
        <v>16</v>
      </c>
      <c r="W43" s="3602">
        <f t="shared" si="14"/>
        <v>100</v>
      </c>
      <c r="X43" s="1002"/>
      <c r="Y43" s="4788"/>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86"/>
      <c r="Q44" s="3167">
        <f t="shared" si="11"/>
        <v>111</v>
      </c>
      <c r="R44" s="4173" t="s">
        <v>16</v>
      </c>
      <c r="S44" s="3601">
        <f t="shared" si="12"/>
        <v>100</v>
      </c>
      <c r="T44" s="4173" t="s">
        <v>16</v>
      </c>
      <c r="U44" s="3601">
        <f t="shared" si="13"/>
        <v>100</v>
      </c>
      <c r="V44" s="4173" t="s">
        <v>16</v>
      </c>
      <c r="W44" s="3601">
        <f t="shared" si="14"/>
        <v>100</v>
      </c>
      <c r="X44" s="515"/>
      <c r="Y44" s="4788"/>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86"/>
      <c r="Q45" s="1658">
        <f t="shared" si="11"/>
        <v>111</v>
      </c>
      <c r="R45" s="4299" t="s">
        <v>16</v>
      </c>
      <c r="S45" s="3602">
        <f t="shared" si="12"/>
        <v>100</v>
      </c>
      <c r="T45" s="4299" t="s">
        <v>16</v>
      </c>
      <c r="U45" s="3602">
        <f t="shared" si="13"/>
        <v>100</v>
      </c>
      <c r="V45" s="4299" t="s">
        <v>16</v>
      </c>
      <c r="W45" s="3602">
        <f t="shared" si="14"/>
        <v>100</v>
      </c>
      <c r="X45" s="1002"/>
      <c r="Y45" s="4788"/>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87"/>
      <c r="Q46" s="1658">
        <f t="shared" si="11"/>
        <v>111</v>
      </c>
      <c r="R46" s="4299" t="s">
        <v>15</v>
      </c>
      <c r="S46" s="3602">
        <f t="shared" si="12"/>
        <v>100</v>
      </c>
      <c r="T46" s="4299" t="s">
        <v>15</v>
      </c>
      <c r="U46" s="3602">
        <f t="shared" si="13"/>
        <v>100</v>
      </c>
      <c r="V46" s="4299" t="s">
        <v>15</v>
      </c>
      <c r="W46" s="3602">
        <f t="shared" si="14"/>
        <v>100</v>
      </c>
      <c r="X46" s="1002"/>
      <c r="Y46" s="4789"/>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81" t="str">
        <f>A47</f>
        <v>成交单价（元/平方米）</v>
      </c>
      <c r="Q47" s="4781"/>
      <c r="R47" s="4782">
        <f>E47</f>
        <v>0</v>
      </c>
      <c r="S47" s="4782"/>
      <c r="T47" s="4782">
        <f>G47</f>
        <v>0</v>
      </c>
      <c r="U47" s="4782"/>
      <c r="V47" s="4782">
        <f>I47</f>
        <v>0</v>
      </c>
      <c r="W47" s="4782"/>
      <c r="X47" s="504"/>
      <c r="Y47" s="520"/>
      <c r="Z47" s="504"/>
      <c r="AA47" s="504"/>
      <c r="AB47" s="504"/>
      <c r="AC47" s="504"/>
    </row>
    <row r="48" spans="1:29" ht="15.75" thickBot="1">
      <c r="A48" s="296" t="s">
        <v>1627</v>
      </c>
      <c r="B48" s="297"/>
      <c r="C48" s="4297" t="e">
        <f>R49</f>
        <v>#DIV/0!</v>
      </c>
      <c r="D48" s="4469" t="s">
        <v>2054</v>
      </c>
      <c r="E48" s="3268" t="e">
        <f>R48</f>
        <v>#DIV/0!</v>
      </c>
      <c r="F48" s="3183"/>
      <c r="G48" s="3267" t="e">
        <f>T48</f>
        <v>#DIV/0!</v>
      </c>
      <c r="H48" s="3183"/>
      <c r="I48" s="3268" t="e">
        <f>V48</f>
        <v>#DIV/0!</v>
      </c>
      <c r="J48" s="3183"/>
      <c r="K48" s="3238">
        <f>F48+H48+J48</f>
        <v>0</v>
      </c>
      <c r="L48" s="2206"/>
      <c r="M48" s="2207"/>
      <c r="N48" s="2207"/>
      <c r="O48" s="2207"/>
      <c r="P48" s="4781" t="str">
        <f>A48</f>
        <v>比较价值（元/平方米）</v>
      </c>
      <c r="Q48" s="4781"/>
      <c r="R48" s="4782" t="e">
        <f>IF(F1="售价",ROUND(PRODUCT(R47,AA7:AA46),0),ROUND(PRODUCT(R47,AA7:AA46),1))</f>
        <v>#DIV/0!</v>
      </c>
      <c r="S48" s="4782"/>
      <c r="T48" s="4782" t="e">
        <f>IF(F1="售价",ROUND(PRODUCT(T47,AB7:AB46),0),ROUND(PRODUCT(T47,AB7:AB46),1))</f>
        <v>#DIV/0!</v>
      </c>
      <c r="U48" s="4782"/>
      <c r="V48" s="4782" t="e">
        <f>IF(F1="售价",ROUND(PRODUCT(V47,AC7:AC46),0),ROUND(PRODUCT(V47,AC7:AC46),1))</f>
        <v>#DIV/0!</v>
      </c>
      <c r="W48" s="4782"/>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78" t="str">
        <f>A49</f>
        <v>估价对象XX用房的比较价值（楼面单价，元/平方米）</v>
      </c>
      <c r="Q49" s="4779"/>
      <c r="R49" s="4780" t="e">
        <f>IF(F1="售价",ROUND(IF(D48="简单平均",AVERAGE(R48:V48),R48*F48+T48*H48+V48*J48),0),ROUND(IF(D48="简单平均",AVERAGE(R48:V48),R48*F48+T48*H48+V48*J48),1))</f>
        <v>#DIV/0!</v>
      </c>
      <c r="S49" s="4780"/>
      <c r="T49" s="4780"/>
      <c r="U49" s="4780"/>
      <c r="V49" s="4780"/>
      <c r="W49" s="4780"/>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c r="E1" s="2793"/>
      <c r="F1" s="1492"/>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0</v>
      </c>
      <c r="C2" s="3162"/>
      <c r="D2" s="4301" t="b">
        <f>IF(E1="项目模式",IF(E2="——",ROUND(C49*D3/10000,0),ROUND(C49*D3/10000,0)-F2),IF(E1="单套模式",IF(E2="——",ROUND(C49*D3/10000,4),ROUND(C49*D3/10000,4)-F2)))</f>
        <v>0</v>
      </c>
      <c r="E2" s="1494"/>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0</v>
      </c>
      <c r="C3" s="241" t="s">
        <v>1686</v>
      </c>
      <c r="D3" s="3263">
        <f>IF(D1="",'数据-汇总表'!E3,SUMIF('数据-汇总表'!$C19:$C33,D1,'数据-汇总表'!$E19:$E33))</f>
        <v>11046.05</v>
      </c>
      <c r="E3" s="4470" t="s">
        <v>3526</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56" t="s">
        <v>1688</v>
      </c>
      <c r="D4" s="4757"/>
      <c r="E4" s="4758" t="s">
        <v>1689</v>
      </c>
      <c r="F4" s="4759"/>
      <c r="G4" s="4756" t="s">
        <v>1690</v>
      </c>
      <c r="H4" s="4757"/>
      <c r="I4" s="4756" t="s">
        <v>1691</v>
      </c>
      <c r="J4" s="4757"/>
      <c r="K4" s="3246" t="s">
        <v>1692</v>
      </c>
      <c r="L4" s="2197"/>
      <c r="M4" s="2198"/>
      <c r="N4" s="2198"/>
      <c r="O4" s="2198"/>
      <c r="P4" s="4760" t="s">
        <v>1693</v>
      </c>
      <c r="Q4" s="4761"/>
      <c r="R4" s="4742" t="s">
        <v>1689</v>
      </c>
      <c r="S4" s="4743"/>
      <c r="T4" s="4742" t="s">
        <v>1690</v>
      </c>
      <c r="U4" s="4743"/>
      <c r="V4" s="4768" t="s">
        <v>1691</v>
      </c>
      <c r="W4" s="4768"/>
      <c r="X4" s="1002"/>
      <c r="Y4" s="4771" t="s">
        <v>1693</v>
      </c>
      <c r="Z4" s="4772"/>
      <c r="AA4" s="4737" t="s">
        <v>1689</v>
      </c>
      <c r="AB4" s="4792" t="s">
        <v>1690</v>
      </c>
      <c r="AC4" s="4737" t="s">
        <v>1691</v>
      </c>
    </row>
    <row r="5" spans="1:29" ht="15">
      <c r="A5" s="245"/>
      <c r="B5" s="246"/>
      <c r="C5" s="4748" t="s">
        <v>1591</v>
      </c>
      <c r="D5" s="4749"/>
      <c r="E5" s="4746" t="s">
        <v>1592</v>
      </c>
      <c r="F5" s="4747"/>
      <c r="G5" s="4748" t="s">
        <v>1593</v>
      </c>
      <c r="H5" s="4749"/>
      <c r="I5" s="4748" t="s">
        <v>1594</v>
      </c>
      <c r="J5" s="4749"/>
      <c r="K5" s="3246"/>
      <c r="L5" s="2197"/>
      <c r="M5" s="2198"/>
      <c r="N5" s="2198"/>
      <c r="O5" s="2198"/>
      <c r="P5" s="4762"/>
      <c r="Q5" s="4763"/>
      <c r="R5" s="4744"/>
      <c r="S5" s="4745"/>
      <c r="T5" s="4744"/>
      <c r="U5" s="4745"/>
      <c r="V5" s="4768"/>
      <c r="W5" s="4768"/>
      <c r="X5" s="1002"/>
      <c r="Y5" s="4773"/>
      <c r="Z5" s="4774"/>
      <c r="AA5" s="4738"/>
      <c r="AB5" s="4792"/>
      <c r="AC5" s="4738"/>
    </row>
    <row r="6" spans="1:29" ht="15.75" thickBot="1">
      <c r="A6" s="247"/>
      <c r="B6" s="248"/>
      <c r="C6" s="4750" t="s">
        <v>1595</v>
      </c>
      <c r="D6" s="4751"/>
      <c r="E6" s="4752" t="s">
        <v>1595</v>
      </c>
      <c r="F6" s="4753"/>
      <c r="G6" s="4750" t="s">
        <v>1595</v>
      </c>
      <c r="H6" s="4751"/>
      <c r="I6" s="4750" t="s">
        <v>1595</v>
      </c>
      <c r="J6" s="4751"/>
      <c r="K6" s="3246" t="s">
        <v>1596</v>
      </c>
      <c r="L6" s="2197"/>
      <c r="M6" s="2198"/>
      <c r="N6" s="2198"/>
      <c r="O6" s="2198"/>
      <c r="P6" s="4764"/>
      <c r="Q6" s="4765"/>
      <c r="R6" s="4744"/>
      <c r="S6" s="4745"/>
      <c r="T6" s="4766"/>
      <c r="U6" s="4767"/>
      <c r="V6" s="4768"/>
      <c r="W6" s="4768"/>
      <c r="X6" s="1002"/>
      <c r="Y6" s="4775"/>
      <c r="Z6" s="4776"/>
      <c r="AA6" s="4739"/>
      <c r="AB6" s="4792"/>
      <c r="AC6" s="4739"/>
    </row>
    <row r="7" spans="1:29" s="49" customFormat="1" ht="15.75" thickBot="1">
      <c r="A7" s="249" t="s">
        <v>1597</v>
      </c>
      <c r="B7" s="250"/>
      <c r="C7" s="251">
        <f>'数据-取费表'!B2</f>
        <v>46041</v>
      </c>
      <c r="D7" s="3269">
        <v>100</v>
      </c>
      <c r="E7" s="3223"/>
      <c r="F7" s="4281">
        <f>SUMIF(58:58,YEAR(E7)&amp;"-"&amp;MONTH(E7),59:59)</f>
        <v>0</v>
      </c>
      <c r="G7" s="3223"/>
      <c r="H7" s="4293">
        <f>SUMIF(58:58,YEAR(G7)&amp;"-"&amp;MONTH(G7),59:59)</f>
        <v>0</v>
      </c>
      <c r="I7" s="3223"/>
      <c r="J7" s="4293">
        <f>SUMIF(58:58,YEAR(I7)&amp;"-"&amp;MONTH(I7),59:59)</f>
        <v>0</v>
      </c>
      <c r="K7" s="3239"/>
      <c r="L7" s="2199"/>
      <c r="M7" s="2200"/>
      <c r="N7" s="2200"/>
      <c r="O7" s="2200"/>
      <c r="P7" s="4769" t="s">
        <v>1598</v>
      </c>
      <c r="Q7" s="4777"/>
      <c r="R7" s="4173" t="s">
        <v>13</v>
      </c>
      <c r="S7" s="3601">
        <f t="shared" ref="S7:S15" si="0">F7</f>
        <v>0</v>
      </c>
      <c r="T7" s="4173" t="s">
        <v>13</v>
      </c>
      <c r="U7" s="3601">
        <f t="shared" ref="U7:U15" si="1">H7</f>
        <v>0</v>
      </c>
      <c r="V7" s="4173" t="s">
        <v>13</v>
      </c>
      <c r="W7" s="3601">
        <f t="shared" ref="W7:W15" si="2">J7</f>
        <v>0</v>
      </c>
      <c r="X7" s="515"/>
      <c r="Y7" s="4740" t="s">
        <v>1598</v>
      </c>
      <c r="Z7" s="4741"/>
      <c r="AA7" s="516" t="e">
        <f>D7/F7</f>
        <v>#DIV/0!</v>
      </c>
      <c r="AB7" s="516" t="e">
        <f>D7/H7</f>
        <v>#DIV/0!</v>
      </c>
      <c r="AC7" s="516" t="e">
        <f>D7/J7</f>
        <v>#DIV/0!</v>
      </c>
    </row>
    <row r="8" spans="1:29" s="49" customFormat="1" ht="15.75" thickBot="1">
      <c r="A8" s="249" t="s">
        <v>1599</v>
      </c>
      <c r="B8" s="250"/>
      <c r="C8" s="253"/>
      <c r="D8" s="3269">
        <v>100</v>
      </c>
      <c r="E8" s="3194"/>
      <c r="F8" s="4281">
        <f>SUMIF(61:61,E8,62:62)-SUMIF(61:61,C8,62:62)+100</f>
        <v>100</v>
      </c>
      <c r="G8" s="3194"/>
      <c r="H8" s="4293">
        <f>SUMIF(61:61,G8,62:62)-SUMIF(61:61,C8,62:62)+100</f>
        <v>100</v>
      </c>
      <c r="I8" s="3194"/>
      <c r="J8" s="4293">
        <f>SUMIF(61:61,I8,62:62)-SUMIF(61:61,C8,62:62)+100</f>
        <v>100</v>
      </c>
      <c r="K8" s="3239"/>
      <c r="L8" s="2199"/>
      <c r="M8" s="2200"/>
      <c r="N8" s="2200"/>
      <c r="O8" s="2200"/>
      <c r="P8" s="4769" t="s">
        <v>1601</v>
      </c>
      <c r="Q8" s="4770"/>
      <c r="R8" s="4173" t="s">
        <v>13</v>
      </c>
      <c r="S8" s="3601">
        <f t="shared" si="0"/>
        <v>100</v>
      </c>
      <c r="T8" s="4173" t="s">
        <v>13</v>
      </c>
      <c r="U8" s="3601">
        <f t="shared" si="1"/>
        <v>100</v>
      </c>
      <c r="V8" s="4173" t="s">
        <v>13</v>
      </c>
      <c r="W8" s="3601">
        <f t="shared" si="2"/>
        <v>100</v>
      </c>
      <c r="X8" s="515"/>
      <c r="Y8" s="4740" t="s">
        <v>1601</v>
      </c>
      <c r="Z8" s="4741"/>
      <c r="AA8" s="516">
        <f t="shared" ref="AA8:AA46" si="3">D8/F8</f>
        <v>1</v>
      </c>
      <c r="AB8" s="516">
        <f t="shared" ref="AB8:AB46" si="4">D8/H8</f>
        <v>1</v>
      </c>
      <c r="AC8" s="516">
        <f t="shared" ref="AC8:AC46" si="5">D8/J8</f>
        <v>1</v>
      </c>
    </row>
    <row r="9" spans="1:29" s="49" customFormat="1">
      <c r="A9" s="254" t="s">
        <v>1602</v>
      </c>
      <c r="B9" s="3174" t="s">
        <v>1603</v>
      </c>
      <c r="C9" s="3195"/>
      <c r="D9" s="3270">
        <v>100</v>
      </c>
      <c r="E9" s="3224"/>
      <c r="F9" s="4282">
        <f>SUMIF(63:63,E9,64:64)-SUMIF(63:63,C9,64:64)+100</f>
        <v>100</v>
      </c>
      <c r="G9" s="3224"/>
      <c r="H9" s="4294">
        <f>SUMIF(63:63,G9,64:64)-SUMIF(63:63,C9,64:64)+100</f>
        <v>100</v>
      </c>
      <c r="I9" s="3224"/>
      <c r="J9" s="4294">
        <f>SUMIF(63:63,I9,64:64)-SUMIF(63:63,C9,64:64)+100</f>
        <v>100</v>
      </c>
      <c r="K9" s="3239"/>
      <c r="L9" s="2199"/>
      <c r="M9" s="2200"/>
      <c r="N9" s="2200"/>
      <c r="O9" s="2200"/>
      <c r="P9" s="4754" t="s">
        <v>1604</v>
      </c>
      <c r="Q9" s="3167" t="str">
        <f t="shared" ref="Q9:Q15" si="6">B9</f>
        <v>用途</v>
      </c>
      <c r="R9" s="4173" t="s">
        <v>13</v>
      </c>
      <c r="S9" s="3601">
        <f t="shared" si="0"/>
        <v>100</v>
      </c>
      <c r="T9" s="4173" t="s">
        <v>13</v>
      </c>
      <c r="U9" s="3601">
        <f t="shared" si="1"/>
        <v>100</v>
      </c>
      <c r="V9" s="4173" t="s">
        <v>13</v>
      </c>
      <c r="W9" s="3601">
        <f t="shared" si="2"/>
        <v>100</v>
      </c>
      <c r="X9" s="515"/>
      <c r="Y9" s="4755"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54"/>
      <c r="Q10" s="3167" t="str">
        <f t="shared" si="6"/>
        <v>土地使用年限（年）</v>
      </c>
      <c r="R10" s="4173" t="s">
        <v>13</v>
      </c>
      <c r="S10" s="3601">
        <f t="shared" si="0"/>
        <v>100</v>
      </c>
      <c r="T10" s="4173" t="s">
        <v>13</v>
      </c>
      <c r="U10" s="3601">
        <f t="shared" si="1"/>
        <v>100</v>
      </c>
      <c r="V10" s="4173" t="s">
        <v>13</v>
      </c>
      <c r="W10" s="3601">
        <f t="shared" si="2"/>
        <v>100</v>
      </c>
      <c r="X10" s="515"/>
      <c r="Y10" s="4755"/>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240"/>
      <c r="L11" s="2203"/>
      <c r="M11" s="2198"/>
      <c r="N11" s="2198"/>
      <c r="O11" s="2198"/>
      <c r="P11" s="4754"/>
      <c r="Q11" s="3167" t="str">
        <f t="shared" si="6"/>
        <v>容积率</v>
      </c>
      <c r="R11" s="4173" t="s">
        <v>13</v>
      </c>
      <c r="S11" s="3601" t="e">
        <f t="shared" si="0"/>
        <v>#N/A</v>
      </c>
      <c r="T11" s="4173" t="s">
        <v>13</v>
      </c>
      <c r="U11" s="3601" t="e">
        <f t="shared" si="1"/>
        <v>#N/A</v>
      </c>
      <c r="V11" s="4173" t="s">
        <v>13</v>
      </c>
      <c r="W11" s="3601" t="e">
        <f t="shared" si="2"/>
        <v>#N/A</v>
      </c>
      <c r="X11" s="515"/>
      <c r="Y11" s="4755"/>
      <c r="Z11" s="28" t="str">
        <f t="shared" si="7"/>
        <v>容积率</v>
      </c>
      <c r="AA11" s="516" t="e">
        <f t="shared" si="3"/>
        <v>#N/A</v>
      </c>
      <c r="AB11" s="516" t="e">
        <f t="shared" si="4"/>
        <v>#N/A</v>
      </c>
      <c r="AC11" s="516" t="e">
        <f t="shared" si="5"/>
        <v>#N/A</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54"/>
      <c r="Q12" s="3167">
        <f t="shared" si="6"/>
        <v>111</v>
      </c>
      <c r="R12" s="4173" t="s">
        <v>13</v>
      </c>
      <c r="S12" s="3601">
        <f t="shared" si="0"/>
        <v>100</v>
      </c>
      <c r="T12" s="4173" t="s">
        <v>13</v>
      </c>
      <c r="U12" s="3601">
        <f t="shared" si="1"/>
        <v>100</v>
      </c>
      <c r="V12" s="4173" t="s">
        <v>13</v>
      </c>
      <c r="W12" s="3601">
        <f t="shared" si="2"/>
        <v>100</v>
      </c>
      <c r="X12" s="515"/>
      <c r="Y12" s="4755"/>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54"/>
      <c r="Q13" s="3167">
        <f t="shared" si="6"/>
        <v>111</v>
      </c>
      <c r="R13" s="4173" t="s">
        <v>13</v>
      </c>
      <c r="S13" s="3601">
        <f t="shared" si="0"/>
        <v>100</v>
      </c>
      <c r="T13" s="4173" t="s">
        <v>13</v>
      </c>
      <c r="U13" s="3601">
        <f t="shared" si="1"/>
        <v>100</v>
      </c>
      <c r="V13" s="4173" t="s">
        <v>13</v>
      </c>
      <c r="W13" s="3601">
        <f t="shared" si="2"/>
        <v>100</v>
      </c>
      <c r="X13" s="515"/>
      <c r="Y13" s="4755"/>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54"/>
      <c r="Q14" s="3167">
        <f t="shared" si="6"/>
        <v>111</v>
      </c>
      <c r="R14" s="4173" t="s">
        <v>13</v>
      </c>
      <c r="S14" s="3601">
        <f t="shared" si="0"/>
        <v>100</v>
      </c>
      <c r="T14" s="4173" t="s">
        <v>13</v>
      </c>
      <c r="U14" s="3601">
        <f t="shared" si="1"/>
        <v>100</v>
      </c>
      <c r="V14" s="4173" t="s">
        <v>13</v>
      </c>
      <c r="W14" s="3601">
        <f t="shared" si="2"/>
        <v>100</v>
      </c>
      <c r="X14" s="515"/>
      <c r="Y14" s="4755"/>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90" t="s">
        <v>1609</v>
      </c>
      <c r="Q15" s="1658" t="str">
        <f t="shared" si="6"/>
        <v>商业繁华度</v>
      </c>
      <c r="R15" s="4299" t="s">
        <v>13</v>
      </c>
      <c r="S15" s="3602">
        <f t="shared" si="0"/>
        <v>100</v>
      </c>
      <c r="T15" s="4299" t="s">
        <v>13</v>
      </c>
      <c r="U15" s="3602">
        <f t="shared" si="1"/>
        <v>100</v>
      </c>
      <c r="V15" s="4299" t="s">
        <v>13</v>
      </c>
      <c r="W15" s="3602">
        <f t="shared" si="2"/>
        <v>100</v>
      </c>
      <c r="X15" s="1002"/>
      <c r="Y15" s="4783" t="s">
        <v>1609</v>
      </c>
      <c r="Z15" s="1003" t="str">
        <f t="shared" si="7"/>
        <v>商业繁华度</v>
      </c>
      <c r="AA15" s="1000">
        <f t="shared" si="3"/>
        <v>1</v>
      </c>
      <c r="AB15" s="1000">
        <f t="shared" si="4"/>
        <v>1</v>
      </c>
      <c r="AC15" s="1000">
        <f t="shared" si="5"/>
        <v>1</v>
      </c>
    </row>
    <row r="16" spans="1:29" ht="15">
      <c r="A16" s="261"/>
      <c r="B16" s="3178"/>
      <c r="C16" s="3202"/>
      <c r="D16" s="3276"/>
      <c r="E16" s="3202"/>
      <c r="F16" s="4304"/>
      <c r="G16" s="3202"/>
      <c r="H16" s="4287"/>
      <c r="I16" s="3202"/>
      <c r="J16" s="4286"/>
      <c r="K16" s="3243"/>
      <c r="L16" s="2204"/>
      <c r="M16" s="2198"/>
      <c r="N16" s="2198"/>
      <c r="O16" s="2198"/>
      <c r="P16" s="4791"/>
      <c r="Q16" s="1658"/>
      <c r="R16" s="4299"/>
      <c r="S16" s="3602"/>
      <c r="T16" s="4299"/>
      <c r="U16" s="3602"/>
      <c r="V16" s="4299"/>
      <c r="W16" s="3602"/>
      <c r="X16" s="1002"/>
      <c r="Y16" s="4784"/>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91"/>
      <c r="Q17" s="1658" t="str">
        <f>B17</f>
        <v>交通便捷度</v>
      </c>
      <c r="R17" s="4299" t="s">
        <v>13</v>
      </c>
      <c r="S17" s="3602">
        <f>F17</f>
        <v>100</v>
      </c>
      <c r="T17" s="4299" t="s">
        <v>13</v>
      </c>
      <c r="U17" s="3602">
        <f>H17</f>
        <v>100</v>
      </c>
      <c r="V17" s="4299" t="s">
        <v>13</v>
      </c>
      <c r="W17" s="3602">
        <f>J17</f>
        <v>100</v>
      </c>
      <c r="X17" s="1002"/>
      <c r="Y17" s="4784"/>
      <c r="Z17" s="1003" t="str">
        <f>Q17</f>
        <v>交通便捷度</v>
      </c>
      <c r="AA17" s="1000">
        <f t="shared" si="3"/>
        <v>1</v>
      </c>
      <c r="AB17" s="1000">
        <f t="shared" si="4"/>
        <v>1</v>
      </c>
      <c r="AC17" s="1000">
        <f t="shared" si="5"/>
        <v>1</v>
      </c>
    </row>
    <row r="18" spans="1:29" ht="15">
      <c r="A18" s="261"/>
      <c r="B18" s="3180"/>
      <c r="C18" s="3204"/>
      <c r="D18" s="3277"/>
      <c r="E18" s="3229"/>
      <c r="F18" s="4305"/>
      <c r="G18" s="3235"/>
      <c r="H18" s="4286"/>
      <c r="I18" s="3229"/>
      <c r="J18" s="4286"/>
      <c r="K18" s="3243"/>
      <c r="L18" s="2204"/>
      <c r="M18" s="2198"/>
      <c r="N18" s="2198"/>
      <c r="O18" s="2198"/>
      <c r="P18" s="4791"/>
      <c r="Q18" s="1658"/>
      <c r="R18" s="4299"/>
      <c r="S18" s="3602"/>
      <c r="T18" s="4299"/>
      <c r="U18" s="3602"/>
      <c r="V18" s="4299"/>
      <c r="W18" s="3602"/>
      <c r="X18" s="1002"/>
      <c r="Y18" s="4784"/>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91"/>
      <c r="Q19" s="1658" t="str">
        <f>B19</f>
        <v>公共配套设施</v>
      </c>
      <c r="R19" s="4299" t="s">
        <v>13</v>
      </c>
      <c r="S19" s="3602">
        <f>F19</f>
        <v>100</v>
      </c>
      <c r="T19" s="4299" t="s">
        <v>13</v>
      </c>
      <c r="U19" s="3602">
        <f>H19</f>
        <v>100</v>
      </c>
      <c r="V19" s="4299" t="s">
        <v>13</v>
      </c>
      <c r="W19" s="3602">
        <f>J19</f>
        <v>100</v>
      </c>
      <c r="X19" s="1002"/>
      <c r="Y19" s="4784"/>
      <c r="Z19" s="1003" t="str">
        <f>Q19</f>
        <v>公共配套设施</v>
      </c>
      <c r="AA19" s="1000">
        <f t="shared" si="3"/>
        <v>1</v>
      </c>
      <c r="AB19" s="1000">
        <f t="shared" si="4"/>
        <v>1</v>
      </c>
      <c r="AC19" s="1000">
        <f t="shared" si="5"/>
        <v>1</v>
      </c>
    </row>
    <row r="20" spans="1:29" ht="15">
      <c r="A20" s="261"/>
      <c r="B20" s="3180"/>
      <c r="C20" s="3202"/>
      <c r="D20" s="3276"/>
      <c r="E20" s="3231"/>
      <c r="F20" s="4304"/>
      <c r="G20" s="3237"/>
      <c r="H20" s="4286"/>
      <c r="I20" s="3231"/>
      <c r="J20" s="4286"/>
      <c r="K20" s="3243"/>
      <c r="L20" s="2204"/>
      <c r="M20" s="2198"/>
      <c r="N20" s="2198"/>
      <c r="O20" s="2198"/>
      <c r="P20" s="4791"/>
      <c r="Q20" s="1658"/>
      <c r="R20" s="4299"/>
      <c r="S20" s="3602"/>
      <c r="T20" s="4299"/>
      <c r="U20" s="3602"/>
      <c r="V20" s="4299"/>
      <c r="W20" s="3602"/>
      <c r="X20" s="1002"/>
      <c r="Y20" s="4784"/>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91"/>
      <c r="Q21" s="1658" t="str">
        <f>B21</f>
        <v>基础设施水平</v>
      </c>
      <c r="R21" s="4299" t="s">
        <v>13</v>
      </c>
      <c r="S21" s="3602">
        <f>F21</f>
        <v>100</v>
      </c>
      <c r="T21" s="4299" t="s">
        <v>13</v>
      </c>
      <c r="U21" s="3602">
        <f>H21</f>
        <v>100</v>
      </c>
      <c r="V21" s="4299" t="s">
        <v>13</v>
      </c>
      <c r="W21" s="3602">
        <f>J21</f>
        <v>100</v>
      </c>
      <c r="X21" s="1002"/>
      <c r="Y21" s="4784"/>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304"/>
      <c r="G22" s="3202"/>
      <c r="H22" s="4286"/>
      <c r="I22" s="3202"/>
      <c r="J22" s="4286"/>
      <c r="K22" s="3244"/>
      <c r="L22" s="2204"/>
      <c r="M22" s="2198"/>
      <c r="N22" s="2198"/>
      <c r="O22" s="2198"/>
      <c r="P22" s="4791"/>
      <c r="Q22" s="1658"/>
      <c r="R22" s="4299"/>
      <c r="S22" s="3602"/>
      <c r="T22" s="4299"/>
      <c r="U22" s="3602"/>
      <c r="V22" s="4299"/>
      <c r="W22" s="3602"/>
      <c r="X22" s="1002"/>
      <c r="Y22" s="4784"/>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91"/>
      <c r="Q23" s="1658" t="str">
        <f>B23</f>
        <v>自然及人文环境</v>
      </c>
      <c r="R23" s="4299" t="s">
        <v>13</v>
      </c>
      <c r="S23" s="3602">
        <f>F23</f>
        <v>100</v>
      </c>
      <c r="T23" s="4299" t="s">
        <v>13</v>
      </c>
      <c r="U23" s="3602">
        <f>H23</f>
        <v>100</v>
      </c>
      <c r="V23" s="4299" t="s">
        <v>13</v>
      </c>
      <c r="W23" s="3602">
        <f>J23</f>
        <v>100</v>
      </c>
      <c r="X23" s="1002"/>
      <c r="Y23" s="4784"/>
      <c r="Z23" s="1003" t="str">
        <f>Q23</f>
        <v>自然及人文环境</v>
      </c>
      <c r="AA23" s="1000">
        <f t="shared" si="3"/>
        <v>1</v>
      </c>
      <c r="AB23" s="1000">
        <f t="shared" si="4"/>
        <v>1</v>
      </c>
      <c r="AC23" s="1000">
        <f t="shared" si="5"/>
        <v>1</v>
      </c>
    </row>
    <row r="24" spans="1:29" ht="15">
      <c r="A24" s="261"/>
      <c r="B24" s="3180"/>
      <c r="C24" s="3202"/>
      <c r="D24" s="3276"/>
      <c r="E24" s="3231"/>
      <c r="F24" s="4304"/>
      <c r="G24" s="3237"/>
      <c r="H24" s="4286"/>
      <c r="I24" s="3231"/>
      <c r="J24" s="4286"/>
      <c r="K24" s="3243"/>
      <c r="L24" s="2204"/>
      <c r="M24" s="2198"/>
      <c r="N24" s="2198"/>
      <c r="O24" s="2198"/>
      <c r="P24" s="4791"/>
      <c r="Q24" s="1658"/>
      <c r="R24" s="4299"/>
      <c r="S24" s="3602"/>
      <c r="T24" s="4299"/>
      <c r="U24" s="3602"/>
      <c r="V24" s="4299"/>
      <c r="W24" s="3602"/>
      <c r="X24" s="1002"/>
      <c r="Y24" s="4784"/>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91"/>
      <c r="Q25" s="1658" t="str">
        <f t="shared" ref="Q25:Q46" si="11">B25</f>
        <v>临街状况</v>
      </c>
      <c r="R25" s="4299" t="s">
        <v>13</v>
      </c>
      <c r="S25" s="3602">
        <f>F25</f>
        <v>100</v>
      </c>
      <c r="T25" s="4299" t="s">
        <v>13</v>
      </c>
      <c r="U25" s="3602">
        <f>H25</f>
        <v>100</v>
      </c>
      <c r="V25" s="4299" t="s">
        <v>13</v>
      </c>
      <c r="W25" s="3602">
        <f>J25</f>
        <v>100</v>
      </c>
      <c r="X25" s="1002"/>
      <c r="Y25" s="4784"/>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91"/>
      <c r="Q26" s="1658" t="str">
        <f t="shared" si="11"/>
        <v>平面位置/可视性</v>
      </c>
      <c r="R26" s="4299" t="s">
        <v>13</v>
      </c>
      <c r="S26" s="3602">
        <f>F26</f>
        <v>100</v>
      </c>
      <c r="T26" s="4299" t="s">
        <v>13</v>
      </c>
      <c r="U26" s="3602">
        <f>H26</f>
        <v>100</v>
      </c>
      <c r="V26" s="4299" t="s">
        <v>13</v>
      </c>
      <c r="W26" s="3602">
        <f>J26</f>
        <v>100</v>
      </c>
      <c r="X26" s="1002"/>
      <c r="Y26" s="4784"/>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91"/>
      <c r="Q27" s="3167" t="str">
        <f t="shared" si="11"/>
        <v>人流量</v>
      </c>
      <c r="R27" s="4173" t="s">
        <v>13</v>
      </c>
      <c r="S27" s="3601">
        <f>F27</f>
        <v>100</v>
      </c>
      <c r="T27" s="4173" t="s">
        <v>13</v>
      </c>
      <c r="U27" s="3601">
        <f>H27</f>
        <v>100</v>
      </c>
      <c r="V27" s="4173" t="s">
        <v>13</v>
      </c>
      <c r="W27" s="3601">
        <f>J27</f>
        <v>100</v>
      </c>
      <c r="X27" s="515"/>
      <c r="Y27" s="4784"/>
      <c r="Z27" s="28" t="str">
        <f>Q27</f>
        <v>人流量</v>
      </c>
      <c r="AA27" s="1000">
        <f>D27/F27</f>
        <v>1</v>
      </c>
      <c r="AB27" s="1000">
        <f>D27/H27</f>
        <v>1</v>
      </c>
      <c r="AC27" s="1000">
        <f>D27/J27</f>
        <v>1</v>
      </c>
    </row>
    <row r="28" spans="1:29" ht="15">
      <c r="A28" s="261"/>
      <c r="B28" s="3169" t="s">
        <v>1701</v>
      </c>
      <c r="C28" s="3219"/>
      <c r="D28" s="3273">
        <v>100</v>
      </c>
      <c r="E28" s="3219"/>
      <c r="F28" s="4292">
        <f>SUMIF(92:92,E28,93:93)-SUMIF(92:92,C28,93:93)+100</f>
        <v>100</v>
      </c>
      <c r="G28" s="3219"/>
      <c r="H28" s="4289">
        <f>SUMIF(92:92,G28,93:93)-SUMIF(92:92,C28,93:93)+100</f>
        <v>100</v>
      </c>
      <c r="I28" s="3219"/>
      <c r="J28" s="4289">
        <f>SUMIF(92:92,I28,93:93)-SUMIF(92:92,C28,93:93)+100</f>
        <v>100</v>
      </c>
      <c r="K28" s="3241"/>
      <c r="L28" s="2204"/>
      <c r="M28" s="2198"/>
      <c r="N28" s="2198"/>
      <c r="O28" s="2198"/>
      <c r="P28" s="4791"/>
      <c r="Q28" s="1658" t="str">
        <f t="shared" si="11"/>
        <v>楼层</v>
      </c>
      <c r="R28" s="4299" t="s">
        <v>13</v>
      </c>
      <c r="S28" s="3602">
        <f t="shared" ref="S28:S46" si="12">F28</f>
        <v>100</v>
      </c>
      <c r="T28" s="4299" t="s">
        <v>13</v>
      </c>
      <c r="U28" s="3602">
        <f t="shared" ref="U28:U46" si="13">H28</f>
        <v>100</v>
      </c>
      <c r="V28" s="4299" t="s">
        <v>13</v>
      </c>
      <c r="W28" s="3602">
        <f t="shared" ref="W28:W46" si="14">J28</f>
        <v>100</v>
      </c>
      <c r="X28" s="1002"/>
      <c r="Y28" s="4784"/>
      <c r="Z28" s="1003" t="str">
        <f t="shared" ref="Z28:Z46" si="15">Q28</f>
        <v>楼层</v>
      </c>
      <c r="AA28" s="1000">
        <f t="shared" si="3"/>
        <v>1</v>
      </c>
      <c r="AB28" s="1000">
        <f t="shared" si="4"/>
        <v>1</v>
      </c>
      <c r="AC28" s="1000">
        <f t="shared" si="5"/>
        <v>1</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91"/>
      <c r="Q29" s="1658">
        <f t="shared" si="11"/>
        <v>111</v>
      </c>
      <c r="R29" s="4299" t="s">
        <v>13</v>
      </c>
      <c r="S29" s="3602">
        <f t="shared" si="12"/>
        <v>100</v>
      </c>
      <c r="T29" s="4299" t="s">
        <v>13</v>
      </c>
      <c r="U29" s="3602">
        <f t="shared" si="13"/>
        <v>100</v>
      </c>
      <c r="V29" s="4299" t="s">
        <v>13</v>
      </c>
      <c r="W29" s="3602">
        <f t="shared" si="14"/>
        <v>100</v>
      </c>
      <c r="X29" s="1002"/>
      <c r="Y29" s="4784"/>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91"/>
      <c r="Q30" s="1658">
        <f t="shared" si="11"/>
        <v>111</v>
      </c>
      <c r="R30" s="4299" t="s">
        <v>13</v>
      </c>
      <c r="S30" s="3602">
        <f t="shared" si="12"/>
        <v>100</v>
      </c>
      <c r="T30" s="4299" t="s">
        <v>13</v>
      </c>
      <c r="U30" s="3602">
        <f t="shared" si="13"/>
        <v>100</v>
      </c>
      <c r="V30" s="4299" t="s">
        <v>13</v>
      </c>
      <c r="W30" s="3602">
        <f t="shared" si="14"/>
        <v>100</v>
      </c>
      <c r="X30" s="1002"/>
      <c r="Y30" s="4784"/>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91"/>
      <c r="Q31" s="1658">
        <f t="shared" si="11"/>
        <v>111</v>
      </c>
      <c r="R31" s="4299" t="s">
        <v>13</v>
      </c>
      <c r="S31" s="3602">
        <f t="shared" si="12"/>
        <v>100</v>
      </c>
      <c r="T31" s="4299" t="s">
        <v>13</v>
      </c>
      <c r="U31" s="3602">
        <f t="shared" si="13"/>
        <v>100</v>
      </c>
      <c r="V31" s="4299" t="s">
        <v>13</v>
      </c>
      <c r="W31" s="3602">
        <f t="shared" si="14"/>
        <v>100</v>
      </c>
      <c r="X31" s="1002"/>
      <c r="Y31" s="4784"/>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85" t="s">
        <v>1614</v>
      </c>
      <c r="Q32" s="1658" t="str">
        <f t="shared" si="11"/>
        <v>商业类型</v>
      </c>
      <c r="R32" s="4299" t="s">
        <v>13</v>
      </c>
      <c r="S32" s="3602">
        <f t="shared" si="12"/>
        <v>100</v>
      </c>
      <c r="T32" s="4299" t="s">
        <v>13</v>
      </c>
      <c r="U32" s="3602">
        <f t="shared" si="13"/>
        <v>100</v>
      </c>
      <c r="V32" s="4299" t="s">
        <v>13</v>
      </c>
      <c r="W32" s="3602">
        <f t="shared" si="14"/>
        <v>100</v>
      </c>
      <c r="X32" s="1002"/>
      <c r="Y32" s="4788" t="s">
        <v>1614</v>
      </c>
      <c r="Z32" s="1003" t="str">
        <f t="shared" si="15"/>
        <v>商业类型</v>
      </c>
      <c r="AA32" s="1000">
        <f t="shared" si="3"/>
        <v>1</v>
      </c>
      <c r="AB32" s="1000">
        <f t="shared" si="4"/>
        <v>1</v>
      </c>
      <c r="AC32" s="1000">
        <f t="shared" si="5"/>
        <v>1</v>
      </c>
    </row>
    <row r="33" spans="1:29" s="286" customFormat="1" ht="15">
      <c r="A33" s="284"/>
      <c r="B33" s="3169" t="s">
        <v>1615</v>
      </c>
      <c r="C33" s="3207"/>
      <c r="D33" s="3271">
        <v>100</v>
      </c>
      <c r="E33" s="3226"/>
      <c r="F33" s="4283" t="e">
        <f>LOOKUP(E33,103:103,104:104)-LOOKUP(C33,103:103,104:104)+100</f>
        <v>#N/A</v>
      </c>
      <c r="G33" s="3197"/>
      <c r="H33" s="4295" t="e">
        <f>LOOKUP(G33,103:103,104:104)-LOOKUP(C33,103:103,104:104)+100</f>
        <v>#N/A</v>
      </c>
      <c r="I33" s="3197"/>
      <c r="J33" s="4295" t="e">
        <f>LOOKUP(I33,103:103,104:104)-LOOKUP(C33,103:103,104:104)+100</f>
        <v>#N/A</v>
      </c>
      <c r="K33" s="3241"/>
      <c r="L33" s="2203"/>
      <c r="M33" s="2205"/>
      <c r="N33" s="2205"/>
      <c r="O33" s="2205"/>
      <c r="P33" s="4786"/>
      <c r="Q33" s="3247" t="str">
        <f t="shared" si="11"/>
        <v>项目建筑规模</v>
      </c>
      <c r="R33" s="4300" t="s">
        <v>13</v>
      </c>
      <c r="S33" s="3603" t="e">
        <f t="shared" si="12"/>
        <v>#N/A</v>
      </c>
      <c r="T33" s="4300" t="s">
        <v>13</v>
      </c>
      <c r="U33" s="3603" t="e">
        <f t="shared" si="13"/>
        <v>#N/A</v>
      </c>
      <c r="V33" s="4300" t="s">
        <v>13</v>
      </c>
      <c r="W33" s="3603" t="e">
        <f t="shared" si="14"/>
        <v>#N/A</v>
      </c>
      <c r="X33" s="518"/>
      <c r="Y33" s="4788"/>
      <c r="Z33" s="519" t="str">
        <f t="shared" si="15"/>
        <v>项目建筑规模</v>
      </c>
      <c r="AA33" s="1000" t="e">
        <f t="shared" si="3"/>
        <v>#N/A</v>
      </c>
      <c r="AB33" s="1000" t="e">
        <f t="shared" si="4"/>
        <v>#N/A</v>
      </c>
      <c r="AC33" s="1000" t="e">
        <f t="shared" si="5"/>
        <v>#N/A</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86"/>
      <c r="Q34" s="1658" t="str">
        <f t="shared" si="11"/>
        <v>建筑结构</v>
      </c>
      <c r="R34" s="4299" t="s">
        <v>13</v>
      </c>
      <c r="S34" s="3602">
        <f t="shared" si="12"/>
        <v>100</v>
      </c>
      <c r="T34" s="4299" t="s">
        <v>13</v>
      </c>
      <c r="U34" s="3602">
        <f t="shared" si="13"/>
        <v>100</v>
      </c>
      <c r="V34" s="4299" t="s">
        <v>13</v>
      </c>
      <c r="W34" s="3602">
        <f t="shared" si="14"/>
        <v>100</v>
      </c>
      <c r="X34" s="1002"/>
      <c r="Y34" s="4788"/>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86"/>
      <c r="Q35" s="1658" t="str">
        <f t="shared" si="11"/>
        <v>公共部分装修</v>
      </c>
      <c r="R35" s="4299" t="s">
        <v>13</v>
      </c>
      <c r="S35" s="3602">
        <f t="shared" si="12"/>
        <v>100</v>
      </c>
      <c r="T35" s="4299" t="s">
        <v>13</v>
      </c>
      <c r="U35" s="3602">
        <f t="shared" si="13"/>
        <v>100</v>
      </c>
      <c r="V35" s="4299" t="s">
        <v>13</v>
      </c>
      <c r="W35" s="3602">
        <f t="shared" si="14"/>
        <v>100</v>
      </c>
      <c r="X35" s="1002"/>
      <c r="Y35" s="4788"/>
      <c r="Z35" s="1003" t="str">
        <f t="shared" si="15"/>
        <v>公共部分装修</v>
      </c>
      <c r="AA35" s="1000">
        <f t="shared" si="3"/>
        <v>1</v>
      </c>
      <c r="AB35" s="1000">
        <f t="shared" si="4"/>
        <v>1</v>
      </c>
      <c r="AC35" s="1000">
        <f t="shared" si="5"/>
        <v>1</v>
      </c>
    </row>
    <row r="36" spans="1:29" ht="15">
      <c r="A36" s="287"/>
      <c r="B36" s="3169" t="s">
        <v>1704</v>
      </c>
      <c r="C36" s="3210"/>
      <c r="D36" s="3273">
        <v>100</v>
      </c>
      <c r="E36" s="3210"/>
      <c r="F36" s="4292" t="e">
        <f>LOOKUP(E36,110:110,111:111)-LOOKUP(C36,110:110,111:111)+100</f>
        <v>#N/A</v>
      </c>
      <c r="G36" s="3210"/>
      <c r="H36" s="4292" t="e">
        <f>LOOKUP(G36,110:110,111:111)-LOOKUP(C36,110:110,111:111)+100</f>
        <v>#N/A</v>
      </c>
      <c r="I36" s="3210"/>
      <c r="J36" s="4289" t="e">
        <f>LOOKUP(I36,110:110,111:111)-LOOKUP(C36,110:110,111:111)+100</f>
        <v>#N/A</v>
      </c>
      <c r="K36" s="3240"/>
      <c r="L36" s="2204"/>
      <c r="M36" s="2198"/>
      <c r="N36" s="2198"/>
      <c r="O36" s="2198"/>
      <c r="P36" s="4786"/>
      <c r="Q36" s="1658" t="str">
        <f t="shared" si="11"/>
        <v>成新度</v>
      </c>
      <c r="R36" s="4299" t="s">
        <v>13</v>
      </c>
      <c r="S36" s="3602" t="e">
        <f t="shared" si="12"/>
        <v>#N/A</v>
      </c>
      <c r="T36" s="4299" t="s">
        <v>13</v>
      </c>
      <c r="U36" s="3602" t="e">
        <f t="shared" si="13"/>
        <v>#N/A</v>
      </c>
      <c r="V36" s="4299" t="s">
        <v>13</v>
      </c>
      <c r="W36" s="3602" t="e">
        <f t="shared" si="14"/>
        <v>#N/A</v>
      </c>
      <c r="X36" s="1002"/>
      <c r="Y36" s="4788"/>
      <c r="Z36" s="1003" t="str">
        <f t="shared" si="15"/>
        <v>成新度</v>
      </c>
      <c r="AA36" s="1000" t="e">
        <f t="shared" si="3"/>
        <v>#N/A</v>
      </c>
      <c r="AB36" s="1000" t="e">
        <f t="shared" si="4"/>
        <v>#N/A</v>
      </c>
      <c r="AC36" s="1000" t="e">
        <f t="shared" si="5"/>
        <v>#N/A</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86"/>
      <c r="Q37" s="3167" t="str">
        <f t="shared" si="11"/>
        <v>市政基础设施</v>
      </c>
      <c r="R37" s="4173" t="s">
        <v>13</v>
      </c>
      <c r="S37" s="3601">
        <f t="shared" si="12"/>
        <v>100</v>
      </c>
      <c r="T37" s="4173" t="s">
        <v>13</v>
      </c>
      <c r="U37" s="3601">
        <f t="shared" si="13"/>
        <v>100</v>
      </c>
      <c r="V37" s="4173" t="s">
        <v>13</v>
      </c>
      <c r="W37" s="3601">
        <f t="shared" si="14"/>
        <v>100</v>
      </c>
      <c r="X37" s="515"/>
      <c r="Y37" s="4788"/>
      <c r="Z37" s="28" t="str">
        <f t="shared" si="15"/>
        <v>市政基础设施</v>
      </c>
      <c r="AA37" s="516">
        <f t="shared" si="3"/>
        <v>1</v>
      </c>
      <c r="AB37" s="516">
        <f t="shared" si="4"/>
        <v>1</v>
      </c>
      <c r="AC37" s="516">
        <f t="shared" si="5"/>
        <v>1</v>
      </c>
    </row>
    <row r="38" spans="1:29" ht="15">
      <c r="A38" s="287"/>
      <c r="B38" s="3169" t="s">
        <v>1706</v>
      </c>
      <c r="C38" s="3209"/>
      <c r="D38" s="3273">
        <v>100</v>
      </c>
      <c r="E38" s="3209"/>
      <c r="F38" s="4292">
        <f>SUMIF(114:114,E38,115:115)-SUMIF(114:114,C38,115:115)+100</f>
        <v>100</v>
      </c>
      <c r="G38" s="3209"/>
      <c r="H38" s="4289">
        <f>SUMIF(114:114,G38,115:115)-SUMIF(114:114,C38,115:115)+100</f>
        <v>100</v>
      </c>
      <c r="I38" s="3209"/>
      <c r="J38" s="4289">
        <f>SUMIF(114:114,I38,115:115)-SUMIF(114:114,C38,115:115)+100</f>
        <v>100</v>
      </c>
      <c r="K38" s="3240"/>
      <c r="L38" s="2204"/>
      <c r="M38" s="2198"/>
      <c r="N38" s="2198"/>
      <c r="O38" s="2198"/>
      <c r="P38" s="4786" t="s">
        <v>1614</v>
      </c>
      <c r="Q38" s="1658" t="str">
        <f t="shared" si="11"/>
        <v>业态</v>
      </c>
      <c r="R38" s="4299" t="s">
        <v>13</v>
      </c>
      <c r="S38" s="3602">
        <f t="shared" si="12"/>
        <v>100</v>
      </c>
      <c r="T38" s="4299" t="s">
        <v>13</v>
      </c>
      <c r="U38" s="3602">
        <f t="shared" si="13"/>
        <v>100</v>
      </c>
      <c r="V38" s="4299" t="s">
        <v>13</v>
      </c>
      <c r="W38" s="3602">
        <f t="shared" si="14"/>
        <v>100</v>
      </c>
      <c r="X38" s="1002"/>
      <c r="Y38" s="4788" t="s">
        <v>1614</v>
      </c>
      <c r="Z38" s="1003" t="str">
        <f t="shared" si="15"/>
        <v>业态</v>
      </c>
      <c r="AA38" s="1000">
        <f t="shared" si="3"/>
        <v>1</v>
      </c>
      <c r="AB38" s="1000">
        <f t="shared" si="4"/>
        <v>1</v>
      </c>
      <c r="AC38" s="1000">
        <f t="shared" si="5"/>
        <v>1</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86"/>
      <c r="Q39" s="1658" t="str">
        <f t="shared" si="11"/>
        <v>层高</v>
      </c>
      <c r="R39" s="4299" t="s">
        <v>13</v>
      </c>
      <c r="S39" s="3602">
        <f t="shared" si="12"/>
        <v>100</v>
      </c>
      <c r="T39" s="4299" t="s">
        <v>13</v>
      </c>
      <c r="U39" s="3602">
        <f t="shared" si="13"/>
        <v>100</v>
      </c>
      <c r="V39" s="4299" t="s">
        <v>13</v>
      </c>
      <c r="W39" s="3602">
        <f t="shared" si="14"/>
        <v>100</v>
      </c>
      <c r="X39" s="1002"/>
      <c r="Y39" s="4788"/>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86"/>
      <c r="Q40" s="1658" t="str">
        <f t="shared" si="11"/>
        <v>单套建筑面积</v>
      </c>
      <c r="R40" s="4299" t="s">
        <v>13</v>
      </c>
      <c r="S40" s="3602">
        <f t="shared" si="12"/>
        <v>100</v>
      </c>
      <c r="T40" s="4299" t="s">
        <v>13</v>
      </c>
      <c r="U40" s="3602">
        <f t="shared" si="13"/>
        <v>100</v>
      </c>
      <c r="V40" s="4299" t="s">
        <v>13</v>
      </c>
      <c r="W40" s="3602">
        <f t="shared" si="14"/>
        <v>100</v>
      </c>
      <c r="X40" s="1002"/>
      <c r="Y40" s="4788"/>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86"/>
      <c r="Q41" s="3247" t="str">
        <f t="shared" si="11"/>
        <v>进深比</v>
      </c>
      <c r="R41" s="4300" t="s">
        <v>13</v>
      </c>
      <c r="S41" s="3603">
        <f t="shared" si="12"/>
        <v>100</v>
      </c>
      <c r="T41" s="4300" t="s">
        <v>13</v>
      </c>
      <c r="U41" s="3603">
        <f t="shared" si="13"/>
        <v>100</v>
      </c>
      <c r="V41" s="4300" t="s">
        <v>13</v>
      </c>
      <c r="W41" s="3603">
        <f t="shared" si="14"/>
        <v>100</v>
      </c>
      <c r="X41" s="518"/>
      <c r="Y41" s="4788"/>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86"/>
      <c r="Q42" s="1658" t="str">
        <f t="shared" si="11"/>
        <v>内部装修</v>
      </c>
      <c r="R42" s="4299" t="s">
        <v>13</v>
      </c>
      <c r="S42" s="3602">
        <f t="shared" si="12"/>
        <v>100</v>
      </c>
      <c r="T42" s="4299" t="s">
        <v>13</v>
      </c>
      <c r="U42" s="3602">
        <f t="shared" si="13"/>
        <v>100</v>
      </c>
      <c r="V42" s="4299" t="s">
        <v>13</v>
      </c>
      <c r="W42" s="3602">
        <f t="shared" si="14"/>
        <v>100</v>
      </c>
      <c r="X42" s="1002"/>
      <c r="Y42" s="4788"/>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86"/>
      <c r="Q43" s="1658" t="str">
        <f t="shared" si="11"/>
        <v>内部装修维护情况</v>
      </c>
      <c r="R43" s="4299" t="s">
        <v>13</v>
      </c>
      <c r="S43" s="3602">
        <f t="shared" si="12"/>
        <v>100</v>
      </c>
      <c r="T43" s="4299" t="s">
        <v>13</v>
      </c>
      <c r="U43" s="3602">
        <f t="shared" si="13"/>
        <v>100</v>
      </c>
      <c r="V43" s="4299" t="s">
        <v>13</v>
      </c>
      <c r="W43" s="3602">
        <f t="shared" si="14"/>
        <v>100</v>
      </c>
      <c r="X43" s="1002"/>
      <c r="Y43" s="4788"/>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86"/>
      <c r="Q44" s="3167">
        <f t="shared" si="11"/>
        <v>111</v>
      </c>
      <c r="R44" s="4173" t="s">
        <v>13</v>
      </c>
      <c r="S44" s="3601">
        <f t="shared" si="12"/>
        <v>100</v>
      </c>
      <c r="T44" s="4173" t="s">
        <v>13</v>
      </c>
      <c r="U44" s="3601">
        <f t="shared" si="13"/>
        <v>100</v>
      </c>
      <c r="V44" s="4173" t="s">
        <v>13</v>
      </c>
      <c r="W44" s="3601">
        <f t="shared" si="14"/>
        <v>100</v>
      </c>
      <c r="X44" s="515"/>
      <c r="Y44" s="4788"/>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86"/>
      <c r="Q45" s="1658">
        <f t="shared" si="11"/>
        <v>111</v>
      </c>
      <c r="R45" s="4299" t="s">
        <v>13</v>
      </c>
      <c r="S45" s="3602">
        <f t="shared" si="12"/>
        <v>100</v>
      </c>
      <c r="T45" s="4299" t="s">
        <v>13</v>
      </c>
      <c r="U45" s="3602">
        <f t="shared" si="13"/>
        <v>100</v>
      </c>
      <c r="V45" s="4299" t="s">
        <v>13</v>
      </c>
      <c r="W45" s="3602">
        <f t="shared" si="14"/>
        <v>100</v>
      </c>
      <c r="X45" s="1002"/>
      <c r="Y45" s="4788"/>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87"/>
      <c r="Q46" s="1658">
        <f t="shared" si="11"/>
        <v>111</v>
      </c>
      <c r="R46" s="4299" t="s">
        <v>13</v>
      </c>
      <c r="S46" s="3602">
        <f t="shared" si="12"/>
        <v>100</v>
      </c>
      <c r="T46" s="4299" t="s">
        <v>13</v>
      </c>
      <c r="U46" s="3602">
        <f t="shared" si="13"/>
        <v>100</v>
      </c>
      <c r="V46" s="4299" t="s">
        <v>13</v>
      </c>
      <c r="W46" s="3602">
        <f t="shared" si="14"/>
        <v>100</v>
      </c>
      <c r="X46" s="1002"/>
      <c r="Y46" s="4789"/>
      <c r="Z46" s="1003">
        <f t="shared" si="15"/>
        <v>111</v>
      </c>
      <c r="AA46" s="1000">
        <f t="shared" si="3"/>
        <v>1</v>
      </c>
      <c r="AB46" s="1000">
        <f t="shared" si="4"/>
        <v>1</v>
      </c>
      <c r="AC46" s="1000">
        <f t="shared" si="5"/>
        <v>1</v>
      </c>
    </row>
    <row r="47" spans="1:29" ht="15">
      <c r="A47" s="293" t="s">
        <v>1626</v>
      </c>
      <c r="B47" s="294"/>
      <c r="C47" s="844" t="s">
        <v>0</v>
      </c>
      <c r="D47" s="845"/>
      <c r="E47" s="3667"/>
      <c r="F47" s="3669"/>
      <c r="G47" s="3668"/>
      <c r="H47" s="3670"/>
      <c r="I47" s="3667"/>
      <c r="J47" s="3670"/>
      <c r="K47" s="3245"/>
      <c r="L47" s="2206"/>
      <c r="M47" s="2207"/>
      <c r="N47" s="2198"/>
      <c r="O47" s="2207"/>
      <c r="P47" s="4781" t="str">
        <f>A47</f>
        <v>成交单价（元/平方米）</v>
      </c>
      <c r="Q47" s="4781"/>
      <c r="R47" s="4782">
        <f>E47</f>
        <v>0</v>
      </c>
      <c r="S47" s="4782"/>
      <c r="T47" s="4782">
        <f>G47</f>
        <v>0</v>
      </c>
      <c r="U47" s="4782"/>
      <c r="V47" s="4782">
        <f>I47</f>
        <v>0</v>
      </c>
      <c r="W47" s="4782"/>
      <c r="X47" s="504"/>
      <c r="Y47" s="520"/>
      <c r="Z47" s="504"/>
      <c r="AA47" s="504"/>
      <c r="AB47" s="504"/>
      <c r="AC47" s="504"/>
    </row>
    <row r="48" spans="1:29" ht="15.75" thickBot="1">
      <c r="A48" s="296" t="s">
        <v>1711</v>
      </c>
      <c r="B48" s="297"/>
      <c r="C48" s="4297" t="e">
        <f>R49</f>
        <v>#DIV/0!</v>
      </c>
      <c r="D48" s="4469" t="s">
        <v>2054</v>
      </c>
      <c r="E48" s="4308" t="e">
        <f>R48</f>
        <v>#DIV/0!</v>
      </c>
      <c r="F48" s="3183"/>
      <c r="G48" s="4297" t="e">
        <f>T48</f>
        <v>#DIV/0!</v>
      </c>
      <c r="H48" s="3183"/>
      <c r="I48" s="4308" t="e">
        <f>V48</f>
        <v>#DIV/0!</v>
      </c>
      <c r="J48" s="3183"/>
      <c r="K48" s="3238">
        <f>F48+H48+J48</f>
        <v>0</v>
      </c>
      <c r="L48" s="2206"/>
      <c r="M48" s="2207"/>
      <c r="N48" s="2198"/>
      <c r="O48" s="2207"/>
      <c r="P48" s="4781" t="str">
        <f>A48</f>
        <v>比较价值（元/平方米）</v>
      </c>
      <c r="Q48" s="4781"/>
      <c r="R48" s="4782" t="e">
        <f>IF(F1="售价",ROUND(PRODUCT(R47,AA7:AA46),0),ROUND(PRODUCT(R47,AA7:AA46),1))</f>
        <v>#DIV/0!</v>
      </c>
      <c r="S48" s="4782"/>
      <c r="T48" s="4782" t="e">
        <f>IF(F1="售价",ROUND(PRODUCT(T47,AB7:AB46),0),ROUND(PRODUCT(T47,AB7:AB46),1))</f>
        <v>#DIV/0!</v>
      </c>
      <c r="U48" s="4782"/>
      <c r="V48" s="4782" t="e">
        <f>IF(F1="售价",ROUND(PRODUCT(V47,AC7:AC46),0),ROUND(PRODUCT(V47,AC7:AC46),1))</f>
        <v>#DIV/0!</v>
      </c>
      <c r="W48" s="4782"/>
      <c r="X48" s="504"/>
      <c r="Y48" s="504"/>
      <c r="Z48" s="504"/>
      <c r="AA48" s="504"/>
      <c r="AB48" s="504"/>
      <c r="AC48" s="504"/>
    </row>
    <row r="49" spans="1:29" ht="15.75" thickBot="1">
      <c r="A49" s="298" t="s">
        <v>1712</v>
      </c>
      <c r="B49" s="299"/>
      <c r="C49" s="4309" t="e">
        <f>R49</f>
        <v>#DIV/0!</v>
      </c>
      <c r="D49" s="848"/>
      <c r="E49" s="848"/>
      <c r="F49" s="848"/>
      <c r="G49" s="848"/>
      <c r="H49" s="848"/>
      <c r="I49" s="848"/>
      <c r="J49" s="848"/>
      <c r="K49" s="522"/>
      <c r="L49" s="2206"/>
      <c r="M49" s="2207"/>
      <c r="N49" s="2198"/>
      <c r="O49" s="2207"/>
      <c r="P49" s="4778" t="str">
        <f>A49</f>
        <v>估价对象XX用房的比较价值（楼面单价，元/平方米）</v>
      </c>
      <c r="Q49" s="4779"/>
      <c r="R49" s="4780" t="e">
        <f>IF(F1="售价",ROUND(IF(D48="简单平均",AVERAGE(R48:V48),R48*F48+T48*H48+V48*J48),0),ROUND(IF(D48="简单平均",AVERAGE(R48:V48),R48*F48+T48*H48+V48*J48),1))</f>
        <v>#DIV/0!</v>
      </c>
      <c r="S49" s="4780"/>
      <c r="T49" s="4780"/>
      <c r="U49" s="4780"/>
      <c r="V49" s="4780"/>
      <c r="W49" s="4780"/>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327"/>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f>C9</f>
        <v>0</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c r="D92" s="357"/>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c r="D93" s="339"/>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c r="D103" s="395"/>
      <c r="E103" s="395"/>
      <c r="F103" s="395"/>
      <c r="G103" s="395"/>
      <c r="H103" s="395"/>
      <c r="I103" s="395"/>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c r="D104" s="339"/>
      <c r="E104" s="339"/>
      <c r="F104" s="339"/>
      <c r="G104" s="339"/>
      <c r="H104" s="339"/>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357"/>
      <c r="D114" s="357"/>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18">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估价对象为北京市房地产，为所有。根据《国有土地使用证》[]，估价对象（分摊）出让国有建设用地使用权面积为15789.4平方米，建筑面积为11046.05平方米。</v>
      </c>
    </row>
    <row r="8" spans="1:1" ht="57.75">
      <c r="A8" s="1128" t="s">
        <v>888</v>
      </c>
    </row>
    <row r="9" spans="1:1" ht="18.75">
      <c r="A9" s="1127" t="s">
        <v>889</v>
      </c>
    </row>
    <row r="10" spans="1:1" ht="18">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估价对象为北京市房地产,属开发建设的工业项目，该项目尚在开发建设中。根据《国有土地使用证》[]，估价对象（分摊）出让国有建设用地使用权面积为15789.4平方米，规划建筑面积为11046.05平方米。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11046.05</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07" t="s">
        <v>1688</v>
      </c>
      <c r="D4" s="4808"/>
      <c r="E4" s="4809" t="s">
        <v>1689</v>
      </c>
      <c r="F4" s="4810"/>
      <c r="G4" s="4807" t="s">
        <v>1690</v>
      </c>
      <c r="H4" s="4808"/>
      <c r="I4" s="4807" t="s">
        <v>1691</v>
      </c>
      <c r="J4" s="4808"/>
      <c r="K4" s="410" t="s">
        <v>1692</v>
      </c>
      <c r="L4" s="2197"/>
      <c r="M4" s="2198"/>
      <c r="N4" s="2198"/>
      <c r="O4" s="2198"/>
      <c r="P4" s="4811" t="s">
        <v>1693</v>
      </c>
      <c r="Q4" s="4812"/>
      <c r="R4" s="4794" t="s">
        <v>1689</v>
      </c>
      <c r="S4" s="4795"/>
      <c r="T4" s="4794" t="s">
        <v>1690</v>
      </c>
      <c r="U4" s="4795"/>
      <c r="V4" s="4815" t="s">
        <v>1691</v>
      </c>
      <c r="W4" s="4815"/>
      <c r="X4" s="1556"/>
      <c r="Y4" s="4817" t="s">
        <v>1693</v>
      </c>
      <c r="Z4" s="4818"/>
      <c r="AA4" s="4793" t="s">
        <v>1689</v>
      </c>
      <c r="AB4" s="4793" t="s">
        <v>1690</v>
      </c>
      <c r="AC4" s="4804" t="s">
        <v>1691</v>
      </c>
    </row>
    <row r="5" spans="1:29" ht="15">
      <c r="A5" s="245"/>
      <c r="B5" s="246"/>
      <c r="C5" s="4798" t="s">
        <v>1591</v>
      </c>
      <c r="D5" s="4799"/>
      <c r="E5" s="4796" t="s">
        <v>1592</v>
      </c>
      <c r="F5" s="4797"/>
      <c r="G5" s="4798" t="s">
        <v>1593</v>
      </c>
      <c r="H5" s="4799"/>
      <c r="I5" s="4798" t="s">
        <v>1594</v>
      </c>
      <c r="J5" s="4799"/>
      <c r="K5" s="410"/>
      <c r="L5" s="2197"/>
      <c r="M5" s="2198"/>
      <c r="N5" s="2198"/>
      <c r="O5" s="2198"/>
      <c r="P5" s="4813"/>
      <c r="Q5" s="4763"/>
      <c r="R5" s="4744"/>
      <c r="S5" s="4745"/>
      <c r="T5" s="4744"/>
      <c r="U5" s="4745"/>
      <c r="V5" s="4768"/>
      <c r="W5" s="4768"/>
      <c r="X5" s="1002"/>
      <c r="Y5" s="4773"/>
      <c r="Z5" s="4774"/>
      <c r="AA5" s="4738"/>
      <c r="AB5" s="4738"/>
      <c r="AC5" s="4805"/>
    </row>
    <row r="6" spans="1:29" ht="15.75" thickBot="1">
      <c r="A6" s="247"/>
      <c r="B6" s="248"/>
      <c r="C6" s="4800" t="s">
        <v>1595</v>
      </c>
      <c r="D6" s="4801"/>
      <c r="E6" s="4802" t="s">
        <v>1595</v>
      </c>
      <c r="F6" s="4803"/>
      <c r="G6" s="4800" t="s">
        <v>1595</v>
      </c>
      <c r="H6" s="4801"/>
      <c r="I6" s="4800" t="s">
        <v>1595</v>
      </c>
      <c r="J6" s="4801"/>
      <c r="K6" s="410" t="s">
        <v>1596</v>
      </c>
      <c r="L6" s="2197"/>
      <c r="M6" s="2198"/>
      <c r="N6" s="2198"/>
      <c r="O6" s="2198"/>
      <c r="P6" s="4814"/>
      <c r="Q6" s="4765"/>
      <c r="R6" s="4744"/>
      <c r="S6" s="4745"/>
      <c r="T6" s="4766"/>
      <c r="U6" s="4767"/>
      <c r="V6" s="4768"/>
      <c r="W6" s="4768"/>
      <c r="X6" s="1002"/>
      <c r="Y6" s="4775"/>
      <c r="Z6" s="4776"/>
      <c r="AA6" s="4739"/>
      <c r="AB6" s="4739"/>
      <c r="AC6" s="4806"/>
    </row>
    <row r="7" spans="1:29" s="49" customFormat="1" ht="15.75" thickBot="1">
      <c r="A7" s="249" t="s">
        <v>1597</v>
      </c>
      <c r="B7" s="250"/>
      <c r="C7" s="251">
        <f>'数据-取费表'!B2</f>
        <v>46041</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16" t="s">
        <v>1598</v>
      </c>
      <c r="Q7" s="4777"/>
      <c r="R7" s="4173" t="s">
        <v>13</v>
      </c>
      <c r="S7" s="3601">
        <f t="shared" ref="S7:S15" si="0">F7</f>
        <v>0</v>
      </c>
      <c r="T7" s="4173" t="s">
        <v>13</v>
      </c>
      <c r="U7" s="3601">
        <f t="shared" ref="U7:U15" si="1">H7</f>
        <v>0</v>
      </c>
      <c r="V7" s="4173" t="s">
        <v>13</v>
      </c>
      <c r="W7" s="3601">
        <f t="shared" ref="W7:W15" si="2">J7</f>
        <v>0</v>
      </c>
      <c r="X7" s="515"/>
      <c r="Y7" s="4740" t="s">
        <v>1598</v>
      </c>
      <c r="Z7" s="4741"/>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16" t="s">
        <v>1601</v>
      </c>
      <c r="Q8" s="4770"/>
      <c r="R8" s="4173" t="s">
        <v>13</v>
      </c>
      <c r="S8" s="3601">
        <f t="shared" si="0"/>
        <v>100</v>
      </c>
      <c r="T8" s="4173" t="s">
        <v>13</v>
      </c>
      <c r="U8" s="3601">
        <f t="shared" si="1"/>
        <v>100</v>
      </c>
      <c r="V8" s="4173" t="s">
        <v>13</v>
      </c>
      <c r="W8" s="3601">
        <f t="shared" si="2"/>
        <v>100</v>
      </c>
      <c r="X8" s="515"/>
      <c r="Y8" s="4740" t="s">
        <v>1601</v>
      </c>
      <c r="Z8" s="4741"/>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54" t="s">
        <v>1604</v>
      </c>
      <c r="Q9" s="3458" t="str">
        <f t="shared" ref="Q9:Q15" si="6">B9</f>
        <v>用途</v>
      </c>
      <c r="R9" s="4173" t="s">
        <v>13</v>
      </c>
      <c r="S9" s="3601">
        <f t="shared" si="0"/>
        <v>100</v>
      </c>
      <c r="T9" s="4173" t="s">
        <v>13</v>
      </c>
      <c r="U9" s="3601">
        <f t="shared" si="1"/>
        <v>100</v>
      </c>
      <c r="V9" s="4173" t="s">
        <v>13</v>
      </c>
      <c r="W9" s="3601">
        <f t="shared" si="2"/>
        <v>100</v>
      </c>
      <c r="X9" s="515"/>
      <c r="Y9" s="4755"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54"/>
      <c r="Q10" s="3458" t="str">
        <f t="shared" si="6"/>
        <v>土地使用年限（年）</v>
      </c>
      <c r="R10" s="4173" t="s">
        <v>13</v>
      </c>
      <c r="S10" s="3601">
        <f t="shared" si="0"/>
        <v>100</v>
      </c>
      <c r="T10" s="4173" t="s">
        <v>13</v>
      </c>
      <c r="U10" s="3601">
        <f t="shared" si="1"/>
        <v>100</v>
      </c>
      <c r="V10" s="4173" t="s">
        <v>13</v>
      </c>
      <c r="W10" s="3601">
        <f t="shared" si="2"/>
        <v>100</v>
      </c>
      <c r="X10" s="515"/>
      <c r="Y10" s="4755"/>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54"/>
      <c r="Q11" s="3458" t="str">
        <f t="shared" si="6"/>
        <v>容积率</v>
      </c>
      <c r="R11" s="4173" t="s">
        <v>13</v>
      </c>
      <c r="S11" s="3601">
        <f t="shared" si="0"/>
        <v>100</v>
      </c>
      <c r="T11" s="4173" t="s">
        <v>13</v>
      </c>
      <c r="U11" s="3601">
        <f t="shared" si="1"/>
        <v>100</v>
      </c>
      <c r="V11" s="4173" t="s">
        <v>13</v>
      </c>
      <c r="W11" s="3601">
        <f t="shared" si="2"/>
        <v>100</v>
      </c>
      <c r="X11" s="515"/>
      <c r="Y11" s="4755"/>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54"/>
      <c r="Q12" s="3458">
        <f t="shared" si="6"/>
        <v>111</v>
      </c>
      <c r="R12" s="4173" t="s">
        <v>13</v>
      </c>
      <c r="S12" s="3601">
        <f t="shared" si="0"/>
        <v>100</v>
      </c>
      <c r="T12" s="4173" t="s">
        <v>13</v>
      </c>
      <c r="U12" s="3601">
        <f t="shared" si="1"/>
        <v>100</v>
      </c>
      <c r="V12" s="4173" t="s">
        <v>13</v>
      </c>
      <c r="W12" s="3601">
        <f t="shared" si="2"/>
        <v>100</v>
      </c>
      <c r="X12" s="515"/>
      <c r="Y12" s="4755"/>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54"/>
      <c r="Q13" s="3458">
        <f t="shared" si="6"/>
        <v>111</v>
      </c>
      <c r="R13" s="4173" t="s">
        <v>13</v>
      </c>
      <c r="S13" s="3601">
        <f t="shared" si="0"/>
        <v>100</v>
      </c>
      <c r="T13" s="4173" t="s">
        <v>13</v>
      </c>
      <c r="U13" s="3601">
        <f t="shared" si="1"/>
        <v>100</v>
      </c>
      <c r="V13" s="4173" t="s">
        <v>13</v>
      </c>
      <c r="W13" s="3601">
        <f t="shared" si="2"/>
        <v>100</v>
      </c>
      <c r="X13" s="515"/>
      <c r="Y13" s="4755"/>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54"/>
      <c r="Q14" s="3458">
        <f t="shared" si="6"/>
        <v>111</v>
      </c>
      <c r="R14" s="4173" t="s">
        <v>13</v>
      </c>
      <c r="S14" s="3601">
        <f t="shared" si="0"/>
        <v>100</v>
      </c>
      <c r="T14" s="4173" t="s">
        <v>13</v>
      </c>
      <c r="U14" s="3601">
        <f t="shared" si="1"/>
        <v>100</v>
      </c>
      <c r="V14" s="4173" t="s">
        <v>13</v>
      </c>
      <c r="W14" s="3601">
        <f t="shared" si="2"/>
        <v>100</v>
      </c>
      <c r="X14" s="515"/>
      <c r="Y14" s="4755"/>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90" t="s">
        <v>1609</v>
      </c>
      <c r="Q15" s="3461" t="str">
        <f t="shared" si="6"/>
        <v>办公集聚程度</v>
      </c>
      <c r="R15" s="4299" t="s">
        <v>13</v>
      </c>
      <c r="S15" s="3602">
        <f t="shared" si="0"/>
        <v>100</v>
      </c>
      <c r="T15" s="4299" t="s">
        <v>13</v>
      </c>
      <c r="U15" s="3602">
        <f t="shared" si="1"/>
        <v>100</v>
      </c>
      <c r="V15" s="4299" t="s">
        <v>13</v>
      </c>
      <c r="W15" s="3602">
        <f t="shared" si="2"/>
        <v>100</v>
      </c>
      <c r="X15" s="1002"/>
      <c r="Y15" s="4783"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91"/>
      <c r="Q16" s="3461"/>
      <c r="R16" s="4299"/>
      <c r="S16" s="3602"/>
      <c r="T16" s="4299"/>
      <c r="U16" s="3602"/>
      <c r="V16" s="4299"/>
      <c r="W16" s="3602"/>
      <c r="X16" s="1002"/>
      <c r="Y16" s="4784"/>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91"/>
      <c r="Q17" s="3461" t="str">
        <f>B17</f>
        <v>交通便捷度</v>
      </c>
      <c r="R17" s="4299" t="s">
        <v>13</v>
      </c>
      <c r="S17" s="3602">
        <f>F17</f>
        <v>100</v>
      </c>
      <c r="T17" s="4299" t="s">
        <v>13</v>
      </c>
      <c r="U17" s="3602">
        <f>H17</f>
        <v>100</v>
      </c>
      <c r="V17" s="4299" t="s">
        <v>13</v>
      </c>
      <c r="W17" s="3602">
        <f>J17</f>
        <v>100</v>
      </c>
      <c r="X17" s="1002"/>
      <c r="Y17" s="4784"/>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91"/>
      <c r="Q18" s="3461"/>
      <c r="R18" s="4299"/>
      <c r="S18" s="3602"/>
      <c r="T18" s="4299"/>
      <c r="U18" s="3602"/>
      <c r="V18" s="4299"/>
      <c r="W18" s="3602"/>
      <c r="X18" s="1002"/>
      <c r="Y18" s="4784"/>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91"/>
      <c r="Q19" s="3461" t="str">
        <f>B19</f>
        <v>公共配套设施</v>
      </c>
      <c r="R19" s="4299" t="s">
        <v>13</v>
      </c>
      <c r="S19" s="3602">
        <f>F19</f>
        <v>100</v>
      </c>
      <c r="T19" s="4299" t="s">
        <v>13</v>
      </c>
      <c r="U19" s="3602">
        <f>H19</f>
        <v>100</v>
      </c>
      <c r="V19" s="4299" t="s">
        <v>13</v>
      </c>
      <c r="W19" s="3602">
        <f>J19</f>
        <v>100</v>
      </c>
      <c r="X19" s="1002"/>
      <c r="Y19" s="4784"/>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91"/>
      <c r="Q20" s="3461"/>
      <c r="R20" s="4299"/>
      <c r="S20" s="3602"/>
      <c r="T20" s="4299"/>
      <c r="U20" s="3602"/>
      <c r="V20" s="4299"/>
      <c r="W20" s="3602"/>
      <c r="X20" s="1002"/>
      <c r="Y20" s="4784"/>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91"/>
      <c r="Q21" s="3461" t="str">
        <f>B21</f>
        <v>基础设施水平</v>
      </c>
      <c r="R21" s="4299" t="s">
        <v>13</v>
      </c>
      <c r="S21" s="3602">
        <f>F21</f>
        <v>100</v>
      </c>
      <c r="T21" s="4299" t="s">
        <v>13</v>
      </c>
      <c r="U21" s="3602">
        <f>H21</f>
        <v>100</v>
      </c>
      <c r="V21" s="4299" t="s">
        <v>13</v>
      </c>
      <c r="W21" s="3602">
        <f>J21</f>
        <v>100</v>
      </c>
      <c r="X21" s="1002"/>
      <c r="Y21" s="4784"/>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91"/>
      <c r="Q22" s="3461"/>
      <c r="R22" s="4299"/>
      <c r="S22" s="3602"/>
      <c r="T22" s="4299"/>
      <c r="U22" s="3602"/>
      <c r="V22" s="4299"/>
      <c r="W22" s="3602"/>
      <c r="X22" s="1002"/>
      <c r="Y22" s="4784"/>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91"/>
      <c r="Q23" s="3461" t="str">
        <f>B23</f>
        <v>环境质量</v>
      </c>
      <c r="R23" s="4299" t="s">
        <v>13</v>
      </c>
      <c r="S23" s="3602">
        <f>F23</f>
        <v>100</v>
      </c>
      <c r="T23" s="4299" t="s">
        <v>13</v>
      </c>
      <c r="U23" s="3602">
        <f>H23</f>
        <v>100</v>
      </c>
      <c r="V23" s="4299" t="s">
        <v>13</v>
      </c>
      <c r="W23" s="3602">
        <f>J23</f>
        <v>100</v>
      </c>
      <c r="X23" s="1002"/>
      <c r="Y23" s="4784"/>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91"/>
      <c r="Q24" s="3461"/>
      <c r="R24" s="4299"/>
      <c r="S24" s="3602"/>
      <c r="T24" s="4299"/>
      <c r="U24" s="3602"/>
      <c r="V24" s="4299"/>
      <c r="W24" s="3602"/>
      <c r="X24" s="1002"/>
      <c r="Y24" s="4784"/>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91"/>
      <c r="Q25" s="3461" t="str">
        <f>B25</f>
        <v>毗邻道路的类型与等级</v>
      </c>
      <c r="R25" s="4299" t="s">
        <v>13</v>
      </c>
      <c r="S25" s="3602">
        <f>F25</f>
        <v>100</v>
      </c>
      <c r="T25" s="4299" t="s">
        <v>13</v>
      </c>
      <c r="U25" s="3602">
        <f>H25</f>
        <v>100</v>
      </c>
      <c r="V25" s="4299" t="s">
        <v>13</v>
      </c>
      <c r="W25" s="3602">
        <f>J25</f>
        <v>100</v>
      </c>
      <c r="X25" s="1002"/>
      <c r="Y25" s="4784"/>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91"/>
      <c r="Q26" s="3461"/>
      <c r="R26" s="4299"/>
      <c r="S26" s="3602"/>
      <c r="T26" s="4299"/>
      <c r="U26" s="3602"/>
      <c r="V26" s="4299"/>
      <c r="W26" s="3602"/>
      <c r="X26" s="1002"/>
      <c r="Y26" s="4784"/>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91"/>
      <c r="Q27" s="3461" t="str">
        <f t="shared" ref="Q27:Q47" si="11">B27</f>
        <v>楼层</v>
      </c>
      <c r="R27" s="4299" t="s">
        <v>13</v>
      </c>
      <c r="S27" s="3602">
        <f>F27</f>
        <v>100</v>
      </c>
      <c r="T27" s="4299" t="s">
        <v>13</v>
      </c>
      <c r="U27" s="3602">
        <f>H27</f>
        <v>100</v>
      </c>
      <c r="V27" s="4299" t="s">
        <v>13</v>
      </c>
      <c r="W27" s="3602">
        <f>J27</f>
        <v>100</v>
      </c>
      <c r="X27" s="1002"/>
      <c r="Y27" s="4784"/>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91"/>
      <c r="Q28" s="3458" t="str">
        <f t="shared" si="11"/>
        <v>朝向</v>
      </c>
      <c r="R28" s="4173" t="s">
        <v>13</v>
      </c>
      <c r="S28" s="3601">
        <f>F28</f>
        <v>100</v>
      </c>
      <c r="T28" s="4173" t="s">
        <v>13</v>
      </c>
      <c r="U28" s="3601">
        <f>H28</f>
        <v>100</v>
      </c>
      <c r="V28" s="4173" t="s">
        <v>13</v>
      </c>
      <c r="W28" s="3601">
        <f>J28</f>
        <v>100</v>
      </c>
      <c r="X28" s="515"/>
      <c r="Y28" s="4784"/>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91"/>
      <c r="Q29" s="3461">
        <f t="shared" si="11"/>
        <v>111</v>
      </c>
      <c r="R29" s="4299" t="s">
        <v>13</v>
      </c>
      <c r="S29" s="3602">
        <f t="shared" ref="S29:S47" si="12">F29</f>
        <v>100</v>
      </c>
      <c r="T29" s="4299" t="s">
        <v>13</v>
      </c>
      <c r="U29" s="3602">
        <f t="shared" ref="U29:U47" si="13">H29</f>
        <v>100</v>
      </c>
      <c r="V29" s="4299" t="s">
        <v>13</v>
      </c>
      <c r="W29" s="3602">
        <f t="shared" ref="W29:W47" si="14">J29</f>
        <v>100</v>
      </c>
      <c r="X29" s="1002"/>
      <c r="Y29" s="4784"/>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91"/>
      <c r="Q30" s="3461">
        <f t="shared" si="11"/>
        <v>111</v>
      </c>
      <c r="R30" s="4299" t="s">
        <v>13</v>
      </c>
      <c r="S30" s="3602">
        <f t="shared" si="12"/>
        <v>100</v>
      </c>
      <c r="T30" s="4299" t="s">
        <v>13</v>
      </c>
      <c r="U30" s="3602">
        <f t="shared" si="13"/>
        <v>100</v>
      </c>
      <c r="V30" s="4299" t="s">
        <v>13</v>
      </c>
      <c r="W30" s="3602">
        <f t="shared" si="14"/>
        <v>100</v>
      </c>
      <c r="X30" s="1002"/>
      <c r="Y30" s="4784"/>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91"/>
      <c r="Q31" s="3461">
        <f t="shared" si="11"/>
        <v>111</v>
      </c>
      <c r="R31" s="4299" t="s">
        <v>13</v>
      </c>
      <c r="S31" s="3602">
        <f t="shared" si="12"/>
        <v>100</v>
      </c>
      <c r="T31" s="4299" t="s">
        <v>13</v>
      </c>
      <c r="U31" s="3602">
        <f t="shared" si="13"/>
        <v>100</v>
      </c>
      <c r="V31" s="4299" t="s">
        <v>13</v>
      </c>
      <c r="W31" s="3602">
        <f t="shared" si="14"/>
        <v>100</v>
      </c>
      <c r="X31" s="1002"/>
      <c r="Y31" s="4784"/>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91"/>
      <c r="Q32" s="3461">
        <f t="shared" si="11"/>
        <v>111</v>
      </c>
      <c r="R32" s="4299" t="s">
        <v>13</v>
      </c>
      <c r="S32" s="3602">
        <f t="shared" si="12"/>
        <v>100</v>
      </c>
      <c r="T32" s="4299" t="s">
        <v>13</v>
      </c>
      <c r="U32" s="3602">
        <f t="shared" si="13"/>
        <v>100</v>
      </c>
      <c r="V32" s="4299" t="s">
        <v>13</v>
      </c>
      <c r="W32" s="3602">
        <f t="shared" si="14"/>
        <v>100</v>
      </c>
      <c r="X32" s="1002"/>
      <c r="Y32" s="4784"/>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85" t="s">
        <v>1614</v>
      </c>
      <c r="Q33" s="3461" t="str">
        <f t="shared" si="11"/>
        <v>建筑类型</v>
      </c>
      <c r="R33" s="4299" t="s">
        <v>13</v>
      </c>
      <c r="S33" s="3602">
        <f t="shared" si="12"/>
        <v>100</v>
      </c>
      <c r="T33" s="4299" t="s">
        <v>13</v>
      </c>
      <c r="U33" s="3602">
        <f t="shared" si="13"/>
        <v>100</v>
      </c>
      <c r="V33" s="4299" t="s">
        <v>13</v>
      </c>
      <c r="W33" s="3602">
        <f t="shared" si="14"/>
        <v>100</v>
      </c>
      <c r="X33" s="1002"/>
      <c r="Y33" s="4788"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86"/>
      <c r="Q34" s="3247" t="str">
        <f t="shared" si="11"/>
        <v>项目建筑规模</v>
      </c>
      <c r="R34" s="4300" t="s">
        <v>13</v>
      </c>
      <c r="S34" s="3603" t="e">
        <f t="shared" si="12"/>
        <v>#N/A</v>
      </c>
      <c r="T34" s="4300" t="s">
        <v>13</v>
      </c>
      <c r="U34" s="3603" t="e">
        <f t="shared" si="13"/>
        <v>#N/A</v>
      </c>
      <c r="V34" s="4300" t="s">
        <v>13</v>
      </c>
      <c r="W34" s="3603" t="e">
        <f t="shared" si="14"/>
        <v>#N/A</v>
      </c>
      <c r="X34" s="518"/>
      <c r="Y34" s="4788"/>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86"/>
      <c r="Q35" s="3461" t="str">
        <f t="shared" si="11"/>
        <v>建筑结构</v>
      </c>
      <c r="R35" s="4299" t="s">
        <v>13</v>
      </c>
      <c r="S35" s="3602">
        <f t="shared" si="12"/>
        <v>100</v>
      </c>
      <c r="T35" s="4299" t="s">
        <v>13</v>
      </c>
      <c r="U35" s="3602">
        <f t="shared" si="13"/>
        <v>100</v>
      </c>
      <c r="V35" s="4299" t="s">
        <v>13</v>
      </c>
      <c r="W35" s="3602">
        <f t="shared" si="14"/>
        <v>100</v>
      </c>
      <c r="X35" s="1002"/>
      <c r="Y35" s="4788"/>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86"/>
      <c r="Q36" s="3461" t="str">
        <f t="shared" si="11"/>
        <v>公共部分装修</v>
      </c>
      <c r="R36" s="4299" t="s">
        <v>13</v>
      </c>
      <c r="S36" s="3602">
        <f t="shared" si="12"/>
        <v>100</v>
      </c>
      <c r="T36" s="4299" t="s">
        <v>13</v>
      </c>
      <c r="U36" s="3602">
        <f t="shared" si="13"/>
        <v>100</v>
      </c>
      <c r="V36" s="4299" t="s">
        <v>13</v>
      </c>
      <c r="W36" s="3602">
        <f t="shared" si="14"/>
        <v>100</v>
      </c>
      <c r="X36" s="1002"/>
      <c r="Y36" s="4788"/>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86"/>
      <c r="Q37" s="3461" t="str">
        <f t="shared" si="11"/>
        <v>成新度</v>
      </c>
      <c r="R37" s="4299" t="s">
        <v>13</v>
      </c>
      <c r="S37" s="3602" t="e">
        <f t="shared" si="12"/>
        <v>#N/A</v>
      </c>
      <c r="T37" s="4299" t="s">
        <v>13</v>
      </c>
      <c r="U37" s="3602" t="e">
        <f t="shared" si="13"/>
        <v>#N/A</v>
      </c>
      <c r="V37" s="4299" t="s">
        <v>13</v>
      </c>
      <c r="W37" s="3602" t="e">
        <f t="shared" si="14"/>
        <v>#N/A</v>
      </c>
      <c r="X37" s="1002"/>
      <c r="Y37" s="4788"/>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86"/>
      <c r="Q38" s="3458" t="str">
        <f t="shared" si="11"/>
        <v>写字楼等级</v>
      </c>
      <c r="R38" s="4173" t="s">
        <v>13</v>
      </c>
      <c r="S38" s="3601">
        <f t="shared" si="12"/>
        <v>100</v>
      </c>
      <c r="T38" s="4173" t="s">
        <v>13</v>
      </c>
      <c r="U38" s="3601">
        <f t="shared" si="13"/>
        <v>100</v>
      </c>
      <c r="V38" s="4173" t="s">
        <v>13</v>
      </c>
      <c r="W38" s="3601">
        <f t="shared" si="14"/>
        <v>100</v>
      </c>
      <c r="X38" s="515"/>
      <c r="Y38" s="4788"/>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86" t="s">
        <v>1614</v>
      </c>
      <c r="Q39" s="3461" t="str">
        <f t="shared" si="11"/>
        <v>物业管理</v>
      </c>
      <c r="R39" s="4299" t="s">
        <v>13</v>
      </c>
      <c r="S39" s="3602">
        <f t="shared" si="12"/>
        <v>100</v>
      </c>
      <c r="T39" s="4299" t="s">
        <v>13</v>
      </c>
      <c r="U39" s="3602">
        <f t="shared" si="13"/>
        <v>100</v>
      </c>
      <c r="V39" s="4299" t="s">
        <v>13</v>
      </c>
      <c r="W39" s="3602">
        <f t="shared" si="14"/>
        <v>100</v>
      </c>
      <c r="X39" s="1002"/>
      <c r="Y39" s="4788"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86"/>
      <c r="Q40" s="3461" t="str">
        <f t="shared" si="11"/>
        <v>市政基础设施</v>
      </c>
      <c r="R40" s="4299" t="s">
        <v>13</v>
      </c>
      <c r="S40" s="3602">
        <f t="shared" si="12"/>
        <v>100</v>
      </c>
      <c r="T40" s="4299" t="s">
        <v>13</v>
      </c>
      <c r="U40" s="3602">
        <f t="shared" si="13"/>
        <v>100</v>
      </c>
      <c r="V40" s="4299" t="s">
        <v>13</v>
      </c>
      <c r="W40" s="3602">
        <f t="shared" si="14"/>
        <v>100</v>
      </c>
      <c r="X40" s="1002"/>
      <c r="Y40" s="4788"/>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86"/>
      <c r="Q41" s="3461" t="str">
        <f t="shared" si="11"/>
        <v>层高</v>
      </c>
      <c r="R41" s="4299" t="s">
        <v>13</v>
      </c>
      <c r="S41" s="3602">
        <f t="shared" si="12"/>
        <v>100</v>
      </c>
      <c r="T41" s="4299" t="s">
        <v>13</v>
      </c>
      <c r="U41" s="3602">
        <f t="shared" si="13"/>
        <v>100</v>
      </c>
      <c r="V41" s="4299" t="s">
        <v>13</v>
      </c>
      <c r="W41" s="3602">
        <f t="shared" si="14"/>
        <v>100</v>
      </c>
      <c r="X41" s="1002"/>
      <c r="Y41" s="4788"/>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86"/>
      <c r="Q42" s="3247" t="str">
        <f t="shared" si="11"/>
        <v>单套建筑面积</v>
      </c>
      <c r="R42" s="4300" t="s">
        <v>13</v>
      </c>
      <c r="S42" s="3603">
        <f t="shared" si="12"/>
        <v>100</v>
      </c>
      <c r="T42" s="4300" t="s">
        <v>13</v>
      </c>
      <c r="U42" s="3603">
        <f t="shared" si="13"/>
        <v>100</v>
      </c>
      <c r="V42" s="4300" t="s">
        <v>13</v>
      </c>
      <c r="W42" s="3603">
        <f t="shared" si="14"/>
        <v>100</v>
      </c>
      <c r="X42" s="518"/>
      <c r="Y42" s="4788"/>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86"/>
      <c r="Q43" s="3461" t="str">
        <f t="shared" si="11"/>
        <v>内部装修</v>
      </c>
      <c r="R43" s="4299" t="s">
        <v>13</v>
      </c>
      <c r="S43" s="3602">
        <f t="shared" si="12"/>
        <v>100</v>
      </c>
      <c r="T43" s="4299" t="s">
        <v>13</v>
      </c>
      <c r="U43" s="3602">
        <f t="shared" si="13"/>
        <v>100</v>
      </c>
      <c r="V43" s="4299" t="s">
        <v>13</v>
      </c>
      <c r="W43" s="3602">
        <f t="shared" si="14"/>
        <v>100</v>
      </c>
      <c r="X43" s="1002"/>
      <c r="Y43" s="4788"/>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86"/>
      <c r="Q44" s="3461" t="str">
        <f t="shared" si="11"/>
        <v>内部装修维护情况</v>
      </c>
      <c r="R44" s="4299" t="s">
        <v>13</v>
      </c>
      <c r="S44" s="3602">
        <f t="shared" si="12"/>
        <v>100</v>
      </c>
      <c r="T44" s="4299" t="s">
        <v>13</v>
      </c>
      <c r="U44" s="3602">
        <f t="shared" si="13"/>
        <v>100</v>
      </c>
      <c r="V44" s="4299" t="s">
        <v>13</v>
      </c>
      <c r="W44" s="3602">
        <f t="shared" si="14"/>
        <v>100</v>
      </c>
      <c r="X44" s="1002"/>
      <c r="Y44" s="4788"/>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86"/>
      <c r="Q45" s="3458">
        <f t="shared" si="11"/>
        <v>111</v>
      </c>
      <c r="R45" s="4173" t="s">
        <v>13</v>
      </c>
      <c r="S45" s="3601">
        <f t="shared" si="12"/>
        <v>100</v>
      </c>
      <c r="T45" s="4173" t="s">
        <v>13</v>
      </c>
      <c r="U45" s="3601">
        <f t="shared" si="13"/>
        <v>100</v>
      </c>
      <c r="V45" s="4173" t="s">
        <v>13</v>
      </c>
      <c r="W45" s="3601">
        <f t="shared" si="14"/>
        <v>100</v>
      </c>
      <c r="X45" s="515"/>
      <c r="Y45" s="4788"/>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86"/>
      <c r="Q46" s="3461">
        <f t="shared" si="11"/>
        <v>111</v>
      </c>
      <c r="R46" s="4299" t="s">
        <v>13</v>
      </c>
      <c r="S46" s="3602">
        <f t="shared" si="12"/>
        <v>100</v>
      </c>
      <c r="T46" s="4299" t="s">
        <v>13</v>
      </c>
      <c r="U46" s="3602">
        <f t="shared" si="13"/>
        <v>100</v>
      </c>
      <c r="V46" s="4299" t="s">
        <v>13</v>
      </c>
      <c r="W46" s="3602">
        <f t="shared" si="14"/>
        <v>100</v>
      </c>
      <c r="X46" s="1002"/>
      <c r="Y46" s="4788"/>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87"/>
      <c r="Q47" s="3461">
        <f t="shared" si="11"/>
        <v>111</v>
      </c>
      <c r="R47" s="4299" t="s">
        <v>13</v>
      </c>
      <c r="S47" s="3602">
        <f t="shared" si="12"/>
        <v>100</v>
      </c>
      <c r="T47" s="4299" t="s">
        <v>13</v>
      </c>
      <c r="U47" s="3602">
        <f t="shared" si="13"/>
        <v>100</v>
      </c>
      <c r="V47" s="4299" t="s">
        <v>13</v>
      </c>
      <c r="W47" s="3602">
        <f t="shared" si="14"/>
        <v>100</v>
      </c>
      <c r="X47" s="1002"/>
      <c r="Y47" s="4789"/>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54" t="str">
        <f>A48</f>
        <v>成交单价（元/平方米）</v>
      </c>
      <c r="Q48" s="4781"/>
      <c r="R48" s="4782">
        <f>E48</f>
        <v>0</v>
      </c>
      <c r="S48" s="4782"/>
      <c r="T48" s="4782">
        <f>G48</f>
        <v>0</v>
      </c>
      <c r="U48" s="4782"/>
      <c r="V48" s="4782">
        <f>I48</f>
        <v>0</v>
      </c>
      <c r="W48" s="4782"/>
      <c r="X48" s="272"/>
      <c r="Y48" s="520"/>
      <c r="Z48" s="272"/>
      <c r="AA48" s="272"/>
      <c r="AB48" s="272"/>
      <c r="AC48" s="426"/>
    </row>
    <row r="49" spans="1:29" ht="15.75" thickBot="1">
      <c r="A49" s="296" t="s">
        <v>1711</v>
      </c>
      <c r="B49" s="297"/>
      <c r="C49" s="4297" t="e">
        <f>R50</f>
        <v>#DIV/0!</v>
      </c>
      <c r="D49" s="4469" t="s">
        <v>2054</v>
      </c>
      <c r="E49" s="4308" t="e">
        <f>R49</f>
        <v>#DIV/0!</v>
      </c>
      <c r="F49" s="3183"/>
      <c r="G49" s="4297" t="e">
        <f>T49</f>
        <v>#DIV/0!</v>
      </c>
      <c r="H49" s="3183"/>
      <c r="I49" s="4308" t="e">
        <f>V49</f>
        <v>#DIV/0!</v>
      </c>
      <c r="J49" s="3183"/>
      <c r="K49" s="3238">
        <f>F49+H49+J49</f>
        <v>0</v>
      </c>
      <c r="L49" s="2206"/>
      <c r="M49" s="2198"/>
      <c r="N49" s="2198"/>
      <c r="O49" s="2198"/>
      <c r="P49" s="4754" t="str">
        <f>A49</f>
        <v>比较价值（元/平方米）</v>
      </c>
      <c r="Q49" s="4781"/>
      <c r="R49" s="4782" t="e">
        <f>IF(F1="售价",ROUND(PRODUCT(R48,AA7:AA47),0),ROUND(PRODUCT(R48,AA7:AA47),1))</f>
        <v>#DIV/0!</v>
      </c>
      <c r="S49" s="4782"/>
      <c r="T49" s="4782" t="e">
        <f>IF(F1="售价",ROUND(PRODUCT(T48,AB7:AB47),0),ROUND(PRODUCT(T48,AB7:AB47),1))</f>
        <v>#DIV/0!</v>
      </c>
      <c r="U49" s="4782"/>
      <c r="V49" s="4782" t="e">
        <f>IF(F1="售价",ROUND(PRODUCT(V48,AC7:AC47),0),ROUND(PRODUCT(V48,AC7:AC47),1))</f>
        <v>#DIV/0!</v>
      </c>
      <c r="W49" s="4782"/>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819" t="str">
        <f>A50</f>
        <v>估价对象XX用房的比较价值（楼面单价，元/平方米）</v>
      </c>
      <c r="Q50" s="4820"/>
      <c r="R50" s="4821" t="e">
        <f>IF(F1="售价",ROUND(IF(D49="简单平均",AVERAGE(R49:V49),R49*F49+T49*H49+V49*J49),0),ROUND(IF(D49="简单平均",AVERAGE(R49:V49),R49*F49+T49*H49+V49*J49),1))</f>
        <v>#DIV/0!</v>
      </c>
      <c r="S50" s="4821"/>
      <c r="T50" s="4821"/>
      <c r="U50" s="4821"/>
      <c r="V50" s="4821"/>
      <c r="W50" s="4821"/>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11046.05</v>
      </c>
      <c r="E3" s="4470" t="s">
        <v>3526</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07" t="s">
        <v>1688</v>
      </c>
      <c r="D4" s="4808"/>
      <c r="E4" s="4809" t="s">
        <v>1689</v>
      </c>
      <c r="F4" s="4810"/>
      <c r="G4" s="4807" t="s">
        <v>1690</v>
      </c>
      <c r="H4" s="4808"/>
      <c r="I4" s="4807" t="s">
        <v>1691</v>
      </c>
      <c r="J4" s="4808"/>
      <c r="K4" s="410" t="s">
        <v>1692</v>
      </c>
      <c r="L4" s="655"/>
      <c r="M4" s="656"/>
      <c r="N4" s="656"/>
      <c r="O4" s="656"/>
      <c r="P4" s="4760" t="s">
        <v>1693</v>
      </c>
      <c r="Q4" s="4761"/>
      <c r="R4" s="4742" t="s">
        <v>1689</v>
      </c>
      <c r="S4" s="4743"/>
      <c r="T4" s="4742" t="s">
        <v>1690</v>
      </c>
      <c r="U4" s="4743"/>
      <c r="V4" s="4768" t="s">
        <v>1691</v>
      </c>
      <c r="W4" s="4768"/>
      <c r="X4" s="1002"/>
      <c r="Y4" s="4771" t="s">
        <v>1693</v>
      </c>
      <c r="Z4" s="4772"/>
      <c r="AA4" s="4737" t="s">
        <v>1689</v>
      </c>
      <c r="AB4" s="4738" t="s">
        <v>1690</v>
      </c>
      <c r="AC4" s="4737" t="s">
        <v>1691</v>
      </c>
    </row>
    <row r="5" spans="1:29" ht="15">
      <c r="A5" s="245"/>
      <c r="B5" s="246"/>
      <c r="C5" s="4798" t="s">
        <v>1591</v>
      </c>
      <c r="D5" s="4799"/>
      <c r="E5" s="4796" t="s">
        <v>1592</v>
      </c>
      <c r="F5" s="4797"/>
      <c r="G5" s="4798" t="s">
        <v>1593</v>
      </c>
      <c r="H5" s="4799"/>
      <c r="I5" s="4798" t="s">
        <v>1594</v>
      </c>
      <c r="J5" s="4799"/>
      <c r="K5" s="410"/>
      <c r="L5" s="655"/>
      <c r="M5" s="656"/>
      <c r="N5" s="656"/>
      <c r="O5" s="656"/>
      <c r="P5" s="4762"/>
      <c r="Q5" s="4763"/>
      <c r="R5" s="4744"/>
      <c r="S5" s="4745"/>
      <c r="T5" s="4744"/>
      <c r="U5" s="4745"/>
      <c r="V5" s="4768"/>
      <c r="W5" s="4768"/>
      <c r="X5" s="1002"/>
      <c r="Y5" s="4773"/>
      <c r="Z5" s="4774"/>
      <c r="AA5" s="4738"/>
      <c r="AB5" s="4738"/>
      <c r="AC5" s="4738"/>
    </row>
    <row r="6" spans="1:29" ht="15.75" thickBot="1">
      <c r="A6" s="247"/>
      <c r="B6" s="248"/>
      <c r="C6" s="4800" t="s">
        <v>1595</v>
      </c>
      <c r="D6" s="4801"/>
      <c r="E6" s="4802" t="s">
        <v>1595</v>
      </c>
      <c r="F6" s="4803"/>
      <c r="G6" s="4800" t="s">
        <v>1595</v>
      </c>
      <c r="H6" s="4801"/>
      <c r="I6" s="4800" t="s">
        <v>1595</v>
      </c>
      <c r="J6" s="4801"/>
      <c r="K6" s="410" t="s">
        <v>1596</v>
      </c>
      <c r="L6" s="655"/>
      <c r="M6" s="656"/>
      <c r="N6" s="656"/>
      <c r="O6" s="656"/>
      <c r="P6" s="4764"/>
      <c r="Q6" s="4765"/>
      <c r="R6" s="4744"/>
      <c r="S6" s="4745"/>
      <c r="T6" s="4766"/>
      <c r="U6" s="4767"/>
      <c r="V6" s="4768"/>
      <c r="W6" s="4768"/>
      <c r="X6" s="1002"/>
      <c r="Y6" s="4775"/>
      <c r="Z6" s="4776"/>
      <c r="AA6" s="4739"/>
      <c r="AB6" s="4739"/>
      <c r="AC6" s="4739"/>
    </row>
    <row r="7" spans="1:29" s="49" customFormat="1" ht="15.75" thickBot="1">
      <c r="A7" s="249" t="s">
        <v>1597</v>
      </c>
      <c r="B7" s="250"/>
      <c r="C7" s="251">
        <f>'数据-取费表'!B2</f>
        <v>46041</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69" t="s">
        <v>1598</v>
      </c>
      <c r="Q7" s="4777"/>
      <c r="R7" s="4331" t="s">
        <v>13</v>
      </c>
      <c r="S7" s="4334">
        <f t="shared" ref="S7:S15" si="0">F7</f>
        <v>0</v>
      </c>
      <c r="T7" s="4331" t="s">
        <v>13</v>
      </c>
      <c r="U7" s="4334">
        <f t="shared" ref="U7:U15" si="1">H7</f>
        <v>0</v>
      </c>
      <c r="V7" s="4331" t="s">
        <v>13</v>
      </c>
      <c r="W7" s="4334">
        <f t="shared" ref="W7:W15" si="2">J7</f>
        <v>0</v>
      </c>
      <c r="X7" s="515"/>
      <c r="Y7" s="4740" t="s">
        <v>1598</v>
      </c>
      <c r="Z7" s="4741"/>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69" t="s">
        <v>1601</v>
      </c>
      <c r="Q8" s="4770"/>
      <c r="R8" s="4331" t="s">
        <v>13</v>
      </c>
      <c r="S8" s="4334">
        <f t="shared" si="0"/>
        <v>100</v>
      </c>
      <c r="T8" s="4331" t="s">
        <v>13</v>
      </c>
      <c r="U8" s="4334">
        <f t="shared" si="1"/>
        <v>100</v>
      </c>
      <c r="V8" s="4331" t="s">
        <v>13</v>
      </c>
      <c r="W8" s="4334">
        <f t="shared" si="2"/>
        <v>100</v>
      </c>
      <c r="X8" s="515"/>
      <c r="Y8" s="4740" t="s">
        <v>1601</v>
      </c>
      <c r="Z8" s="4741"/>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81" t="s">
        <v>1604</v>
      </c>
      <c r="Q9" s="3458" t="str">
        <f t="shared" ref="Q9:Q15" si="6">B9</f>
        <v>用途</v>
      </c>
      <c r="R9" s="4331" t="s">
        <v>13</v>
      </c>
      <c r="S9" s="4334">
        <f t="shared" si="0"/>
        <v>100</v>
      </c>
      <c r="T9" s="4331" t="s">
        <v>13</v>
      </c>
      <c r="U9" s="4334">
        <f t="shared" si="1"/>
        <v>100</v>
      </c>
      <c r="V9" s="4331" t="s">
        <v>13</v>
      </c>
      <c r="W9" s="4334">
        <f t="shared" si="2"/>
        <v>100</v>
      </c>
      <c r="X9" s="515"/>
      <c r="Y9" s="4755"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81"/>
      <c r="Q10" s="3458" t="str">
        <f t="shared" si="6"/>
        <v>土地使用年限（年）</v>
      </c>
      <c r="R10" s="4331" t="s">
        <v>13</v>
      </c>
      <c r="S10" s="4334">
        <f t="shared" si="0"/>
        <v>100</v>
      </c>
      <c r="T10" s="4331" t="s">
        <v>13</v>
      </c>
      <c r="U10" s="4334">
        <f t="shared" si="1"/>
        <v>100</v>
      </c>
      <c r="V10" s="4331" t="s">
        <v>13</v>
      </c>
      <c r="W10" s="4334">
        <f t="shared" si="2"/>
        <v>100</v>
      </c>
      <c r="X10" s="515"/>
      <c r="Y10" s="4755"/>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81"/>
      <c r="Q11" s="3458" t="str">
        <f t="shared" si="6"/>
        <v>容积率</v>
      </c>
      <c r="R11" s="4331" t="s">
        <v>13</v>
      </c>
      <c r="S11" s="4334">
        <f t="shared" si="0"/>
        <v>100</v>
      </c>
      <c r="T11" s="4331" t="s">
        <v>13</v>
      </c>
      <c r="U11" s="4334">
        <f t="shared" si="1"/>
        <v>100</v>
      </c>
      <c r="V11" s="4331" t="s">
        <v>13</v>
      </c>
      <c r="W11" s="4334">
        <f t="shared" si="2"/>
        <v>100</v>
      </c>
      <c r="X11" s="515"/>
      <c r="Y11" s="4755"/>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81"/>
      <c r="Q12" s="3458">
        <f t="shared" si="6"/>
        <v>111</v>
      </c>
      <c r="R12" s="4331" t="s">
        <v>13</v>
      </c>
      <c r="S12" s="4334">
        <f t="shared" si="0"/>
        <v>100</v>
      </c>
      <c r="T12" s="4331" t="s">
        <v>13</v>
      </c>
      <c r="U12" s="4334">
        <f t="shared" si="1"/>
        <v>100</v>
      </c>
      <c r="V12" s="4331" t="s">
        <v>13</v>
      </c>
      <c r="W12" s="4334">
        <f t="shared" si="2"/>
        <v>100</v>
      </c>
      <c r="X12" s="515"/>
      <c r="Y12" s="4755"/>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81"/>
      <c r="Q13" s="3458">
        <f t="shared" si="6"/>
        <v>111</v>
      </c>
      <c r="R13" s="4331" t="s">
        <v>13</v>
      </c>
      <c r="S13" s="4334">
        <f t="shared" si="0"/>
        <v>100</v>
      </c>
      <c r="T13" s="4331" t="s">
        <v>13</v>
      </c>
      <c r="U13" s="4334">
        <f t="shared" si="1"/>
        <v>100</v>
      </c>
      <c r="V13" s="4331" t="s">
        <v>13</v>
      </c>
      <c r="W13" s="4334">
        <f t="shared" si="2"/>
        <v>100</v>
      </c>
      <c r="X13" s="515"/>
      <c r="Y13" s="4755"/>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81"/>
      <c r="Q14" s="3458">
        <f t="shared" si="6"/>
        <v>111</v>
      </c>
      <c r="R14" s="4331" t="s">
        <v>13</v>
      </c>
      <c r="S14" s="4334">
        <f t="shared" si="0"/>
        <v>100</v>
      </c>
      <c r="T14" s="4331" t="s">
        <v>13</v>
      </c>
      <c r="U14" s="4334">
        <f t="shared" si="1"/>
        <v>100</v>
      </c>
      <c r="V14" s="4331" t="s">
        <v>13</v>
      </c>
      <c r="W14" s="4334">
        <f t="shared" si="2"/>
        <v>100</v>
      </c>
      <c r="X14" s="515"/>
      <c r="Y14" s="4755"/>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22" t="s">
        <v>1609</v>
      </c>
      <c r="Q15" s="3461" t="str">
        <f t="shared" si="6"/>
        <v>产业集聚程度</v>
      </c>
      <c r="R15" s="4332" t="s">
        <v>13</v>
      </c>
      <c r="S15" s="4335">
        <f t="shared" si="0"/>
        <v>100</v>
      </c>
      <c r="T15" s="4332" t="s">
        <v>13</v>
      </c>
      <c r="U15" s="4335">
        <f t="shared" si="1"/>
        <v>100</v>
      </c>
      <c r="V15" s="4332" t="s">
        <v>13</v>
      </c>
      <c r="W15" s="4335">
        <f t="shared" si="2"/>
        <v>100</v>
      </c>
      <c r="X15" s="1002"/>
      <c r="Y15" s="4783"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23"/>
      <c r="Q16" s="3461"/>
      <c r="R16" s="4332"/>
      <c r="S16" s="4335"/>
      <c r="T16" s="4332"/>
      <c r="U16" s="4335"/>
      <c r="V16" s="4332"/>
      <c r="W16" s="4335"/>
      <c r="X16" s="1002"/>
      <c r="Y16" s="4784"/>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23"/>
      <c r="Q17" s="3461" t="str">
        <f>B17</f>
        <v>交通便捷度</v>
      </c>
      <c r="R17" s="4332" t="s">
        <v>13</v>
      </c>
      <c r="S17" s="4335">
        <f>F17</f>
        <v>100</v>
      </c>
      <c r="T17" s="4332" t="s">
        <v>13</v>
      </c>
      <c r="U17" s="4335">
        <f>H17</f>
        <v>100</v>
      </c>
      <c r="V17" s="4332" t="s">
        <v>13</v>
      </c>
      <c r="W17" s="4335">
        <f>J17</f>
        <v>100</v>
      </c>
      <c r="X17" s="1002"/>
      <c r="Y17" s="4784"/>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23"/>
      <c r="Q18" s="3461"/>
      <c r="R18" s="4332"/>
      <c r="S18" s="4335"/>
      <c r="T18" s="4332"/>
      <c r="U18" s="4335"/>
      <c r="V18" s="4332"/>
      <c r="W18" s="4335"/>
      <c r="X18" s="1002"/>
      <c r="Y18" s="4784"/>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23"/>
      <c r="Q19" s="3461" t="str">
        <f>B19</f>
        <v>公共配套设施</v>
      </c>
      <c r="R19" s="4332" t="s">
        <v>13</v>
      </c>
      <c r="S19" s="4335">
        <f>F19</f>
        <v>100</v>
      </c>
      <c r="T19" s="4332" t="s">
        <v>13</v>
      </c>
      <c r="U19" s="4335">
        <f>H19</f>
        <v>100</v>
      </c>
      <c r="V19" s="4332" t="s">
        <v>13</v>
      </c>
      <c r="W19" s="4335">
        <f>J19</f>
        <v>100</v>
      </c>
      <c r="X19" s="1002"/>
      <c r="Y19" s="4784"/>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23"/>
      <c r="Q20" s="3461"/>
      <c r="R20" s="4332"/>
      <c r="S20" s="4335"/>
      <c r="T20" s="4332"/>
      <c r="U20" s="4335"/>
      <c r="V20" s="4332"/>
      <c r="W20" s="4335"/>
      <c r="X20" s="1002"/>
      <c r="Y20" s="4784"/>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23"/>
      <c r="Q21" s="3461" t="str">
        <f>B21</f>
        <v>基础设施水平</v>
      </c>
      <c r="R21" s="4332" t="s">
        <v>13</v>
      </c>
      <c r="S21" s="4335">
        <f>F21</f>
        <v>100</v>
      </c>
      <c r="T21" s="4332" t="s">
        <v>13</v>
      </c>
      <c r="U21" s="4335">
        <f>H21</f>
        <v>100</v>
      </c>
      <c r="V21" s="4332" t="s">
        <v>13</v>
      </c>
      <c r="W21" s="4335">
        <f>J21</f>
        <v>100</v>
      </c>
      <c r="X21" s="1002"/>
      <c r="Y21" s="4784"/>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23"/>
      <c r="Q22" s="3461"/>
      <c r="R22" s="4332"/>
      <c r="S22" s="4335"/>
      <c r="T22" s="4332"/>
      <c r="U22" s="4335"/>
      <c r="V22" s="4332"/>
      <c r="W22" s="4335"/>
      <c r="X22" s="1002"/>
      <c r="Y22" s="4784"/>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23"/>
      <c r="Q23" s="3461" t="str">
        <f>B23</f>
        <v>环境质量</v>
      </c>
      <c r="R23" s="4332" t="s">
        <v>13</v>
      </c>
      <c r="S23" s="4335">
        <f>F23</f>
        <v>100</v>
      </c>
      <c r="T23" s="4332" t="s">
        <v>13</v>
      </c>
      <c r="U23" s="4335">
        <f>H23</f>
        <v>100</v>
      </c>
      <c r="V23" s="4332" t="s">
        <v>13</v>
      </c>
      <c r="W23" s="4335">
        <f>J23</f>
        <v>100</v>
      </c>
      <c r="X23" s="1002"/>
      <c r="Y23" s="4784"/>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23"/>
      <c r="Q24" s="3461"/>
      <c r="R24" s="4332"/>
      <c r="S24" s="4335"/>
      <c r="T24" s="4332"/>
      <c r="U24" s="4335"/>
      <c r="V24" s="4332"/>
      <c r="W24" s="4335"/>
      <c r="X24" s="1002"/>
      <c r="Y24" s="4784"/>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23"/>
      <c r="Q25" s="3461">
        <f>B25</f>
        <v>111</v>
      </c>
      <c r="R25" s="4332" t="s">
        <v>13</v>
      </c>
      <c r="S25" s="4335">
        <f>F25</f>
        <v>100</v>
      </c>
      <c r="T25" s="4332" t="s">
        <v>13</v>
      </c>
      <c r="U25" s="4335">
        <f>H25</f>
        <v>100</v>
      </c>
      <c r="V25" s="4332" t="s">
        <v>13</v>
      </c>
      <c r="W25" s="4335">
        <f>J25</f>
        <v>100</v>
      </c>
      <c r="X25" s="1002"/>
      <c r="Y25" s="4784"/>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23"/>
      <c r="Q26" s="3461">
        <f t="shared" ref="Q26:Q40" si="11">B26</f>
        <v>111</v>
      </c>
      <c r="R26" s="4332" t="s">
        <v>13</v>
      </c>
      <c r="S26" s="4335">
        <f>F26</f>
        <v>100</v>
      </c>
      <c r="T26" s="4332" t="s">
        <v>13</v>
      </c>
      <c r="U26" s="4335">
        <f>H26</f>
        <v>100</v>
      </c>
      <c r="V26" s="4332" t="s">
        <v>13</v>
      </c>
      <c r="W26" s="4335">
        <f>J26</f>
        <v>100</v>
      </c>
      <c r="X26" s="1002"/>
      <c r="Y26" s="4784"/>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23"/>
      <c r="Q27" s="3458">
        <f t="shared" si="11"/>
        <v>111</v>
      </c>
      <c r="R27" s="4331" t="s">
        <v>13</v>
      </c>
      <c r="S27" s="4334">
        <f>F27</f>
        <v>100</v>
      </c>
      <c r="T27" s="4331" t="s">
        <v>13</v>
      </c>
      <c r="U27" s="4334">
        <f>H27</f>
        <v>100</v>
      </c>
      <c r="V27" s="4331" t="s">
        <v>13</v>
      </c>
      <c r="W27" s="4334">
        <f>J27</f>
        <v>100</v>
      </c>
      <c r="X27" s="515"/>
      <c r="Y27" s="4784"/>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23"/>
      <c r="Q28" s="3461">
        <f t="shared" si="11"/>
        <v>111</v>
      </c>
      <c r="R28" s="4332" t="s">
        <v>13</v>
      </c>
      <c r="S28" s="4335">
        <f t="shared" ref="S28:S40" si="12">F28</f>
        <v>100</v>
      </c>
      <c r="T28" s="4332" t="s">
        <v>13</v>
      </c>
      <c r="U28" s="4335">
        <f t="shared" ref="U28:U40" si="13">H28</f>
        <v>100</v>
      </c>
      <c r="V28" s="4332" t="s">
        <v>13</v>
      </c>
      <c r="W28" s="4335">
        <f t="shared" ref="W28:W40" si="14">J28</f>
        <v>100</v>
      </c>
      <c r="X28" s="1002"/>
      <c r="Y28" s="4784"/>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24" t="s">
        <v>1614</v>
      </c>
      <c r="Q29" s="3461" t="str">
        <f t="shared" si="11"/>
        <v>建筑类型</v>
      </c>
      <c r="R29" s="4332" t="s">
        <v>13</v>
      </c>
      <c r="S29" s="4335">
        <f t="shared" si="12"/>
        <v>100</v>
      </c>
      <c r="T29" s="4332" t="s">
        <v>13</v>
      </c>
      <c r="U29" s="4335">
        <f t="shared" si="13"/>
        <v>100</v>
      </c>
      <c r="V29" s="4332" t="s">
        <v>13</v>
      </c>
      <c r="W29" s="4335">
        <f t="shared" si="14"/>
        <v>100</v>
      </c>
      <c r="X29" s="1002"/>
      <c r="Y29" s="4788"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25"/>
      <c r="Q30" s="3247" t="str">
        <f t="shared" si="11"/>
        <v>项目建筑规模</v>
      </c>
      <c r="R30" s="4333" t="s">
        <v>13</v>
      </c>
      <c r="S30" s="4336" t="e">
        <f t="shared" si="12"/>
        <v>#N/A</v>
      </c>
      <c r="T30" s="4333" t="s">
        <v>13</v>
      </c>
      <c r="U30" s="4336" t="e">
        <f t="shared" si="13"/>
        <v>#N/A</v>
      </c>
      <c r="V30" s="4333" t="s">
        <v>13</v>
      </c>
      <c r="W30" s="4336" t="e">
        <f t="shared" si="14"/>
        <v>#N/A</v>
      </c>
      <c r="X30" s="518"/>
      <c r="Y30" s="4788"/>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25"/>
      <c r="Q31" s="3461" t="str">
        <f t="shared" si="11"/>
        <v>建筑结构</v>
      </c>
      <c r="R31" s="4332" t="s">
        <v>13</v>
      </c>
      <c r="S31" s="4335">
        <f t="shared" si="12"/>
        <v>100</v>
      </c>
      <c r="T31" s="4332" t="s">
        <v>13</v>
      </c>
      <c r="U31" s="4335">
        <f t="shared" si="13"/>
        <v>100</v>
      </c>
      <c r="V31" s="4332" t="s">
        <v>13</v>
      </c>
      <c r="W31" s="4335">
        <f t="shared" si="14"/>
        <v>100</v>
      </c>
      <c r="X31" s="1002"/>
      <c r="Y31" s="4788"/>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25"/>
      <c r="Q32" s="3461" t="str">
        <f t="shared" si="11"/>
        <v>公共部分装修</v>
      </c>
      <c r="R32" s="4332" t="s">
        <v>13</v>
      </c>
      <c r="S32" s="4335">
        <f t="shared" si="12"/>
        <v>100</v>
      </c>
      <c r="T32" s="4332" t="s">
        <v>13</v>
      </c>
      <c r="U32" s="4335">
        <f t="shared" si="13"/>
        <v>100</v>
      </c>
      <c r="V32" s="4332" t="s">
        <v>13</v>
      </c>
      <c r="W32" s="4335">
        <f t="shared" si="14"/>
        <v>100</v>
      </c>
      <c r="X32" s="1002"/>
      <c r="Y32" s="4788"/>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25"/>
      <c r="Q33" s="3461" t="str">
        <f t="shared" si="11"/>
        <v>成新度</v>
      </c>
      <c r="R33" s="4332" t="s">
        <v>13</v>
      </c>
      <c r="S33" s="4335" t="e">
        <f t="shared" si="12"/>
        <v>#N/A</v>
      </c>
      <c r="T33" s="4332" t="s">
        <v>13</v>
      </c>
      <c r="U33" s="4335" t="e">
        <f t="shared" si="13"/>
        <v>#N/A</v>
      </c>
      <c r="V33" s="4332" t="s">
        <v>13</v>
      </c>
      <c r="W33" s="4335" t="e">
        <f t="shared" si="14"/>
        <v>#N/A</v>
      </c>
      <c r="X33" s="1002"/>
      <c r="Y33" s="4788"/>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25"/>
      <c r="Q34" s="3458" t="str">
        <f t="shared" si="11"/>
        <v>物业管理</v>
      </c>
      <c r="R34" s="4331" t="s">
        <v>13</v>
      </c>
      <c r="S34" s="4334">
        <f t="shared" si="12"/>
        <v>100</v>
      </c>
      <c r="T34" s="4331" t="s">
        <v>13</v>
      </c>
      <c r="U34" s="4334">
        <f t="shared" si="13"/>
        <v>100</v>
      </c>
      <c r="V34" s="4331" t="s">
        <v>13</v>
      </c>
      <c r="W34" s="4334">
        <f t="shared" si="14"/>
        <v>100</v>
      </c>
      <c r="X34" s="515"/>
      <c r="Y34" s="4788"/>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25" t="s">
        <v>1614</v>
      </c>
      <c r="Q35" s="3461" t="str">
        <f t="shared" si="11"/>
        <v>市政基础设施</v>
      </c>
      <c r="R35" s="4332" t="s">
        <v>13</v>
      </c>
      <c r="S35" s="4335">
        <f t="shared" si="12"/>
        <v>100</v>
      </c>
      <c r="T35" s="4332" t="s">
        <v>13</v>
      </c>
      <c r="U35" s="4335">
        <f t="shared" si="13"/>
        <v>100</v>
      </c>
      <c r="V35" s="4332" t="s">
        <v>13</v>
      </c>
      <c r="W35" s="4335">
        <f t="shared" si="14"/>
        <v>100</v>
      </c>
      <c r="X35" s="1002"/>
      <c r="Y35" s="4788"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25"/>
      <c r="Q36" s="3461" t="str">
        <f t="shared" si="11"/>
        <v>内部装修</v>
      </c>
      <c r="R36" s="4332" t="s">
        <v>13</v>
      </c>
      <c r="S36" s="4335">
        <f t="shared" si="12"/>
        <v>100</v>
      </c>
      <c r="T36" s="4332" t="s">
        <v>13</v>
      </c>
      <c r="U36" s="4335">
        <f t="shared" si="13"/>
        <v>100</v>
      </c>
      <c r="V36" s="4332" t="s">
        <v>13</v>
      </c>
      <c r="W36" s="4335">
        <f t="shared" si="14"/>
        <v>100</v>
      </c>
      <c r="X36" s="1002"/>
      <c r="Y36" s="4788"/>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25"/>
      <c r="Q37" s="3461" t="str">
        <f t="shared" si="11"/>
        <v>内部装修状况</v>
      </c>
      <c r="R37" s="4332" t="s">
        <v>13</v>
      </c>
      <c r="S37" s="4335">
        <f t="shared" si="12"/>
        <v>100</v>
      </c>
      <c r="T37" s="4332" t="s">
        <v>13</v>
      </c>
      <c r="U37" s="4335">
        <f t="shared" si="13"/>
        <v>100</v>
      </c>
      <c r="V37" s="4332" t="s">
        <v>13</v>
      </c>
      <c r="W37" s="4335">
        <f t="shared" si="14"/>
        <v>100</v>
      </c>
      <c r="X37" s="1002"/>
      <c r="Y37" s="4788"/>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25"/>
      <c r="Q38" s="3247">
        <f t="shared" si="11"/>
        <v>111</v>
      </c>
      <c r="R38" s="4333" t="s">
        <v>13</v>
      </c>
      <c r="S38" s="4336">
        <f t="shared" si="12"/>
        <v>100</v>
      </c>
      <c r="T38" s="4333" t="s">
        <v>13</v>
      </c>
      <c r="U38" s="4336">
        <f t="shared" si="13"/>
        <v>100</v>
      </c>
      <c r="V38" s="4333" t="s">
        <v>13</v>
      </c>
      <c r="W38" s="4336">
        <f t="shared" si="14"/>
        <v>100</v>
      </c>
      <c r="X38" s="518"/>
      <c r="Y38" s="4788"/>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25"/>
      <c r="Q39" s="3461">
        <f t="shared" si="11"/>
        <v>111</v>
      </c>
      <c r="R39" s="4332" t="s">
        <v>13</v>
      </c>
      <c r="S39" s="4335">
        <f t="shared" si="12"/>
        <v>100</v>
      </c>
      <c r="T39" s="4332" t="s">
        <v>13</v>
      </c>
      <c r="U39" s="4335">
        <f t="shared" si="13"/>
        <v>100</v>
      </c>
      <c r="V39" s="4332" t="s">
        <v>13</v>
      </c>
      <c r="W39" s="4335">
        <f t="shared" si="14"/>
        <v>100</v>
      </c>
      <c r="X39" s="1002"/>
      <c r="Y39" s="4788"/>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26"/>
      <c r="Q40" s="3461">
        <f t="shared" si="11"/>
        <v>111</v>
      </c>
      <c r="R40" s="4332" t="s">
        <v>13</v>
      </c>
      <c r="S40" s="4335">
        <f t="shared" si="12"/>
        <v>100</v>
      </c>
      <c r="T40" s="4332" t="s">
        <v>13</v>
      </c>
      <c r="U40" s="4335">
        <f t="shared" si="13"/>
        <v>100</v>
      </c>
      <c r="V40" s="4332" t="s">
        <v>13</v>
      </c>
      <c r="W40" s="4335">
        <f t="shared" si="14"/>
        <v>100</v>
      </c>
      <c r="X40" s="1002"/>
      <c r="Y40" s="4789"/>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81" t="str">
        <f>A41</f>
        <v>成交单价（元/平方米）</v>
      </c>
      <c r="Q41" s="4781"/>
      <c r="R41" s="4782">
        <f>E41</f>
        <v>0</v>
      </c>
      <c r="S41" s="4782"/>
      <c r="T41" s="4782">
        <f>G41</f>
        <v>0</v>
      </c>
      <c r="U41" s="4782"/>
      <c r="V41" s="4782">
        <f>I41</f>
        <v>0</v>
      </c>
      <c r="W41" s="4782"/>
      <c r="X41" s="504"/>
      <c r="Y41" s="520"/>
      <c r="Z41" s="504"/>
      <c r="AA41" s="504"/>
      <c r="AB41" s="504"/>
      <c r="AC41" s="504"/>
    </row>
    <row r="42" spans="1:29" ht="15.75" thickBot="1">
      <c r="A42" s="296" t="s">
        <v>1711</v>
      </c>
      <c r="B42" s="297"/>
      <c r="C42" s="4297" t="e">
        <f>R43</f>
        <v>#DIV/0!</v>
      </c>
      <c r="D42" s="4469" t="s">
        <v>2054</v>
      </c>
      <c r="E42" s="3268" t="e">
        <f>R42</f>
        <v>#DIV/0!</v>
      </c>
      <c r="F42" s="3183"/>
      <c r="G42" s="3267" t="e">
        <f>T42</f>
        <v>#DIV/0!</v>
      </c>
      <c r="H42" s="3183"/>
      <c r="I42" s="3268" t="e">
        <f>V42</f>
        <v>#DIV/0!</v>
      </c>
      <c r="J42" s="3183"/>
      <c r="K42" s="3238">
        <f>F42+H42+J42</f>
        <v>0</v>
      </c>
      <c r="L42" s="668"/>
      <c r="M42" s="669"/>
      <c r="N42" s="656"/>
      <c r="O42" s="669"/>
      <c r="P42" s="4781" t="str">
        <f>A42</f>
        <v>比较价值（元/平方米）</v>
      </c>
      <c r="Q42" s="4781"/>
      <c r="R42" s="4782" t="e">
        <f>IF(F1="售价",ROUND(PRODUCT(R41,AA7:AA40),0),ROUND(PRODUCT(R41,AA7:AA40),1))</f>
        <v>#DIV/0!</v>
      </c>
      <c r="S42" s="4782"/>
      <c r="T42" s="4782" t="e">
        <f>IF(F1="售价",ROUND(PRODUCT(T41,AB7:AB40),0),ROUND(PRODUCT(T41,AB7:AB40),1))</f>
        <v>#DIV/0!</v>
      </c>
      <c r="U42" s="4782"/>
      <c r="V42" s="4782" t="e">
        <f>IF(F1="售价",ROUND(PRODUCT(V41,AC7:AC40),0),ROUND(PRODUCT(V41,AC7:AC40),1))</f>
        <v>#DIV/0!</v>
      </c>
      <c r="W42" s="4782"/>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78" t="str">
        <f>A43</f>
        <v>估价对象XX用房的比较价值（楼面单价，元/平方米）</v>
      </c>
      <c r="Q43" s="4779"/>
      <c r="R43" s="4780" t="e">
        <f>IF(F1="售价",ROUND(IF(D42="简单平均",AVERAGE(R42:V42),R42*F42+T42*H42+V42*J42),0),ROUND(IF(D42="简单平均",AVERAGE(R42:V42),R42*F42+T42*H42+V42*J42),1))</f>
        <v>#DIV/0!</v>
      </c>
      <c r="S43" s="4780"/>
      <c r="T43" s="4780"/>
      <c r="U43" s="4780"/>
      <c r="V43" s="4780"/>
      <c r="W43" s="4780"/>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3526</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07" t="s">
        <v>1688</v>
      </c>
      <c r="D4" s="4808"/>
      <c r="E4" s="4809" t="s">
        <v>1689</v>
      </c>
      <c r="F4" s="4810"/>
      <c r="G4" s="4807" t="s">
        <v>1690</v>
      </c>
      <c r="H4" s="4808"/>
      <c r="I4" s="4807" t="s">
        <v>1691</v>
      </c>
      <c r="J4" s="4808"/>
      <c r="K4" s="410" t="s">
        <v>1692</v>
      </c>
      <c r="L4" s="2197"/>
      <c r="M4" s="2198"/>
      <c r="N4" s="2198"/>
      <c r="O4" s="2198"/>
      <c r="P4" s="4828" t="s">
        <v>1693</v>
      </c>
      <c r="Q4" s="4829"/>
      <c r="R4" s="4771" t="s">
        <v>1689</v>
      </c>
      <c r="S4" s="4772"/>
      <c r="T4" s="4771" t="s">
        <v>1690</v>
      </c>
      <c r="U4" s="4772"/>
      <c r="V4" s="4792" t="s">
        <v>1691</v>
      </c>
      <c r="W4" s="4792"/>
      <c r="X4" s="1002"/>
      <c r="Y4" s="4771" t="s">
        <v>1693</v>
      </c>
      <c r="Z4" s="4772"/>
      <c r="AA4" s="4737" t="s">
        <v>1689</v>
      </c>
      <c r="AB4" s="4738" t="s">
        <v>1690</v>
      </c>
      <c r="AC4" s="4737" t="s">
        <v>1691</v>
      </c>
    </row>
    <row r="5" spans="1:29" ht="15">
      <c r="A5" s="245"/>
      <c r="B5" s="246"/>
      <c r="C5" s="4798" t="s">
        <v>1591</v>
      </c>
      <c r="D5" s="4799"/>
      <c r="E5" s="4796" t="s">
        <v>1592</v>
      </c>
      <c r="F5" s="4797"/>
      <c r="G5" s="4798" t="s">
        <v>1593</v>
      </c>
      <c r="H5" s="4799"/>
      <c r="I5" s="4798" t="s">
        <v>1594</v>
      </c>
      <c r="J5" s="4799"/>
      <c r="K5" s="410"/>
      <c r="L5" s="2197"/>
      <c r="M5" s="2198"/>
      <c r="N5" s="2198"/>
      <c r="O5" s="2198"/>
      <c r="P5" s="4830"/>
      <c r="Q5" s="4831"/>
      <c r="R5" s="4773"/>
      <c r="S5" s="4774"/>
      <c r="T5" s="4773"/>
      <c r="U5" s="4774"/>
      <c r="V5" s="4792"/>
      <c r="W5" s="4792"/>
      <c r="X5" s="1002"/>
      <c r="Y5" s="4773"/>
      <c r="Z5" s="4774"/>
      <c r="AA5" s="4738"/>
      <c r="AB5" s="4738"/>
      <c r="AC5" s="4738"/>
    </row>
    <row r="6" spans="1:29" ht="15.75" thickBot="1">
      <c r="A6" s="247"/>
      <c r="B6" s="248"/>
      <c r="C6" s="4800" t="s">
        <v>1595</v>
      </c>
      <c r="D6" s="4801"/>
      <c r="E6" s="4802" t="s">
        <v>1595</v>
      </c>
      <c r="F6" s="4803"/>
      <c r="G6" s="4800" t="s">
        <v>1595</v>
      </c>
      <c r="H6" s="4801"/>
      <c r="I6" s="4800" t="s">
        <v>1595</v>
      </c>
      <c r="J6" s="4801"/>
      <c r="K6" s="410" t="s">
        <v>1596</v>
      </c>
      <c r="L6" s="2197"/>
      <c r="M6" s="2198"/>
      <c r="N6" s="2198"/>
      <c r="O6" s="2198"/>
      <c r="P6" s="4832"/>
      <c r="Q6" s="4833"/>
      <c r="R6" s="4773"/>
      <c r="S6" s="4774"/>
      <c r="T6" s="4775"/>
      <c r="U6" s="4776"/>
      <c r="V6" s="4792"/>
      <c r="W6" s="4792"/>
      <c r="X6" s="1002"/>
      <c r="Y6" s="4775"/>
      <c r="Z6" s="4776"/>
      <c r="AA6" s="4739"/>
      <c r="AB6" s="4739"/>
      <c r="AC6" s="4739"/>
    </row>
    <row r="7" spans="1:29" s="49" customFormat="1" ht="15.75" thickBot="1">
      <c r="A7" s="249" t="s">
        <v>1597</v>
      </c>
      <c r="B7" s="250"/>
      <c r="C7" s="251">
        <f>'数据-取费表'!B2</f>
        <v>46041</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40" t="s">
        <v>1598</v>
      </c>
      <c r="Q7" s="4834"/>
      <c r="R7" s="4339" t="s">
        <v>13</v>
      </c>
      <c r="S7" s="4342">
        <f t="shared" ref="S7:S14" si="0">F7</f>
        <v>0</v>
      </c>
      <c r="T7" s="4339" t="s">
        <v>13</v>
      </c>
      <c r="U7" s="4342">
        <f t="shared" ref="U7:U14" si="1">H7</f>
        <v>0</v>
      </c>
      <c r="V7" s="4339" t="s">
        <v>13</v>
      </c>
      <c r="W7" s="4342">
        <f t="shared" ref="W7:W14" si="2">J7</f>
        <v>0</v>
      </c>
      <c r="X7" s="515"/>
      <c r="Y7" s="4740" t="s">
        <v>1598</v>
      </c>
      <c r="Z7" s="4741"/>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40" t="s">
        <v>1601</v>
      </c>
      <c r="Q8" s="4741"/>
      <c r="R8" s="4339" t="s">
        <v>13</v>
      </c>
      <c r="S8" s="4342">
        <f t="shared" si="0"/>
        <v>100</v>
      </c>
      <c r="T8" s="4339" t="s">
        <v>13</v>
      </c>
      <c r="U8" s="4342">
        <f t="shared" si="1"/>
        <v>100</v>
      </c>
      <c r="V8" s="4339" t="s">
        <v>13</v>
      </c>
      <c r="W8" s="4342">
        <f t="shared" si="2"/>
        <v>100</v>
      </c>
      <c r="X8" s="515"/>
      <c r="Y8" s="4740" t="s">
        <v>1601</v>
      </c>
      <c r="Z8" s="4741"/>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27" t="s">
        <v>1604</v>
      </c>
      <c r="Q9" s="991" t="str">
        <f t="shared" ref="Q9:Q14" si="6">B9</f>
        <v>用途</v>
      </c>
      <c r="R9" s="4339" t="s">
        <v>13</v>
      </c>
      <c r="S9" s="4342">
        <f t="shared" si="0"/>
        <v>100</v>
      </c>
      <c r="T9" s="4339" t="s">
        <v>13</v>
      </c>
      <c r="U9" s="4342">
        <f t="shared" si="1"/>
        <v>100</v>
      </c>
      <c r="V9" s="4339" t="s">
        <v>13</v>
      </c>
      <c r="W9" s="4342">
        <f t="shared" si="2"/>
        <v>100</v>
      </c>
      <c r="X9" s="515"/>
      <c r="Y9" s="4755"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27"/>
      <c r="Q10" s="991" t="str">
        <f t="shared" si="6"/>
        <v>土地使用年限（年）</v>
      </c>
      <c r="R10" s="4339" t="s">
        <v>13</v>
      </c>
      <c r="S10" s="4342">
        <f t="shared" si="0"/>
        <v>100</v>
      </c>
      <c r="T10" s="4339" t="s">
        <v>13</v>
      </c>
      <c r="U10" s="4342">
        <f t="shared" si="1"/>
        <v>100</v>
      </c>
      <c r="V10" s="4339" t="s">
        <v>13</v>
      </c>
      <c r="W10" s="4342">
        <f t="shared" si="2"/>
        <v>100</v>
      </c>
      <c r="X10" s="515"/>
      <c r="Y10" s="4755"/>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27"/>
      <c r="Q11" s="991">
        <f t="shared" si="6"/>
        <v>111</v>
      </c>
      <c r="R11" s="4339" t="s">
        <v>13</v>
      </c>
      <c r="S11" s="4342">
        <f t="shared" si="0"/>
        <v>100</v>
      </c>
      <c r="T11" s="4339" t="s">
        <v>13</v>
      </c>
      <c r="U11" s="4342">
        <f t="shared" si="1"/>
        <v>100</v>
      </c>
      <c r="V11" s="4339" t="s">
        <v>13</v>
      </c>
      <c r="W11" s="4342">
        <f t="shared" si="2"/>
        <v>100</v>
      </c>
      <c r="X11" s="515"/>
      <c r="Y11" s="4755"/>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27"/>
      <c r="Q12" s="991">
        <f t="shared" si="6"/>
        <v>111</v>
      </c>
      <c r="R12" s="4339" t="s">
        <v>13</v>
      </c>
      <c r="S12" s="4342">
        <f t="shared" si="0"/>
        <v>100</v>
      </c>
      <c r="T12" s="4339" t="s">
        <v>13</v>
      </c>
      <c r="U12" s="4342">
        <f t="shared" si="1"/>
        <v>100</v>
      </c>
      <c r="V12" s="4339" t="s">
        <v>13</v>
      </c>
      <c r="W12" s="4342">
        <f t="shared" si="2"/>
        <v>100</v>
      </c>
      <c r="X12" s="515"/>
      <c r="Y12" s="4755"/>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27"/>
      <c r="Q13" s="991">
        <f t="shared" si="6"/>
        <v>111</v>
      </c>
      <c r="R13" s="4339" t="s">
        <v>13</v>
      </c>
      <c r="S13" s="4342">
        <f t="shared" si="0"/>
        <v>100</v>
      </c>
      <c r="T13" s="4339" t="s">
        <v>13</v>
      </c>
      <c r="U13" s="4342">
        <f t="shared" si="1"/>
        <v>100</v>
      </c>
      <c r="V13" s="4339" t="s">
        <v>13</v>
      </c>
      <c r="W13" s="4342">
        <f t="shared" si="2"/>
        <v>100</v>
      </c>
      <c r="X13" s="515"/>
      <c r="Y13" s="4755"/>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83" t="s">
        <v>1609</v>
      </c>
      <c r="Q14" s="999" t="str">
        <f t="shared" si="6"/>
        <v>交通便捷度</v>
      </c>
      <c r="R14" s="4340" t="s">
        <v>13</v>
      </c>
      <c r="S14" s="4343">
        <f t="shared" si="0"/>
        <v>100</v>
      </c>
      <c r="T14" s="4340" t="s">
        <v>13</v>
      </c>
      <c r="U14" s="4343">
        <f t="shared" si="1"/>
        <v>100</v>
      </c>
      <c r="V14" s="4340" t="s">
        <v>13</v>
      </c>
      <c r="W14" s="4343">
        <f t="shared" si="2"/>
        <v>100</v>
      </c>
      <c r="X14" s="1002"/>
      <c r="Y14" s="4783"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84"/>
      <c r="Q15" s="999"/>
      <c r="R15" s="4340"/>
      <c r="S15" s="4343"/>
      <c r="T15" s="4340"/>
      <c r="U15" s="4343"/>
      <c r="V15" s="4340"/>
      <c r="W15" s="4343"/>
      <c r="X15" s="1002"/>
      <c r="Y15" s="4784"/>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84"/>
      <c r="Q16" s="999" t="str">
        <f>B16</f>
        <v>公共配套设施</v>
      </c>
      <c r="R16" s="4340" t="s">
        <v>13</v>
      </c>
      <c r="S16" s="4343">
        <f>F16</f>
        <v>100</v>
      </c>
      <c r="T16" s="4340" t="s">
        <v>13</v>
      </c>
      <c r="U16" s="4343">
        <f>H16</f>
        <v>100</v>
      </c>
      <c r="V16" s="4340" t="s">
        <v>13</v>
      </c>
      <c r="W16" s="4343">
        <f>J16</f>
        <v>100</v>
      </c>
      <c r="X16" s="1002"/>
      <c r="Y16" s="4784"/>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84"/>
      <c r="Q17" s="999"/>
      <c r="R17" s="4340"/>
      <c r="S17" s="4343"/>
      <c r="T17" s="4340"/>
      <c r="U17" s="4343"/>
      <c r="V17" s="4340"/>
      <c r="W17" s="4343"/>
      <c r="X17" s="1002"/>
      <c r="Y17" s="4784"/>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84"/>
      <c r="Q18" s="999" t="str">
        <f>B18</f>
        <v>基础设施水平</v>
      </c>
      <c r="R18" s="4340" t="s">
        <v>13</v>
      </c>
      <c r="S18" s="4343">
        <f>F18</f>
        <v>100</v>
      </c>
      <c r="T18" s="4340" t="s">
        <v>13</v>
      </c>
      <c r="U18" s="4343">
        <f>H18</f>
        <v>100</v>
      </c>
      <c r="V18" s="4340" t="s">
        <v>13</v>
      </c>
      <c r="W18" s="4343">
        <f>J18</f>
        <v>100</v>
      </c>
      <c r="X18" s="1002"/>
      <c r="Y18" s="4784"/>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84"/>
      <c r="Q19" s="999"/>
      <c r="R19" s="4340"/>
      <c r="S19" s="4343"/>
      <c r="T19" s="4340"/>
      <c r="U19" s="4343"/>
      <c r="V19" s="4340"/>
      <c r="W19" s="4343"/>
      <c r="X19" s="1002"/>
      <c r="Y19" s="4784"/>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84"/>
      <c r="Q20" s="999" t="str">
        <f>B20</f>
        <v>自然及人文环境</v>
      </c>
      <c r="R20" s="4340" t="s">
        <v>13</v>
      </c>
      <c r="S20" s="4343">
        <f>F20</f>
        <v>100</v>
      </c>
      <c r="T20" s="4340" t="s">
        <v>13</v>
      </c>
      <c r="U20" s="4343">
        <f>H20</f>
        <v>100</v>
      </c>
      <c r="V20" s="4340" t="s">
        <v>13</v>
      </c>
      <c r="W20" s="4343">
        <f>J20</f>
        <v>100</v>
      </c>
      <c r="X20" s="1002"/>
      <c r="Y20" s="4784"/>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84"/>
      <c r="Q21" s="999"/>
      <c r="R21" s="4340"/>
      <c r="S21" s="4343"/>
      <c r="T21" s="4340"/>
      <c r="U21" s="4343"/>
      <c r="V21" s="4340"/>
      <c r="W21" s="4343"/>
      <c r="X21" s="1002"/>
      <c r="Y21" s="4784"/>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84"/>
      <c r="Q22" s="999" t="str">
        <f>B22</f>
        <v>楼层</v>
      </c>
      <c r="R22" s="4340" t="s">
        <v>13</v>
      </c>
      <c r="S22" s="4343">
        <f>F22</f>
        <v>100</v>
      </c>
      <c r="T22" s="4340" t="s">
        <v>13</v>
      </c>
      <c r="U22" s="4343">
        <f>H22</f>
        <v>100</v>
      </c>
      <c r="V22" s="4340" t="s">
        <v>13</v>
      </c>
      <c r="W22" s="4343">
        <f>J22</f>
        <v>100</v>
      </c>
      <c r="X22" s="1002"/>
      <c r="Y22" s="4784"/>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84"/>
      <c r="Q23" s="999">
        <f>B23</f>
        <v>111</v>
      </c>
      <c r="R23" s="4340" t="s">
        <v>13</v>
      </c>
      <c r="S23" s="4343">
        <f>F23</f>
        <v>100</v>
      </c>
      <c r="T23" s="4340" t="s">
        <v>13</v>
      </c>
      <c r="U23" s="4343">
        <f>H23</f>
        <v>100</v>
      </c>
      <c r="V23" s="4340" t="s">
        <v>13</v>
      </c>
      <c r="W23" s="4343">
        <f>J23</f>
        <v>100</v>
      </c>
      <c r="X23" s="1002"/>
      <c r="Y23" s="4784"/>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84"/>
      <c r="Q24" s="999">
        <f t="shared" ref="Q24:Q36" si="11">B24</f>
        <v>111</v>
      </c>
      <c r="R24" s="4340" t="s">
        <v>13</v>
      </c>
      <c r="S24" s="4343">
        <f>F24</f>
        <v>100</v>
      </c>
      <c r="T24" s="4340" t="s">
        <v>13</v>
      </c>
      <c r="U24" s="4343">
        <f>H24</f>
        <v>100</v>
      </c>
      <c r="V24" s="4340" t="s">
        <v>13</v>
      </c>
      <c r="W24" s="4343">
        <f>J24</f>
        <v>100</v>
      </c>
      <c r="X24" s="1002"/>
      <c r="Y24" s="4784"/>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84"/>
      <c r="Q25" s="991">
        <f t="shared" si="11"/>
        <v>111</v>
      </c>
      <c r="R25" s="4339" t="s">
        <v>13</v>
      </c>
      <c r="S25" s="4342">
        <f>F25</f>
        <v>100</v>
      </c>
      <c r="T25" s="4339" t="s">
        <v>13</v>
      </c>
      <c r="U25" s="4342">
        <f>H25</f>
        <v>100</v>
      </c>
      <c r="V25" s="4339" t="s">
        <v>13</v>
      </c>
      <c r="W25" s="4342">
        <f>J25</f>
        <v>100</v>
      </c>
      <c r="X25" s="515"/>
      <c r="Y25" s="4784"/>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35"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88"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88"/>
      <c r="Q27" s="517" t="str">
        <f t="shared" si="11"/>
        <v>项目停车位配比</v>
      </c>
      <c r="R27" s="4341" t="s">
        <v>13</v>
      </c>
      <c r="S27" s="4344">
        <f t="shared" si="12"/>
        <v>100</v>
      </c>
      <c r="T27" s="4341" t="s">
        <v>13</v>
      </c>
      <c r="U27" s="4344">
        <f t="shared" si="13"/>
        <v>100</v>
      </c>
      <c r="V27" s="4341" t="s">
        <v>13</v>
      </c>
      <c r="W27" s="4344">
        <f t="shared" si="14"/>
        <v>100</v>
      </c>
      <c r="X27" s="518"/>
      <c r="Y27" s="4788"/>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88"/>
      <c r="Q28" s="999" t="str">
        <f t="shared" si="11"/>
        <v>公共部分装修</v>
      </c>
      <c r="R28" s="4340" t="s">
        <v>13</v>
      </c>
      <c r="S28" s="4343">
        <f t="shared" si="12"/>
        <v>100</v>
      </c>
      <c r="T28" s="4340" t="s">
        <v>13</v>
      </c>
      <c r="U28" s="4343">
        <f t="shared" si="13"/>
        <v>100</v>
      </c>
      <c r="V28" s="4340" t="s">
        <v>13</v>
      </c>
      <c r="W28" s="4343">
        <f t="shared" si="14"/>
        <v>100</v>
      </c>
      <c r="X28" s="1002"/>
      <c r="Y28" s="4788"/>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88"/>
      <c r="Q29" s="999" t="str">
        <f t="shared" si="11"/>
        <v>成新率</v>
      </c>
      <c r="R29" s="4340" t="s">
        <v>13</v>
      </c>
      <c r="S29" s="4343" t="e">
        <f t="shared" si="12"/>
        <v>#N/A</v>
      </c>
      <c r="T29" s="4340" t="s">
        <v>13</v>
      </c>
      <c r="U29" s="4343" t="e">
        <f t="shared" si="13"/>
        <v>#N/A</v>
      </c>
      <c r="V29" s="4340" t="s">
        <v>13</v>
      </c>
      <c r="W29" s="4343" t="e">
        <f t="shared" si="14"/>
        <v>#N/A</v>
      </c>
      <c r="X29" s="1002"/>
      <c r="Y29" s="4788"/>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88"/>
      <c r="Q30" s="999" t="str">
        <f t="shared" si="11"/>
        <v>物业等级</v>
      </c>
      <c r="R30" s="4340" t="s">
        <v>13</v>
      </c>
      <c r="S30" s="4343">
        <f t="shared" si="12"/>
        <v>100</v>
      </c>
      <c r="T30" s="4340" t="s">
        <v>13</v>
      </c>
      <c r="U30" s="4343">
        <f t="shared" si="13"/>
        <v>100</v>
      </c>
      <c r="V30" s="4340" t="s">
        <v>13</v>
      </c>
      <c r="W30" s="4343">
        <f t="shared" si="14"/>
        <v>100</v>
      </c>
      <c r="X30" s="1002"/>
      <c r="Y30" s="4788"/>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88"/>
      <c r="Q31" s="991" t="str">
        <f t="shared" si="11"/>
        <v>停车位面积</v>
      </c>
      <c r="R31" s="4339" t="s">
        <v>13</v>
      </c>
      <c r="S31" s="4342" t="e">
        <f t="shared" si="12"/>
        <v>#N/A</v>
      </c>
      <c r="T31" s="4339" t="s">
        <v>13</v>
      </c>
      <c r="U31" s="4342" t="e">
        <f t="shared" si="13"/>
        <v>#N/A</v>
      </c>
      <c r="V31" s="4339" t="s">
        <v>13</v>
      </c>
      <c r="W31" s="4342" t="e">
        <f t="shared" si="14"/>
        <v>#N/A</v>
      </c>
      <c r="X31" s="515"/>
      <c r="Y31" s="4788"/>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88" t="s">
        <v>1614</v>
      </c>
      <c r="Q32" s="999" t="str">
        <f t="shared" si="11"/>
        <v>车位类型</v>
      </c>
      <c r="R32" s="4340" t="s">
        <v>13</v>
      </c>
      <c r="S32" s="4343">
        <f t="shared" si="12"/>
        <v>100</v>
      </c>
      <c r="T32" s="4340" t="s">
        <v>13</v>
      </c>
      <c r="U32" s="4343">
        <f t="shared" si="13"/>
        <v>100</v>
      </c>
      <c r="V32" s="4340" t="s">
        <v>13</v>
      </c>
      <c r="W32" s="4343">
        <f t="shared" si="14"/>
        <v>100</v>
      </c>
      <c r="X32" s="1002"/>
      <c r="Y32" s="4788"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88"/>
      <c r="Q33" s="999" t="str">
        <f t="shared" si="11"/>
        <v>是否直接入户</v>
      </c>
      <c r="R33" s="4340" t="s">
        <v>13</v>
      </c>
      <c r="S33" s="4343">
        <f t="shared" si="12"/>
        <v>100</v>
      </c>
      <c r="T33" s="4340" t="s">
        <v>13</v>
      </c>
      <c r="U33" s="4343">
        <f t="shared" si="13"/>
        <v>100</v>
      </c>
      <c r="V33" s="4340" t="s">
        <v>13</v>
      </c>
      <c r="W33" s="4343">
        <f t="shared" si="14"/>
        <v>100</v>
      </c>
      <c r="X33" s="1002"/>
      <c r="Y33" s="4788"/>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88"/>
      <c r="Q34" s="999">
        <f t="shared" si="11"/>
        <v>111</v>
      </c>
      <c r="R34" s="4340" t="s">
        <v>13</v>
      </c>
      <c r="S34" s="4343">
        <f t="shared" si="12"/>
        <v>100</v>
      </c>
      <c r="T34" s="4340" t="s">
        <v>13</v>
      </c>
      <c r="U34" s="4343">
        <f t="shared" si="13"/>
        <v>100</v>
      </c>
      <c r="V34" s="4340" t="s">
        <v>13</v>
      </c>
      <c r="W34" s="4343">
        <f t="shared" si="14"/>
        <v>100</v>
      </c>
      <c r="X34" s="1002"/>
      <c r="Y34" s="4788"/>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88"/>
      <c r="Q35" s="517">
        <f t="shared" si="11"/>
        <v>111</v>
      </c>
      <c r="R35" s="4341" t="s">
        <v>13</v>
      </c>
      <c r="S35" s="4344">
        <f t="shared" si="12"/>
        <v>100</v>
      </c>
      <c r="T35" s="4341" t="s">
        <v>13</v>
      </c>
      <c r="U35" s="4344">
        <f t="shared" si="13"/>
        <v>100</v>
      </c>
      <c r="V35" s="4341" t="s">
        <v>13</v>
      </c>
      <c r="W35" s="4344">
        <f t="shared" si="14"/>
        <v>100</v>
      </c>
      <c r="X35" s="518"/>
      <c r="Y35" s="4788"/>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88"/>
      <c r="Q36" s="999">
        <f t="shared" si="11"/>
        <v>111</v>
      </c>
      <c r="R36" s="4340" t="s">
        <v>13</v>
      </c>
      <c r="S36" s="4343">
        <f t="shared" si="12"/>
        <v>100</v>
      </c>
      <c r="T36" s="4340" t="s">
        <v>13</v>
      </c>
      <c r="U36" s="4343">
        <f t="shared" si="13"/>
        <v>100</v>
      </c>
      <c r="V36" s="4340" t="s">
        <v>13</v>
      </c>
      <c r="W36" s="4343">
        <f t="shared" si="14"/>
        <v>100</v>
      </c>
      <c r="X36" s="1002"/>
      <c r="Y36" s="4788"/>
      <c r="Z36" s="1003">
        <f t="shared" si="15"/>
        <v>111</v>
      </c>
      <c r="AA36" s="1000">
        <f t="shared" si="3"/>
        <v>1</v>
      </c>
      <c r="AB36" s="1000">
        <f t="shared" si="4"/>
        <v>1</v>
      </c>
      <c r="AC36" s="1000">
        <f t="shared" si="5"/>
        <v>1</v>
      </c>
    </row>
    <row r="37" spans="1:29" ht="15">
      <c r="A37" s="293" t="s">
        <v>1762</v>
      </c>
      <c r="B37" s="1571" t="s">
        <v>3261</v>
      </c>
      <c r="C37" s="844" t="s">
        <v>0</v>
      </c>
      <c r="D37" s="845"/>
      <c r="E37" s="3667"/>
      <c r="F37" s="3669"/>
      <c r="G37" s="3668"/>
      <c r="H37" s="3670"/>
      <c r="I37" s="3667"/>
      <c r="J37" s="3670"/>
      <c r="K37" s="3671"/>
      <c r="L37" s="2206"/>
      <c r="M37" s="2207"/>
      <c r="N37" s="2198"/>
      <c r="O37" s="2207"/>
      <c r="P37" s="4827" t="str">
        <f>A37</f>
        <v>成交单价</v>
      </c>
      <c r="Q37" s="4827"/>
      <c r="R37" s="4836">
        <f>E37</f>
        <v>0</v>
      </c>
      <c r="S37" s="4836"/>
      <c r="T37" s="4836">
        <f>G37</f>
        <v>0</v>
      </c>
      <c r="U37" s="4836"/>
      <c r="V37" s="4836">
        <f>I37</f>
        <v>0</v>
      </c>
      <c r="W37" s="4836"/>
      <c r="X37" s="504"/>
      <c r="Y37" s="520"/>
      <c r="Z37" s="504"/>
      <c r="AA37" s="504"/>
      <c r="AB37" s="504"/>
      <c r="AC37" s="504"/>
    </row>
    <row r="38" spans="1:29" ht="15.75" thickBot="1">
      <c r="A38" s="296" t="s">
        <v>1763</v>
      </c>
      <c r="B38" s="297" t="str">
        <f>B37</f>
        <v>元/平方米</v>
      </c>
      <c r="C38" s="4297" t="e">
        <f>R39</f>
        <v>#DIV/0!</v>
      </c>
      <c r="D38" s="4469" t="s">
        <v>2054</v>
      </c>
      <c r="E38" s="4308" t="e">
        <f>R38</f>
        <v>#DIV/0!</v>
      </c>
      <c r="F38" s="3183"/>
      <c r="G38" s="4297" t="e">
        <f>T38</f>
        <v>#DIV/0!</v>
      </c>
      <c r="H38" s="3183"/>
      <c r="I38" s="4308" t="e">
        <f>V38</f>
        <v>#DIV/0!</v>
      </c>
      <c r="J38" s="3183"/>
      <c r="K38" s="3238">
        <f>F38+H38+J38</f>
        <v>0</v>
      </c>
      <c r="L38" s="2206"/>
      <c r="M38" s="2207"/>
      <c r="N38" s="2207"/>
      <c r="O38" s="2207"/>
      <c r="P38" s="4827" t="str">
        <f>A38</f>
        <v>比较价值（元/平方米）</v>
      </c>
      <c r="Q38" s="4827"/>
      <c r="R38" s="4836" t="e">
        <f>IF(F1="售价",ROUND(PRODUCT(R37,AA7:AA36),0),ROUND(PRODUCT(R37,AA7:AA36),1))</f>
        <v>#DIV/0!</v>
      </c>
      <c r="S38" s="4836"/>
      <c r="T38" s="4836" t="e">
        <f>IF(F1="售价",ROUND(PRODUCT(T37,AB7:AB36),0),ROUND(PRODUCT(T37,AB7:AB36),1))</f>
        <v>#DIV/0!</v>
      </c>
      <c r="U38" s="4836"/>
      <c r="V38" s="4836" t="e">
        <f>IF(F1="售价",ROUND(PRODUCT(V37,AC7:AC36),0),ROUND(PRODUCT(V37,AC7:AC36),1))</f>
        <v>#DIV/0!</v>
      </c>
      <c r="W38" s="4836"/>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37" t="str">
        <f>A39</f>
        <v>估价对象XX用房的比较价值（楼面单价，元/平方米）</v>
      </c>
      <c r="Q39" s="4838"/>
      <c r="R39" s="4839" t="e">
        <f>IF(F1="售价",ROUND(IF(D38="简单平均",AVERAGE(R38:W38),R38*F38+T38*H38+V38*J38),0),ROUND(IF(D38="简单平均",AVERAGE(R38:V38),R38*F38+T38*H38+V38*J38),1))</f>
        <v>#DIV/0!</v>
      </c>
      <c r="S39" s="4839"/>
      <c r="T39" s="4839"/>
      <c r="U39" s="4839"/>
      <c r="V39" s="4839"/>
      <c r="W39" s="4839"/>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3242</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07" t="s">
        <v>1688</v>
      </c>
      <c r="D4" s="4808"/>
      <c r="E4" s="4809" t="s">
        <v>1689</v>
      </c>
      <c r="F4" s="4810"/>
      <c r="G4" s="4807" t="s">
        <v>1690</v>
      </c>
      <c r="H4" s="4808"/>
      <c r="I4" s="4807" t="s">
        <v>1691</v>
      </c>
      <c r="J4" s="4808"/>
      <c r="K4" s="410" t="s">
        <v>1692</v>
      </c>
      <c r="L4" s="2197"/>
      <c r="M4" s="2198"/>
      <c r="N4" s="2198"/>
      <c r="O4" s="2198"/>
      <c r="P4" s="4828" t="s">
        <v>1693</v>
      </c>
      <c r="Q4" s="4829"/>
      <c r="R4" s="4771" t="s">
        <v>1689</v>
      </c>
      <c r="S4" s="4772"/>
      <c r="T4" s="4771" t="s">
        <v>1690</v>
      </c>
      <c r="U4" s="4772"/>
      <c r="V4" s="4792" t="s">
        <v>1691</v>
      </c>
      <c r="W4" s="4792"/>
      <c r="X4" s="1002"/>
      <c r="Y4" s="4771" t="s">
        <v>1693</v>
      </c>
      <c r="Z4" s="4772"/>
      <c r="AA4" s="4737" t="s">
        <v>1689</v>
      </c>
      <c r="AB4" s="4738" t="s">
        <v>1690</v>
      </c>
      <c r="AC4" s="4737" t="s">
        <v>1691</v>
      </c>
    </row>
    <row r="5" spans="1:29" ht="15">
      <c r="A5" s="245"/>
      <c r="B5" s="246"/>
      <c r="C5" s="4798" t="s">
        <v>1591</v>
      </c>
      <c r="D5" s="4799"/>
      <c r="E5" s="4796" t="s">
        <v>1592</v>
      </c>
      <c r="F5" s="4797"/>
      <c r="G5" s="4798" t="s">
        <v>1593</v>
      </c>
      <c r="H5" s="4799"/>
      <c r="I5" s="4798" t="s">
        <v>1594</v>
      </c>
      <c r="J5" s="4799"/>
      <c r="K5" s="410"/>
      <c r="L5" s="2197"/>
      <c r="M5" s="2198"/>
      <c r="N5" s="2198"/>
      <c r="O5" s="2198"/>
      <c r="P5" s="4830"/>
      <c r="Q5" s="4831"/>
      <c r="R5" s="4773"/>
      <c r="S5" s="4774"/>
      <c r="T5" s="4773"/>
      <c r="U5" s="4774"/>
      <c r="V5" s="4792"/>
      <c r="W5" s="4792"/>
      <c r="X5" s="1002"/>
      <c r="Y5" s="4773"/>
      <c r="Z5" s="4774"/>
      <c r="AA5" s="4738"/>
      <c r="AB5" s="4738"/>
      <c r="AC5" s="4738"/>
    </row>
    <row r="6" spans="1:29" ht="15.75" thickBot="1">
      <c r="A6" s="247"/>
      <c r="B6" s="248"/>
      <c r="C6" s="4800" t="s">
        <v>1595</v>
      </c>
      <c r="D6" s="4801"/>
      <c r="E6" s="4802" t="s">
        <v>1595</v>
      </c>
      <c r="F6" s="4803"/>
      <c r="G6" s="4800" t="s">
        <v>1595</v>
      </c>
      <c r="H6" s="4801"/>
      <c r="I6" s="4800" t="s">
        <v>1595</v>
      </c>
      <c r="J6" s="4801"/>
      <c r="K6" s="410" t="s">
        <v>1596</v>
      </c>
      <c r="L6" s="2197"/>
      <c r="M6" s="2198"/>
      <c r="N6" s="2198"/>
      <c r="O6" s="2198"/>
      <c r="P6" s="4832"/>
      <c r="Q6" s="4833"/>
      <c r="R6" s="4773"/>
      <c r="S6" s="4774"/>
      <c r="T6" s="4775"/>
      <c r="U6" s="4776"/>
      <c r="V6" s="4792"/>
      <c r="W6" s="4792"/>
      <c r="X6" s="1002"/>
      <c r="Y6" s="4775"/>
      <c r="Z6" s="4776"/>
      <c r="AA6" s="4739"/>
      <c r="AB6" s="4739"/>
      <c r="AC6" s="4739"/>
    </row>
    <row r="7" spans="1:29" s="49" customFormat="1" ht="15.75" thickBot="1">
      <c r="A7" s="249" t="s">
        <v>1597</v>
      </c>
      <c r="B7" s="250"/>
      <c r="C7" s="251">
        <f>'数据-取费表'!B2</f>
        <v>46041</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40" t="s">
        <v>1598</v>
      </c>
      <c r="Q7" s="4834"/>
      <c r="R7" s="4339" t="s">
        <v>13</v>
      </c>
      <c r="S7" s="4342">
        <f t="shared" ref="S7:S14" si="0">F7</f>
        <v>0</v>
      </c>
      <c r="T7" s="4339" t="s">
        <v>13</v>
      </c>
      <c r="U7" s="4342">
        <f t="shared" ref="U7:U14" si="1">H7</f>
        <v>0</v>
      </c>
      <c r="V7" s="4339" t="s">
        <v>13</v>
      </c>
      <c r="W7" s="4342">
        <f t="shared" ref="W7:W14" si="2">J7</f>
        <v>0</v>
      </c>
      <c r="X7" s="515"/>
      <c r="Y7" s="4740" t="s">
        <v>1598</v>
      </c>
      <c r="Z7" s="4741"/>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40" t="s">
        <v>1601</v>
      </c>
      <c r="Q8" s="4741"/>
      <c r="R8" s="4339" t="s">
        <v>13</v>
      </c>
      <c r="S8" s="4342">
        <f t="shared" si="0"/>
        <v>100</v>
      </c>
      <c r="T8" s="4339" t="s">
        <v>13</v>
      </c>
      <c r="U8" s="4342">
        <f t="shared" si="1"/>
        <v>100</v>
      </c>
      <c r="V8" s="4339" t="s">
        <v>13</v>
      </c>
      <c r="W8" s="4342">
        <f t="shared" si="2"/>
        <v>100</v>
      </c>
      <c r="X8" s="515"/>
      <c r="Y8" s="4740" t="s">
        <v>1601</v>
      </c>
      <c r="Z8" s="4741"/>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27" t="s">
        <v>1604</v>
      </c>
      <c r="Q9" s="991" t="str">
        <f t="shared" ref="Q9:Q14" si="6">B9</f>
        <v>用途</v>
      </c>
      <c r="R9" s="4339" t="s">
        <v>13</v>
      </c>
      <c r="S9" s="4342">
        <f t="shared" si="0"/>
        <v>100</v>
      </c>
      <c r="T9" s="4339" t="s">
        <v>13</v>
      </c>
      <c r="U9" s="4342">
        <f t="shared" si="1"/>
        <v>100</v>
      </c>
      <c r="V9" s="4339" t="s">
        <v>13</v>
      </c>
      <c r="W9" s="4342">
        <f t="shared" si="2"/>
        <v>100</v>
      </c>
      <c r="X9" s="515"/>
      <c r="Y9" s="4755"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27"/>
      <c r="Q10" s="991" t="str">
        <f t="shared" si="6"/>
        <v>土地使用年限（年）</v>
      </c>
      <c r="R10" s="4339" t="s">
        <v>13</v>
      </c>
      <c r="S10" s="4342">
        <f t="shared" si="0"/>
        <v>100</v>
      </c>
      <c r="T10" s="4339" t="s">
        <v>13</v>
      </c>
      <c r="U10" s="4342">
        <f t="shared" si="1"/>
        <v>100</v>
      </c>
      <c r="V10" s="4339" t="s">
        <v>13</v>
      </c>
      <c r="W10" s="4342">
        <f t="shared" si="2"/>
        <v>100</v>
      </c>
      <c r="X10" s="515"/>
      <c r="Y10" s="4755"/>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27"/>
      <c r="Q11" s="991">
        <f t="shared" si="6"/>
        <v>111</v>
      </c>
      <c r="R11" s="4339" t="s">
        <v>13</v>
      </c>
      <c r="S11" s="4342">
        <f t="shared" si="0"/>
        <v>100</v>
      </c>
      <c r="T11" s="4339" t="s">
        <v>13</v>
      </c>
      <c r="U11" s="4342">
        <f t="shared" si="1"/>
        <v>100</v>
      </c>
      <c r="V11" s="4339" t="s">
        <v>13</v>
      </c>
      <c r="W11" s="4342">
        <f t="shared" si="2"/>
        <v>100</v>
      </c>
      <c r="X11" s="515"/>
      <c r="Y11" s="4755"/>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27"/>
      <c r="Q12" s="991">
        <f t="shared" si="6"/>
        <v>111</v>
      </c>
      <c r="R12" s="4339" t="s">
        <v>13</v>
      </c>
      <c r="S12" s="4342">
        <f t="shared" si="0"/>
        <v>100</v>
      </c>
      <c r="T12" s="4339" t="s">
        <v>13</v>
      </c>
      <c r="U12" s="4342">
        <f t="shared" si="1"/>
        <v>100</v>
      </c>
      <c r="V12" s="4339" t="s">
        <v>13</v>
      </c>
      <c r="W12" s="4342">
        <f t="shared" si="2"/>
        <v>100</v>
      </c>
      <c r="X12" s="515"/>
      <c r="Y12" s="4755"/>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27"/>
      <c r="Q13" s="991">
        <f t="shared" si="6"/>
        <v>111</v>
      </c>
      <c r="R13" s="4339" t="s">
        <v>13</v>
      </c>
      <c r="S13" s="4342">
        <f t="shared" si="0"/>
        <v>100</v>
      </c>
      <c r="T13" s="4339" t="s">
        <v>13</v>
      </c>
      <c r="U13" s="4342">
        <f t="shared" si="1"/>
        <v>100</v>
      </c>
      <c r="V13" s="4339" t="s">
        <v>13</v>
      </c>
      <c r="W13" s="4342">
        <f t="shared" si="2"/>
        <v>100</v>
      </c>
      <c r="X13" s="515"/>
      <c r="Y13" s="4755"/>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83" t="s">
        <v>1609</v>
      </c>
      <c r="Q14" s="999" t="str">
        <f t="shared" si="6"/>
        <v>交通便捷度</v>
      </c>
      <c r="R14" s="4340" t="s">
        <v>13</v>
      </c>
      <c r="S14" s="4343">
        <f t="shared" si="0"/>
        <v>100</v>
      </c>
      <c r="T14" s="4340" t="s">
        <v>13</v>
      </c>
      <c r="U14" s="4343">
        <f t="shared" si="1"/>
        <v>100</v>
      </c>
      <c r="V14" s="4340" t="s">
        <v>13</v>
      </c>
      <c r="W14" s="4343">
        <f t="shared" si="2"/>
        <v>100</v>
      </c>
      <c r="X14" s="1002"/>
      <c r="Y14" s="4783"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84"/>
      <c r="Q15" s="999"/>
      <c r="R15" s="4340"/>
      <c r="S15" s="4343"/>
      <c r="T15" s="4340"/>
      <c r="U15" s="4343"/>
      <c r="V15" s="4340"/>
      <c r="W15" s="4343"/>
      <c r="X15" s="1002"/>
      <c r="Y15" s="4784"/>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84"/>
      <c r="Q16" s="999" t="str">
        <f>B16</f>
        <v>公共配套设施</v>
      </c>
      <c r="R16" s="4340" t="s">
        <v>13</v>
      </c>
      <c r="S16" s="4343">
        <f>F16</f>
        <v>100</v>
      </c>
      <c r="T16" s="4340" t="s">
        <v>13</v>
      </c>
      <c r="U16" s="4343">
        <f>H16</f>
        <v>100</v>
      </c>
      <c r="V16" s="4340" t="s">
        <v>13</v>
      </c>
      <c r="W16" s="4343">
        <f>J16</f>
        <v>100</v>
      </c>
      <c r="X16" s="1002"/>
      <c r="Y16" s="4784"/>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84"/>
      <c r="Q17" s="999"/>
      <c r="R17" s="4340"/>
      <c r="S17" s="4343"/>
      <c r="T17" s="4340"/>
      <c r="U17" s="4343"/>
      <c r="V17" s="4340"/>
      <c r="W17" s="4343"/>
      <c r="X17" s="1002"/>
      <c r="Y17" s="4784"/>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84"/>
      <c r="Q18" s="999" t="str">
        <f>B18</f>
        <v>基础设施水平</v>
      </c>
      <c r="R18" s="4340" t="s">
        <v>13</v>
      </c>
      <c r="S18" s="4343">
        <f>F18</f>
        <v>100</v>
      </c>
      <c r="T18" s="4340" t="s">
        <v>13</v>
      </c>
      <c r="U18" s="4343">
        <f>H18</f>
        <v>100</v>
      </c>
      <c r="V18" s="4340" t="s">
        <v>13</v>
      </c>
      <c r="W18" s="4343">
        <f>J18</f>
        <v>100</v>
      </c>
      <c r="X18" s="1002"/>
      <c r="Y18" s="4784"/>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84"/>
      <c r="Q19" s="999"/>
      <c r="R19" s="4340"/>
      <c r="S19" s="4343"/>
      <c r="T19" s="4340"/>
      <c r="U19" s="4343"/>
      <c r="V19" s="4340"/>
      <c r="W19" s="4343"/>
      <c r="X19" s="1002"/>
      <c r="Y19" s="4784"/>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84"/>
      <c r="Q20" s="999" t="str">
        <f>B20</f>
        <v>自然及人文环境</v>
      </c>
      <c r="R20" s="4340" t="s">
        <v>13</v>
      </c>
      <c r="S20" s="4343">
        <f>F20</f>
        <v>100</v>
      </c>
      <c r="T20" s="4340" t="s">
        <v>13</v>
      </c>
      <c r="U20" s="4343">
        <f>H20</f>
        <v>100</v>
      </c>
      <c r="V20" s="4340" t="s">
        <v>13</v>
      </c>
      <c r="W20" s="4343">
        <f>J20</f>
        <v>100</v>
      </c>
      <c r="X20" s="1002"/>
      <c r="Y20" s="4784"/>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84"/>
      <c r="Q21" s="999"/>
      <c r="R21" s="4340"/>
      <c r="S21" s="4343"/>
      <c r="T21" s="4340"/>
      <c r="U21" s="4343"/>
      <c r="V21" s="4340"/>
      <c r="W21" s="4343"/>
      <c r="X21" s="1002"/>
      <c r="Y21" s="4784"/>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84"/>
      <c r="Q22" s="999" t="str">
        <f>B22</f>
        <v>楼层</v>
      </c>
      <c r="R22" s="4340" t="s">
        <v>13</v>
      </c>
      <c r="S22" s="4343">
        <f>F22</f>
        <v>100</v>
      </c>
      <c r="T22" s="4340" t="s">
        <v>13</v>
      </c>
      <c r="U22" s="4343">
        <f>H22</f>
        <v>100</v>
      </c>
      <c r="V22" s="4340" t="s">
        <v>13</v>
      </c>
      <c r="W22" s="4343">
        <f>J22</f>
        <v>100</v>
      </c>
      <c r="X22" s="1002"/>
      <c r="Y22" s="4784"/>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84"/>
      <c r="Q23" s="999">
        <f>B23</f>
        <v>111</v>
      </c>
      <c r="R23" s="4340" t="s">
        <v>13</v>
      </c>
      <c r="S23" s="4343">
        <f>F23</f>
        <v>100</v>
      </c>
      <c r="T23" s="4340" t="s">
        <v>13</v>
      </c>
      <c r="U23" s="4343">
        <f>H23</f>
        <v>100</v>
      </c>
      <c r="V23" s="4340" t="s">
        <v>13</v>
      </c>
      <c r="W23" s="4343">
        <f>J23</f>
        <v>100</v>
      </c>
      <c r="X23" s="1002"/>
      <c r="Y23" s="4784"/>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84"/>
      <c r="Q24" s="999">
        <f t="shared" ref="Q24:Q34" si="11">B24</f>
        <v>111</v>
      </c>
      <c r="R24" s="4340" t="s">
        <v>13</v>
      </c>
      <c r="S24" s="4343">
        <f>F24</f>
        <v>100</v>
      </c>
      <c r="T24" s="4340" t="s">
        <v>13</v>
      </c>
      <c r="U24" s="4343">
        <f>H24</f>
        <v>100</v>
      </c>
      <c r="V24" s="4340" t="s">
        <v>13</v>
      </c>
      <c r="W24" s="4343">
        <f>J24</f>
        <v>100</v>
      </c>
      <c r="X24" s="1002"/>
      <c r="Y24" s="4784"/>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84"/>
      <c r="Q25" s="991">
        <f t="shared" si="11"/>
        <v>111</v>
      </c>
      <c r="R25" s="4339" t="s">
        <v>13</v>
      </c>
      <c r="S25" s="4342">
        <f>F25</f>
        <v>100</v>
      </c>
      <c r="T25" s="4339" t="s">
        <v>13</v>
      </c>
      <c r="U25" s="4342">
        <f>H25</f>
        <v>100</v>
      </c>
      <c r="V25" s="4339" t="s">
        <v>13</v>
      </c>
      <c r="W25" s="4342">
        <f>J25</f>
        <v>100</v>
      </c>
      <c r="X25" s="515"/>
      <c r="Y25" s="4784"/>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35"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88"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88"/>
      <c r="Q27" s="517" t="str">
        <f t="shared" si="11"/>
        <v>成新率</v>
      </c>
      <c r="R27" s="4341" t="s">
        <v>13</v>
      </c>
      <c r="S27" s="4344" t="e">
        <f t="shared" si="12"/>
        <v>#N/A</v>
      </c>
      <c r="T27" s="4341" t="s">
        <v>13</v>
      </c>
      <c r="U27" s="4344" t="e">
        <f t="shared" si="13"/>
        <v>#N/A</v>
      </c>
      <c r="V27" s="4341" t="s">
        <v>13</v>
      </c>
      <c r="W27" s="4344" t="e">
        <f t="shared" si="14"/>
        <v>#N/A</v>
      </c>
      <c r="X27" s="518"/>
      <c r="Y27" s="4788"/>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88"/>
      <c r="Q28" s="999" t="str">
        <f t="shared" si="11"/>
        <v>物业等级</v>
      </c>
      <c r="R28" s="4340" t="s">
        <v>13</v>
      </c>
      <c r="S28" s="4343">
        <f t="shared" si="12"/>
        <v>100</v>
      </c>
      <c r="T28" s="4340" t="s">
        <v>13</v>
      </c>
      <c r="U28" s="4343">
        <f t="shared" si="13"/>
        <v>100</v>
      </c>
      <c r="V28" s="4340" t="s">
        <v>13</v>
      </c>
      <c r="W28" s="4343">
        <f t="shared" si="14"/>
        <v>100</v>
      </c>
      <c r="X28" s="1002"/>
      <c r="Y28" s="4788"/>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88"/>
      <c r="Q29" s="999" t="str">
        <f t="shared" si="11"/>
        <v>有无电梯</v>
      </c>
      <c r="R29" s="4340" t="s">
        <v>13</v>
      </c>
      <c r="S29" s="4343">
        <f t="shared" si="12"/>
        <v>100</v>
      </c>
      <c r="T29" s="4340" t="s">
        <v>13</v>
      </c>
      <c r="U29" s="4343">
        <f t="shared" si="13"/>
        <v>100</v>
      </c>
      <c r="V29" s="4340" t="s">
        <v>13</v>
      </c>
      <c r="W29" s="4343">
        <f t="shared" si="14"/>
        <v>100</v>
      </c>
      <c r="X29" s="1002"/>
      <c r="Y29" s="4788"/>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88"/>
      <c r="Q30" s="999" t="str">
        <f t="shared" si="11"/>
        <v>建筑面积</v>
      </c>
      <c r="R30" s="4340" t="s">
        <v>13</v>
      </c>
      <c r="S30" s="4343" t="e">
        <f t="shared" si="12"/>
        <v>#N/A</v>
      </c>
      <c r="T30" s="4340" t="s">
        <v>13</v>
      </c>
      <c r="U30" s="4343" t="e">
        <f t="shared" si="13"/>
        <v>#N/A</v>
      </c>
      <c r="V30" s="4340" t="s">
        <v>13</v>
      </c>
      <c r="W30" s="4343" t="e">
        <f t="shared" si="14"/>
        <v>#N/A</v>
      </c>
      <c r="X30" s="1002"/>
      <c r="Y30" s="4788"/>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88"/>
      <c r="Q31" s="991" t="str">
        <f t="shared" si="11"/>
        <v>是否封闭</v>
      </c>
      <c r="R31" s="4339" t="s">
        <v>13</v>
      </c>
      <c r="S31" s="4342">
        <f t="shared" si="12"/>
        <v>100</v>
      </c>
      <c r="T31" s="4339" t="s">
        <v>13</v>
      </c>
      <c r="U31" s="4342">
        <f t="shared" si="13"/>
        <v>100</v>
      </c>
      <c r="V31" s="4339" t="s">
        <v>13</v>
      </c>
      <c r="W31" s="4342">
        <f t="shared" si="14"/>
        <v>100</v>
      </c>
      <c r="X31" s="515"/>
      <c r="Y31" s="4788"/>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88" t="s">
        <v>1614</v>
      </c>
      <c r="Q32" s="999">
        <f t="shared" si="11"/>
        <v>111</v>
      </c>
      <c r="R32" s="4340" t="s">
        <v>13</v>
      </c>
      <c r="S32" s="4343">
        <f t="shared" si="12"/>
        <v>100</v>
      </c>
      <c r="T32" s="4340" t="s">
        <v>13</v>
      </c>
      <c r="U32" s="4343">
        <f t="shared" si="13"/>
        <v>100</v>
      </c>
      <c r="V32" s="4340" t="s">
        <v>13</v>
      </c>
      <c r="W32" s="4343">
        <f t="shared" si="14"/>
        <v>100</v>
      </c>
      <c r="X32" s="1002"/>
      <c r="Y32" s="4788"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88"/>
      <c r="Q33" s="999">
        <f t="shared" si="11"/>
        <v>111</v>
      </c>
      <c r="R33" s="4340" t="s">
        <v>13</v>
      </c>
      <c r="S33" s="4343">
        <f t="shared" si="12"/>
        <v>100</v>
      </c>
      <c r="T33" s="4340" t="s">
        <v>13</v>
      </c>
      <c r="U33" s="4343">
        <f t="shared" si="13"/>
        <v>100</v>
      </c>
      <c r="V33" s="4340" t="s">
        <v>13</v>
      </c>
      <c r="W33" s="4343">
        <f t="shared" si="14"/>
        <v>100</v>
      </c>
      <c r="X33" s="1002"/>
      <c r="Y33" s="4788"/>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88"/>
      <c r="Q34" s="999">
        <f t="shared" si="11"/>
        <v>111</v>
      </c>
      <c r="R34" s="4340" t="s">
        <v>13</v>
      </c>
      <c r="S34" s="4343">
        <f t="shared" si="12"/>
        <v>100</v>
      </c>
      <c r="T34" s="4340" t="s">
        <v>13</v>
      </c>
      <c r="U34" s="4343">
        <f t="shared" si="13"/>
        <v>100</v>
      </c>
      <c r="V34" s="4340" t="s">
        <v>13</v>
      </c>
      <c r="W34" s="4343">
        <f t="shared" si="14"/>
        <v>100</v>
      </c>
      <c r="X34" s="1002"/>
      <c r="Y34" s="4788"/>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27" t="str">
        <f>A35</f>
        <v>成交单价（元/平方米）</v>
      </c>
      <c r="Q35" s="4827"/>
      <c r="R35" s="4836">
        <f>E35</f>
        <v>0</v>
      </c>
      <c r="S35" s="4836"/>
      <c r="T35" s="4836">
        <f>G35</f>
        <v>0</v>
      </c>
      <c r="U35" s="4836"/>
      <c r="V35" s="4836">
        <f>I35</f>
        <v>0</v>
      </c>
      <c r="W35" s="4836"/>
      <c r="X35" s="504"/>
      <c r="Y35" s="520"/>
      <c r="Z35" s="504"/>
      <c r="AA35" s="504"/>
      <c r="AB35" s="504"/>
      <c r="AC35" s="504"/>
    </row>
    <row r="36" spans="1:30" ht="15.75" thickBot="1">
      <c r="A36" s="296" t="s">
        <v>1711</v>
      </c>
      <c r="B36" s="297"/>
      <c r="C36" s="4297" t="e">
        <f>R37</f>
        <v>#DIV/0!</v>
      </c>
      <c r="D36" s="4469" t="s">
        <v>2054</v>
      </c>
      <c r="E36" s="4308" t="e">
        <f>R36</f>
        <v>#DIV/0!</v>
      </c>
      <c r="F36" s="3183"/>
      <c r="G36" s="4297" t="e">
        <f>T36</f>
        <v>#DIV/0!</v>
      </c>
      <c r="H36" s="3183"/>
      <c r="I36" s="4308" t="e">
        <f>V36</f>
        <v>#DIV/0!</v>
      </c>
      <c r="J36" s="3183"/>
      <c r="K36" s="3238">
        <f>F36+H36+J36</f>
        <v>0</v>
      </c>
      <c r="L36" s="2206"/>
      <c r="M36" s="2207"/>
      <c r="N36" s="2198"/>
      <c r="O36" s="2207"/>
      <c r="P36" s="4827" t="str">
        <f>A36</f>
        <v>比较价值（元/平方米）</v>
      </c>
      <c r="Q36" s="4827"/>
      <c r="R36" s="4836" t="e">
        <f>IF(F1="售价",ROUND(PRODUCT(R35,AA7:AA34),0),ROUND(PRODUCT(R35,AA7:AA34),1))</f>
        <v>#DIV/0!</v>
      </c>
      <c r="S36" s="4836"/>
      <c r="T36" s="4836" t="e">
        <f>IF(F1="售价",ROUND(PRODUCT(T35,AB7:AB34),0),ROUND(PRODUCT(T35,AB7:AB34),1))</f>
        <v>#DIV/0!</v>
      </c>
      <c r="U36" s="4836"/>
      <c r="V36" s="4836" t="e">
        <f>IF(F1="售价",ROUND(PRODUCT(V35,AC7:AC34),0),ROUND(PRODUCT(V35,AC7:AC34),1))</f>
        <v>#DIV/0!</v>
      </c>
      <c r="W36" s="4836"/>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37" t="str">
        <f>A37</f>
        <v>估价对象XX用房的比较价值（楼面单价，元/平方米）</v>
      </c>
      <c r="Q37" s="4838"/>
      <c r="R37" s="4839" t="e">
        <f>IF(F1="售价",ROUND(IF(D36="简单平均",AVERAGE(R36:W36),R36*F36+T36*H36+V36*J36),0),ROUND(IF(D36="简单平均",AVERAGE(R36:V36),R36*F36+T36*H36+V36*J36),1))</f>
        <v>#DIV/0!</v>
      </c>
      <c r="S37" s="4839"/>
      <c r="T37" s="4839"/>
      <c r="U37" s="4839"/>
      <c r="V37" s="4839"/>
      <c r="W37" s="4839"/>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3682</v>
      </c>
      <c r="B4" s="3866" t="e">
        <f>IF(B48="单位面积地价",C50,ROUND(B2*10000/'数据-汇总表'!D3,0))</f>
        <v>#DIV/0!</v>
      </c>
      <c r="C4" s="1474" t="s">
        <v>3684</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3683</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56" t="s">
        <v>1688</v>
      </c>
      <c r="D6" s="4757"/>
      <c r="E6" s="4758" t="s">
        <v>1689</v>
      </c>
      <c r="F6" s="4759"/>
      <c r="G6" s="4756" t="s">
        <v>1690</v>
      </c>
      <c r="H6" s="4757"/>
      <c r="I6" s="4756" t="s">
        <v>1691</v>
      </c>
      <c r="J6" s="4757"/>
      <c r="K6" s="3246" t="s">
        <v>1692</v>
      </c>
      <c r="L6" s="2197"/>
      <c r="M6" s="2198"/>
      <c r="N6" s="2198"/>
      <c r="O6" s="2198"/>
      <c r="P6" s="4760" t="s">
        <v>1693</v>
      </c>
      <c r="Q6" s="4761"/>
      <c r="R6" s="4742" t="s">
        <v>1689</v>
      </c>
      <c r="S6" s="4743"/>
      <c r="T6" s="4742" t="s">
        <v>1690</v>
      </c>
      <c r="U6" s="4743"/>
      <c r="V6" s="4768" t="s">
        <v>1691</v>
      </c>
      <c r="W6" s="4768"/>
      <c r="X6" s="1002"/>
      <c r="Y6" s="4771" t="s">
        <v>1693</v>
      </c>
      <c r="Z6" s="4772"/>
      <c r="AA6" s="4737" t="s">
        <v>1689</v>
      </c>
      <c r="AB6" s="4738" t="s">
        <v>1690</v>
      </c>
      <c r="AC6" s="4737" t="s">
        <v>1691</v>
      </c>
    </row>
    <row r="7" spans="1:30" ht="15">
      <c r="A7" s="245"/>
      <c r="B7" s="246"/>
      <c r="C7" s="4748" t="s">
        <v>1591</v>
      </c>
      <c r="D7" s="4749"/>
      <c r="E7" s="4746" t="s">
        <v>1592</v>
      </c>
      <c r="F7" s="4747"/>
      <c r="G7" s="4748" t="s">
        <v>1593</v>
      </c>
      <c r="H7" s="4749"/>
      <c r="I7" s="4748" t="s">
        <v>1594</v>
      </c>
      <c r="J7" s="4749"/>
      <c r="K7" s="3246"/>
      <c r="L7" s="2197"/>
      <c r="M7" s="2198"/>
      <c r="N7" s="2198"/>
      <c r="O7" s="2198"/>
      <c r="P7" s="4762"/>
      <c r="Q7" s="4763"/>
      <c r="R7" s="4744"/>
      <c r="S7" s="4745"/>
      <c r="T7" s="4744"/>
      <c r="U7" s="4745"/>
      <c r="V7" s="4768"/>
      <c r="W7" s="4768"/>
      <c r="X7" s="1002"/>
      <c r="Y7" s="4773"/>
      <c r="Z7" s="4774"/>
      <c r="AA7" s="4738"/>
      <c r="AB7" s="4738"/>
      <c r="AC7" s="4738"/>
    </row>
    <row r="8" spans="1:30" ht="15.75" thickBot="1">
      <c r="A8" s="247"/>
      <c r="B8" s="248"/>
      <c r="C8" s="4750" t="s">
        <v>1595</v>
      </c>
      <c r="D8" s="4751"/>
      <c r="E8" s="4752" t="s">
        <v>1595</v>
      </c>
      <c r="F8" s="4753"/>
      <c r="G8" s="4750" t="s">
        <v>1595</v>
      </c>
      <c r="H8" s="4751"/>
      <c r="I8" s="4750" t="s">
        <v>1595</v>
      </c>
      <c r="J8" s="4751"/>
      <c r="K8" s="3246" t="s">
        <v>1596</v>
      </c>
      <c r="L8" s="2197"/>
      <c r="M8" s="2198"/>
      <c r="N8" s="2198"/>
      <c r="O8" s="2198"/>
      <c r="P8" s="4764"/>
      <c r="Q8" s="4765"/>
      <c r="R8" s="4744"/>
      <c r="S8" s="4745"/>
      <c r="T8" s="4766"/>
      <c r="U8" s="4767"/>
      <c r="V8" s="4768"/>
      <c r="W8" s="4768"/>
      <c r="X8" s="1002"/>
      <c r="Y8" s="4775"/>
      <c r="Z8" s="4776"/>
      <c r="AA8" s="4739"/>
      <c r="AB8" s="4739"/>
      <c r="AC8" s="4739"/>
    </row>
    <row r="9" spans="1:30" s="49" customFormat="1" ht="15.75" thickBot="1">
      <c r="A9" s="3534" t="s">
        <v>1597</v>
      </c>
      <c r="B9" s="3535"/>
      <c r="C9" s="3193">
        <f>'数据-取费表'!B2</f>
        <v>46041</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69" t="s">
        <v>1598</v>
      </c>
      <c r="Q9" s="4777"/>
      <c r="R9" s="4331" t="s">
        <v>13</v>
      </c>
      <c r="S9" s="4334">
        <f t="shared" ref="S9:S17" si="0">F9</f>
        <v>0</v>
      </c>
      <c r="T9" s="4331" t="s">
        <v>13</v>
      </c>
      <c r="U9" s="4334">
        <f t="shared" ref="U9:U17" si="1">H9</f>
        <v>0</v>
      </c>
      <c r="V9" s="4331" t="s">
        <v>13</v>
      </c>
      <c r="W9" s="4334">
        <f t="shared" ref="W9:W17" si="2">J9</f>
        <v>0</v>
      </c>
      <c r="X9" s="515"/>
      <c r="Y9" s="4740" t="s">
        <v>1598</v>
      </c>
      <c r="Z9" s="4741"/>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69" t="s">
        <v>1601</v>
      </c>
      <c r="Q10" s="4770"/>
      <c r="R10" s="4331" t="s">
        <v>13</v>
      </c>
      <c r="S10" s="4334">
        <f t="shared" si="0"/>
        <v>100</v>
      </c>
      <c r="T10" s="4331" t="s">
        <v>13</v>
      </c>
      <c r="U10" s="4334">
        <f t="shared" si="1"/>
        <v>100</v>
      </c>
      <c r="V10" s="4331" t="s">
        <v>13</v>
      </c>
      <c r="W10" s="4334">
        <f t="shared" si="2"/>
        <v>100</v>
      </c>
      <c r="X10" s="515"/>
      <c r="Y10" s="4740" t="s">
        <v>1601</v>
      </c>
      <c r="Z10" s="4741"/>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81" t="s">
        <v>1604</v>
      </c>
      <c r="Q11" s="3458" t="str">
        <f t="shared" ref="Q11:Q17" si="6">B11</f>
        <v>用途</v>
      </c>
      <c r="R11" s="4331" t="s">
        <v>13</v>
      </c>
      <c r="S11" s="4334">
        <f t="shared" si="0"/>
        <v>100</v>
      </c>
      <c r="T11" s="4331" t="s">
        <v>13</v>
      </c>
      <c r="U11" s="4334">
        <f t="shared" si="1"/>
        <v>100</v>
      </c>
      <c r="V11" s="4331" t="s">
        <v>13</v>
      </c>
      <c r="W11" s="4334">
        <f t="shared" si="2"/>
        <v>100</v>
      </c>
      <c r="X11" s="515"/>
      <c r="Y11" s="4755"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109.4</v>
      </c>
      <c r="G12" s="3255"/>
      <c r="H12" s="4295">
        <f>ROUND(100/'数据-取费表'!G16,1)</f>
        <v>109.4</v>
      </c>
      <c r="I12" s="3255"/>
      <c r="J12" s="4295">
        <f>ROUND(100/'数据-取费表'!G16,1)</f>
        <v>109.4</v>
      </c>
      <c r="K12" s="3570"/>
      <c r="L12" s="2201"/>
      <c r="M12" s="2202"/>
      <c r="N12" s="2202"/>
      <c r="O12" s="2255"/>
      <c r="P12" s="4781"/>
      <c r="Q12" s="3458" t="str">
        <f t="shared" si="6"/>
        <v>土地使用年限（年）</v>
      </c>
      <c r="R12" s="4331" t="s">
        <v>13</v>
      </c>
      <c r="S12" s="4334">
        <f t="shared" si="0"/>
        <v>109.4</v>
      </c>
      <c r="T12" s="4331" t="s">
        <v>13</v>
      </c>
      <c r="U12" s="4334">
        <f t="shared" si="1"/>
        <v>109.4</v>
      </c>
      <c r="V12" s="4331" t="s">
        <v>13</v>
      </c>
      <c r="W12" s="4334">
        <f t="shared" si="2"/>
        <v>109.4</v>
      </c>
      <c r="X12" s="515"/>
      <c r="Y12" s="4755"/>
      <c r="Z12" s="28" t="str">
        <f t="shared" si="7"/>
        <v>土地使用年限（年）</v>
      </c>
      <c r="AA12" s="516">
        <f t="shared" si="3"/>
        <v>0.91407678244972568</v>
      </c>
      <c r="AB12" s="516">
        <f t="shared" si="4"/>
        <v>0.91407678244972568</v>
      </c>
      <c r="AC12" s="516">
        <f t="shared" si="5"/>
        <v>0.91407678244972568</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81"/>
      <c r="Q13" s="3458" t="str">
        <f t="shared" si="6"/>
        <v>容积率</v>
      </c>
      <c r="R13" s="4331" t="s">
        <v>13</v>
      </c>
      <c r="S13" s="4334" t="e">
        <f t="shared" si="0"/>
        <v>#N/A</v>
      </c>
      <c r="T13" s="4331" t="s">
        <v>13</v>
      </c>
      <c r="U13" s="4334" t="e">
        <f t="shared" si="1"/>
        <v>#N/A</v>
      </c>
      <c r="V13" s="4331" t="s">
        <v>13</v>
      </c>
      <c r="W13" s="4334" t="e">
        <f t="shared" si="2"/>
        <v>#N/A</v>
      </c>
      <c r="X13" s="515"/>
      <c r="Y13" s="4755"/>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81"/>
      <c r="Q14" s="3458" t="str">
        <f t="shared" si="6"/>
        <v>配建</v>
      </c>
      <c r="R14" s="4331" t="s">
        <v>13</v>
      </c>
      <c r="S14" s="4334">
        <f t="shared" si="0"/>
        <v>100</v>
      </c>
      <c r="T14" s="4331" t="s">
        <v>13</v>
      </c>
      <c r="U14" s="4334">
        <f t="shared" si="1"/>
        <v>100</v>
      </c>
      <c r="V14" s="4331" t="s">
        <v>13</v>
      </c>
      <c r="W14" s="4334">
        <f t="shared" si="2"/>
        <v>100</v>
      </c>
      <c r="X14" s="515"/>
      <c r="Y14" s="4755"/>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81"/>
      <c r="Q15" s="3458">
        <f t="shared" si="6"/>
        <v>111</v>
      </c>
      <c r="R15" s="4331" t="s">
        <v>13</v>
      </c>
      <c r="S15" s="4334">
        <f t="shared" si="0"/>
        <v>100</v>
      </c>
      <c r="T15" s="4331" t="s">
        <v>13</v>
      </c>
      <c r="U15" s="4334">
        <f t="shared" si="1"/>
        <v>100</v>
      </c>
      <c r="V15" s="4331" t="s">
        <v>13</v>
      </c>
      <c r="W15" s="4334">
        <f t="shared" si="2"/>
        <v>100</v>
      </c>
      <c r="X15" s="515"/>
      <c r="Y15" s="4755"/>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81"/>
      <c r="Q16" s="3458">
        <f t="shared" si="6"/>
        <v>111</v>
      </c>
      <c r="R16" s="4331" t="s">
        <v>13</v>
      </c>
      <c r="S16" s="4334">
        <f t="shared" si="0"/>
        <v>100</v>
      </c>
      <c r="T16" s="4331" t="s">
        <v>13</v>
      </c>
      <c r="U16" s="4334">
        <f t="shared" si="1"/>
        <v>100</v>
      </c>
      <c r="V16" s="4331" t="s">
        <v>13</v>
      </c>
      <c r="W16" s="4334">
        <f t="shared" si="2"/>
        <v>100</v>
      </c>
      <c r="X16" s="515"/>
      <c r="Y16" s="4755"/>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22" t="s">
        <v>1609</v>
      </c>
      <c r="Q17" s="3461" t="str">
        <f t="shared" si="6"/>
        <v>居住社区成熟度</v>
      </c>
      <c r="R17" s="4332" t="s">
        <v>13</v>
      </c>
      <c r="S17" s="4335">
        <f t="shared" si="0"/>
        <v>100</v>
      </c>
      <c r="T17" s="4332" t="s">
        <v>13</v>
      </c>
      <c r="U17" s="4335">
        <f t="shared" si="1"/>
        <v>100</v>
      </c>
      <c r="V17" s="4332" t="s">
        <v>13</v>
      </c>
      <c r="W17" s="4335">
        <f t="shared" si="2"/>
        <v>100</v>
      </c>
      <c r="X17" s="1002"/>
      <c r="Y17" s="4783" t="s">
        <v>1609</v>
      </c>
      <c r="Z17" s="1003" t="str">
        <f t="shared" si="7"/>
        <v>居住社区成熟度</v>
      </c>
      <c r="AA17" s="1000">
        <f t="shared" si="3"/>
        <v>1</v>
      </c>
      <c r="AB17" s="1000">
        <f t="shared" si="4"/>
        <v>1</v>
      </c>
      <c r="AC17" s="1000">
        <f t="shared" si="5"/>
        <v>1</v>
      </c>
    </row>
    <row r="18" spans="1:29" ht="15">
      <c r="A18" s="3538"/>
      <c r="B18" s="3178"/>
      <c r="C18" s="3202" t="s">
        <v>3663</v>
      </c>
      <c r="D18" s="3276"/>
      <c r="E18" s="3231" t="s">
        <v>3664</v>
      </c>
      <c r="F18" s="4286"/>
      <c r="G18" s="3231" t="s">
        <v>3663</v>
      </c>
      <c r="H18" s="4287"/>
      <c r="I18" s="3237" t="s">
        <v>3663</v>
      </c>
      <c r="J18" s="4286"/>
      <c r="K18" s="3595"/>
      <c r="L18" s="2204"/>
      <c r="M18" s="2198"/>
      <c r="N18" s="2198"/>
      <c r="O18" s="2256"/>
      <c r="P18" s="4823"/>
      <c r="Q18" s="3461"/>
      <c r="R18" s="4332"/>
      <c r="S18" s="4335"/>
      <c r="T18" s="4332"/>
      <c r="U18" s="4335"/>
      <c r="V18" s="4332"/>
      <c r="W18" s="4335"/>
      <c r="X18" s="1002"/>
      <c r="Y18" s="4784"/>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23"/>
      <c r="Q19" s="3461" t="str">
        <f>B19</f>
        <v>商业繁华度</v>
      </c>
      <c r="R19" s="4332" t="s">
        <v>13</v>
      </c>
      <c r="S19" s="4335">
        <f>F19</f>
        <v>100</v>
      </c>
      <c r="T19" s="4332" t="s">
        <v>13</v>
      </c>
      <c r="U19" s="4335">
        <f>H19</f>
        <v>100</v>
      </c>
      <c r="V19" s="4332" t="s">
        <v>13</v>
      </c>
      <c r="W19" s="4335">
        <f>J19</f>
        <v>100</v>
      </c>
      <c r="X19" s="1002"/>
      <c r="Y19" s="4784"/>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23"/>
      <c r="Q20" s="3461"/>
      <c r="R20" s="4332"/>
      <c r="S20" s="4335"/>
      <c r="T20" s="4332"/>
      <c r="U20" s="4335"/>
      <c r="V20" s="4332"/>
      <c r="W20" s="4335"/>
      <c r="X20" s="1002"/>
      <c r="Y20" s="4784"/>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23"/>
      <c r="Q21" s="3461" t="str">
        <f>B21</f>
        <v>办公集聚程度</v>
      </c>
      <c r="R21" s="4332" t="s">
        <v>13</v>
      </c>
      <c r="S21" s="4335">
        <f>F21</f>
        <v>100</v>
      </c>
      <c r="T21" s="4332" t="s">
        <v>13</v>
      </c>
      <c r="U21" s="4335">
        <f>H21</f>
        <v>100</v>
      </c>
      <c r="V21" s="4332" t="s">
        <v>13</v>
      </c>
      <c r="W21" s="4335">
        <f>J21</f>
        <v>100</v>
      </c>
      <c r="X21" s="1002"/>
      <c r="Y21" s="4784"/>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23"/>
      <c r="Q22" s="3461"/>
      <c r="R22" s="4332"/>
      <c r="S22" s="4335"/>
      <c r="T22" s="4332"/>
      <c r="U22" s="4335"/>
      <c r="V22" s="4332"/>
      <c r="W22" s="4335"/>
      <c r="X22" s="1002"/>
      <c r="Y22" s="4784"/>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23"/>
      <c r="Q23" s="3461" t="str">
        <f>B23</f>
        <v>交通便捷度</v>
      </c>
      <c r="R23" s="4332" t="s">
        <v>13</v>
      </c>
      <c r="S23" s="4335">
        <f>F23</f>
        <v>100</v>
      </c>
      <c r="T23" s="4332" t="s">
        <v>13</v>
      </c>
      <c r="U23" s="4335">
        <f>H23</f>
        <v>100</v>
      </c>
      <c r="V23" s="4332" t="s">
        <v>13</v>
      </c>
      <c r="W23" s="4335">
        <f>J23</f>
        <v>100</v>
      </c>
      <c r="X23" s="1002"/>
      <c r="Y23" s="4784"/>
      <c r="Z23" s="1003" t="str">
        <f>Q23</f>
        <v>交通便捷度</v>
      </c>
      <c r="AA23" s="1000">
        <f t="shared" si="3"/>
        <v>1</v>
      </c>
      <c r="AB23" s="1000">
        <f t="shared" si="4"/>
        <v>1</v>
      </c>
      <c r="AC23" s="1000">
        <f t="shared" si="5"/>
        <v>1</v>
      </c>
    </row>
    <row r="24" spans="1:29" ht="15">
      <c r="A24" s="3538"/>
      <c r="B24" s="3181"/>
      <c r="C24" s="3202" t="s">
        <v>3663</v>
      </c>
      <c r="D24" s="3277"/>
      <c r="E24" s="3231" t="s">
        <v>3664</v>
      </c>
      <c r="F24" s="4286"/>
      <c r="G24" s="3231" t="s">
        <v>3663</v>
      </c>
      <c r="H24" s="4286"/>
      <c r="I24" s="3237" t="s">
        <v>3663</v>
      </c>
      <c r="J24" s="4286"/>
      <c r="K24" s="3595"/>
      <c r="L24" s="2204"/>
      <c r="M24" s="2198"/>
      <c r="N24" s="2198"/>
      <c r="O24" s="2256"/>
      <c r="P24" s="4823"/>
      <c r="Q24" s="3461"/>
      <c r="R24" s="4332"/>
      <c r="S24" s="4335"/>
      <c r="T24" s="4332"/>
      <c r="U24" s="4335"/>
      <c r="V24" s="4332"/>
      <c r="W24" s="4335"/>
      <c r="X24" s="1002"/>
      <c r="Y24" s="4784"/>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23"/>
      <c r="Q25" s="3461" t="str">
        <f t="shared" ref="Q25:Q39" si="8">B25</f>
        <v>区域土地利用方向</v>
      </c>
      <c r="R25" s="4332" t="s">
        <v>13</v>
      </c>
      <c r="S25" s="4335">
        <f>F25</f>
        <v>100</v>
      </c>
      <c r="T25" s="4332" t="s">
        <v>13</v>
      </c>
      <c r="U25" s="4335">
        <f>H25</f>
        <v>100</v>
      </c>
      <c r="V25" s="4332" t="s">
        <v>13</v>
      </c>
      <c r="W25" s="4335">
        <f>J25</f>
        <v>100</v>
      </c>
      <c r="X25" s="1002"/>
      <c r="Y25" s="4784"/>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23"/>
      <c r="Q26" s="3461"/>
      <c r="R26" s="4332"/>
      <c r="S26" s="4335"/>
      <c r="T26" s="4332"/>
      <c r="U26" s="4335"/>
      <c r="V26" s="4332"/>
      <c r="W26" s="4335"/>
      <c r="X26" s="1002"/>
      <c r="Y26" s="4784"/>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23"/>
      <c r="Q27" s="3461" t="str">
        <f t="shared" si="8"/>
        <v>自然及人文环境状况</v>
      </c>
      <c r="R27" s="4332" t="s">
        <v>13</v>
      </c>
      <c r="S27" s="4335">
        <f>F27</f>
        <v>100</v>
      </c>
      <c r="T27" s="4332" t="s">
        <v>13</v>
      </c>
      <c r="U27" s="4335">
        <f>H27</f>
        <v>100</v>
      </c>
      <c r="V27" s="4332" t="s">
        <v>13</v>
      </c>
      <c r="W27" s="4335">
        <f>J27</f>
        <v>100</v>
      </c>
      <c r="X27" s="1002"/>
      <c r="Y27" s="4784"/>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23"/>
      <c r="Q28" s="3461"/>
      <c r="R28" s="4332"/>
      <c r="S28" s="4335"/>
      <c r="T28" s="4332"/>
      <c r="U28" s="4335"/>
      <c r="V28" s="4332"/>
      <c r="W28" s="4335"/>
      <c r="X28" s="1002"/>
      <c r="Y28" s="4784"/>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23"/>
      <c r="Q29" s="3458" t="str">
        <f t="shared" si="8"/>
        <v>公共配套设施</v>
      </c>
      <c r="R29" s="4331" t="s">
        <v>13</v>
      </c>
      <c r="S29" s="4334">
        <f>F29</f>
        <v>100</v>
      </c>
      <c r="T29" s="4331" t="s">
        <v>13</v>
      </c>
      <c r="U29" s="4334">
        <f>H29</f>
        <v>100</v>
      </c>
      <c r="V29" s="4331" t="s">
        <v>13</v>
      </c>
      <c r="W29" s="4334">
        <f>J29</f>
        <v>100</v>
      </c>
      <c r="X29" s="515"/>
      <c r="Y29" s="4784"/>
      <c r="Z29" s="28" t="str">
        <f>Q29</f>
        <v>公共配套设施</v>
      </c>
      <c r="AA29" s="1000">
        <f>D29/F29</f>
        <v>1</v>
      </c>
      <c r="AB29" s="1000">
        <f>D29/H29</f>
        <v>1</v>
      </c>
      <c r="AC29" s="1000">
        <f>D29/J29</f>
        <v>1</v>
      </c>
    </row>
    <row r="30" spans="1:29" s="49" customFormat="1" ht="15">
      <c r="A30" s="3544"/>
      <c r="B30" s="3180"/>
      <c r="C30" s="3545" t="s">
        <v>3663</v>
      </c>
      <c r="D30" s="3276"/>
      <c r="E30" s="3254" t="s">
        <v>3664</v>
      </c>
      <c r="F30" s="4286"/>
      <c r="G30" s="3254" t="s">
        <v>3663</v>
      </c>
      <c r="H30" s="4286"/>
      <c r="I30" s="3202" t="s">
        <v>3663</v>
      </c>
      <c r="J30" s="4286"/>
      <c r="K30" s="3595"/>
      <c r="L30" s="2199"/>
      <c r="M30" s="2200"/>
      <c r="N30" s="2200"/>
      <c r="O30" s="2254"/>
      <c r="P30" s="4823"/>
      <c r="Q30" s="3458"/>
      <c r="R30" s="4331"/>
      <c r="S30" s="4334"/>
      <c r="T30" s="4331"/>
      <c r="U30" s="4334"/>
      <c r="V30" s="4331"/>
      <c r="W30" s="4334"/>
      <c r="X30" s="515"/>
      <c r="Y30" s="4784"/>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23"/>
      <c r="Q31" s="3458" t="str">
        <f t="shared" ref="Q31" si="9">B31</f>
        <v>基础设施水平</v>
      </c>
      <c r="R31" s="4331" t="s">
        <v>13</v>
      </c>
      <c r="S31" s="4334">
        <f>F31</f>
        <v>100</v>
      </c>
      <c r="T31" s="4331" t="s">
        <v>13</v>
      </c>
      <c r="U31" s="4334">
        <f>H31</f>
        <v>100</v>
      </c>
      <c r="V31" s="4331" t="s">
        <v>13</v>
      </c>
      <c r="W31" s="4334">
        <f>J31</f>
        <v>100</v>
      </c>
      <c r="X31" s="515"/>
      <c r="Y31" s="4784"/>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23"/>
      <c r="Q32" s="3458"/>
      <c r="R32" s="4331"/>
      <c r="S32" s="4334"/>
      <c r="T32" s="4331"/>
      <c r="U32" s="4334"/>
      <c r="V32" s="4331"/>
      <c r="W32" s="4334"/>
      <c r="X32" s="515"/>
      <c r="Y32" s="4784"/>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23"/>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84"/>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23"/>
      <c r="Q34" s="3461" t="str">
        <f t="shared" si="8"/>
        <v>毗邻道路的类型与等级</v>
      </c>
      <c r="R34" s="4332" t="s">
        <v>13</v>
      </c>
      <c r="S34" s="4335">
        <f t="shared" si="10"/>
        <v>100</v>
      </c>
      <c r="T34" s="4332" t="s">
        <v>13</v>
      </c>
      <c r="U34" s="4335">
        <f t="shared" si="11"/>
        <v>100</v>
      </c>
      <c r="V34" s="4332" t="s">
        <v>13</v>
      </c>
      <c r="W34" s="4335">
        <f t="shared" si="12"/>
        <v>100</v>
      </c>
      <c r="X34" s="1002"/>
      <c r="Y34" s="4784"/>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23"/>
      <c r="Q35" s="3461"/>
      <c r="R35" s="4332"/>
      <c r="S35" s="4335"/>
      <c r="T35" s="4332"/>
      <c r="U35" s="4335"/>
      <c r="V35" s="4332"/>
      <c r="W35" s="4335"/>
      <c r="X35" s="1002"/>
      <c r="Y35" s="4784"/>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23"/>
      <c r="Q36" s="3461" t="str">
        <f t="shared" si="8"/>
        <v>土地级别</v>
      </c>
      <c r="R36" s="4332" t="s">
        <v>13</v>
      </c>
      <c r="S36" s="4335">
        <f t="shared" si="10"/>
        <v>100</v>
      </c>
      <c r="T36" s="4332" t="s">
        <v>13</v>
      </c>
      <c r="U36" s="4335">
        <f t="shared" si="11"/>
        <v>100</v>
      </c>
      <c r="V36" s="4332" t="s">
        <v>13</v>
      </c>
      <c r="W36" s="4335">
        <f t="shared" si="12"/>
        <v>100</v>
      </c>
      <c r="X36" s="1002"/>
      <c r="Y36" s="4784"/>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23"/>
      <c r="Q37" s="3461">
        <f t="shared" si="8"/>
        <v>111</v>
      </c>
      <c r="R37" s="4332" t="s">
        <v>13</v>
      </c>
      <c r="S37" s="4335">
        <f t="shared" si="10"/>
        <v>100</v>
      </c>
      <c r="T37" s="4332" t="s">
        <v>13</v>
      </c>
      <c r="U37" s="4335">
        <f t="shared" si="11"/>
        <v>100</v>
      </c>
      <c r="V37" s="4332" t="s">
        <v>13</v>
      </c>
      <c r="W37" s="4335">
        <f t="shared" si="12"/>
        <v>100</v>
      </c>
      <c r="X37" s="1002"/>
      <c r="Y37" s="4784"/>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24" t="s">
        <v>1614</v>
      </c>
      <c r="Q38" s="3461">
        <f t="shared" si="8"/>
        <v>111</v>
      </c>
      <c r="R38" s="4332" t="s">
        <v>13</v>
      </c>
      <c r="S38" s="4335">
        <f t="shared" si="10"/>
        <v>100</v>
      </c>
      <c r="T38" s="4332" t="s">
        <v>13</v>
      </c>
      <c r="U38" s="4335">
        <f t="shared" si="11"/>
        <v>100</v>
      </c>
      <c r="V38" s="4332" t="s">
        <v>13</v>
      </c>
      <c r="W38" s="4335">
        <f t="shared" si="12"/>
        <v>100</v>
      </c>
      <c r="X38" s="1002"/>
      <c r="Y38" s="4788"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25"/>
      <c r="Q39" s="3461">
        <f t="shared" si="8"/>
        <v>111</v>
      </c>
      <c r="R39" s="4333" t="s">
        <v>13</v>
      </c>
      <c r="S39" s="4336">
        <f t="shared" si="10"/>
        <v>100</v>
      </c>
      <c r="T39" s="4333" t="s">
        <v>13</v>
      </c>
      <c r="U39" s="4336">
        <f t="shared" si="11"/>
        <v>100</v>
      </c>
      <c r="V39" s="4333" t="s">
        <v>13</v>
      </c>
      <c r="W39" s="4336">
        <f t="shared" si="12"/>
        <v>100</v>
      </c>
      <c r="X39" s="518"/>
      <c r="Y39" s="4788"/>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25"/>
      <c r="Q40" s="3461" t="str">
        <f>B40</f>
        <v>宗地面积</v>
      </c>
      <c r="R40" s="4332" t="s">
        <v>13</v>
      </c>
      <c r="S40" s="4335" t="e">
        <f t="shared" si="10"/>
        <v>#N/A</v>
      </c>
      <c r="T40" s="4332" t="s">
        <v>13</v>
      </c>
      <c r="U40" s="4335" t="e">
        <f t="shared" si="11"/>
        <v>#N/A</v>
      </c>
      <c r="V40" s="4332" t="s">
        <v>13</v>
      </c>
      <c r="W40" s="4335" t="e">
        <f t="shared" si="12"/>
        <v>#N/A</v>
      </c>
      <c r="X40" s="1002"/>
      <c r="Y40" s="4788"/>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25"/>
      <c r="Q41" s="3461" t="str">
        <f t="shared" ref="Q41:Q47" si="14">B41</f>
        <v>宗地形状</v>
      </c>
      <c r="R41" s="4332" t="s">
        <v>13</v>
      </c>
      <c r="S41" s="4335">
        <f t="shared" si="10"/>
        <v>100</v>
      </c>
      <c r="T41" s="4332" t="s">
        <v>13</v>
      </c>
      <c r="U41" s="4335">
        <f t="shared" si="11"/>
        <v>100</v>
      </c>
      <c r="V41" s="4332" t="s">
        <v>13</v>
      </c>
      <c r="W41" s="4335">
        <f t="shared" si="12"/>
        <v>100</v>
      </c>
      <c r="X41" s="1002"/>
      <c r="Y41" s="4788"/>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25"/>
      <c r="Q42" s="3461" t="str">
        <f t="shared" si="14"/>
        <v>临街宽度及深度</v>
      </c>
      <c r="R42" s="4332" t="s">
        <v>13</v>
      </c>
      <c r="S42" s="4335">
        <f t="shared" si="10"/>
        <v>100</v>
      </c>
      <c r="T42" s="4332" t="s">
        <v>13</v>
      </c>
      <c r="U42" s="4335">
        <f t="shared" si="11"/>
        <v>100</v>
      </c>
      <c r="V42" s="4332" t="s">
        <v>13</v>
      </c>
      <c r="W42" s="4335">
        <f t="shared" si="12"/>
        <v>100</v>
      </c>
      <c r="X42" s="1002"/>
      <c r="Y42" s="4788"/>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25"/>
      <c r="Q43" s="3461" t="str">
        <f t="shared" si="14"/>
        <v>宗地开发程度</v>
      </c>
      <c r="R43" s="4331" t="s">
        <v>13</v>
      </c>
      <c r="S43" s="4334">
        <f t="shared" si="10"/>
        <v>100</v>
      </c>
      <c r="T43" s="4331" t="s">
        <v>13</v>
      </c>
      <c r="U43" s="4334">
        <f t="shared" si="11"/>
        <v>100</v>
      </c>
      <c r="V43" s="4331" t="s">
        <v>13</v>
      </c>
      <c r="W43" s="4334">
        <f t="shared" si="12"/>
        <v>100</v>
      </c>
      <c r="X43" s="515"/>
      <c r="Y43" s="4788"/>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25" t="s">
        <v>1614</v>
      </c>
      <c r="Q44" s="3461" t="str">
        <f t="shared" si="14"/>
        <v>工程地质条件</v>
      </c>
      <c r="R44" s="4332" t="s">
        <v>13</v>
      </c>
      <c r="S44" s="4335">
        <f t="shared" si="10"/>
        <v>100</v>
      </c>
      <c r="T44" s="4332" t="s">
        <v>13</v>
      </c>
      <c r="U44" s="4335">
        <f t="shared" si="11"/>
        <v>100</v>
      </c>
      <c r="V44" s="4332" t="s">
        <v>13</v>
      </c>
      <c r="W44" s="4335">
        <f t="shared" si="12"/>
        <v>100</v>
      </c>
      <c r="X44" s="1002"/>
      <c r="Y44" s="4788"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25"/>
      <c r="Q45" s="3461">
        <f t="shared" si="14"/>
        <v>111</v>
      </c>
      <c r="R45" s="4332" t="s">
        <v>13</v>
      </c>
      <c r="S45" s="4335">
        <f t="shared" si="10"/>
        <v>100</v>
      </c>
      <c r="T45" s="4332" t="s">
        <v>13</v>
      </c>
      <c r="U45" s="4335">
        <f t="shared" si="11"/>
        <v>100</v>
      </c>
      <c r="V45" s="4332" t="s">
        <v>13</v>
      </c>
      <c r="W45" s="4335">
        <f t="shared" si="12"/>
        <v>100</v>
      </c>
      <c r="X45" s="1002"/>
      <c r="Y45" s="4788"/>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25"/>
      <c r="Q46" s="3461">
        <f t="shared" si="14"/>
        <v>111</v>
      </c>
      <c r="R46" s="4332" t="s">
        <v>13</v>
      </c>
      <c r="S46" s="4335">
        <f t="shared" si="10"/>
        <v>100</v>
      </c>
      <c r="T46" s="4332" t="s">
        <v>13</v>
      </c>
      <c r="U46" s="4335">
        <f t="shared" si="11"/>
        <v>100</v>
      </c>
      <c r="V46" s="4332" t="s">
        <v>13</v>
      </c>
      <c r="W46" s="4335">
        <f t="shared" si="12"/>
        <v>100</v>
      </c>
      <c r="X46" s="1002"/>
      <c r="Y46" s="4788"/>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25"/>
      <c r="Q47" s="3461">
        <f t="shared" si="14"/>
        <v>111</v>
      </c>
      <c r="R47" s="4333" t="s">
        <v>13</v>
      </c>
      <c r="S47" s="4336">
        <f t="shared" si="10"/>
        <v>100</v>
      </c>
      <c r="T47" s="4333" t="s">
        <v>13</v>
      </c>
      <c r="U47" s="4336">
        <f t="shared" si="11"/>
        <v>100</v>
      </c>
      <c r="V47" s="4333" t="s">
        <v>13</v>
      </c>
      <c r="W47" s="4336">
        <f t="shared" si="12"/>
        <v>100</v>
      </c>
      <c r="X47" s="518"/>
      <c r="Y47" s="4788"/>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81" t="str">
        <f>A48</f>
        <v>成交单价</v>
      </c>
      <c r="Q48" s="4781"/>
      <c r="R48" s="4782">
        <f>E48</f>
        <v>0</v>
      </c>
      <c r="S48" s="4782"/>
      <c r="T48" s="4782">
        <f>G48</f>
        <v>0</v>
      </c>
      <c r="U48" s="4782"/>
      <c r="V48" s="4782">
        <f>I48</f>
        <v>0</v>
      </c>
      <c r="W48" s="4782"/>
      <c r="X48" s="504"/>
      <c r="Y48" s="520"/>
      <c r="Z48" s="504"/>
      <c r="AA48" s="504"/>
      <c r="AB48" s="504"/>
      <c r="AC48" s="504"/>
    </row>
    <row r="49" spans="1:29" ht="15.75" thickBot="1">
      <c r="A49" s="296" t="s">
        <v>1711</v>
      </c>
      <c r="B49" s="467"/>
      <c r="C49" s="4308" t="e">
        <f>R50</f>
        <v>#DIV/0!</v>
      </c>
      <c r="D49" s="4469" t="s">
        <v>2054</v>
      </c>
      <c r="E49" s="4308" t="e">
        <f>R49</f>
        <v>#DIV/0!</v>
      </c>
      <c r="F49" s="3183"/>
      <c r="G49" s="4297" t="e">
        <f>T49</f>
        <v>#DIV/0!</v>
      </c>
      <c r="H49" s="3183"/>
      <c r="I49" s="4308" t="e">
        <f>V49</f>
        <v>#DIV/0!</v>
      </c>
      <c r="J49" s="3183"/>
      <c r="K49" s="3238">
        <f>F49+H49+J49</f>
        <v>0</v>
      </c>
      <c r="L49" s="2206"/>
      <c r="M49" s="2207"/>
      <c r="N49" s="2207"/>
      <c r="O49" s="2207"/>
      <c r="P49" s="4781" t="str">
        <f>A49</f>
        <v>比较价值（元/平方米）</v>
      </c>
      <c r="Q49" s="4781"/>
      <c r="R49" s="4782" t="e">
        <f>ROUND(PRODUCT(R48,AA9:AA47),0)</f>
        <v>#DIV/0!</v>
      </c>
      <c r="S49" s="4782"/>
      <c r="T49" s="4782" t="e">
        <f>ROUND(PRODUCT(T48,AB9:AB47),0)</f>
        <v>#DIV/0!</v>
      </c>
      <c r="U49" s="4782"/>
      <c r="V49" s="4782" t="e">
        <f>ROUND(PRODUCT(V48,AC9:AC47),0)</f>
        <v>#DIV/0!</v>
      </c>
      <c r="W49" s="4782"/>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78" t="str">
        <f>A50</f>
        <v>估价对象XX用房的比较价值（楼面单价，元/平方米）</v>
      </c>
      <c r="Q50" s="4779"/>
      <c r="R50" s="4780" t="e">
        <f>ROUND(IF(D49="简单平均",AVERAGE(R49:W49),R49*F49+T49*H49+V49*J49),0)</f>
        <v>#DIV/0!</v>
      </c>
      <c r="S50" s="4780"/>
      <c r="T50" s="4780"/>
      <c r="U50" s="4780"/>
      <c r="V50" s="4780"/>
      <c r="W50" s="4780"/>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07" t="s">
        <v>1805</v>
      </c>
      <c r="H57" s="4840"/>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11046.05</v>
      </c>
      <c r="F58" s="3531" t="e">
        <f t="shared" ref="F58:F66" si="15">ROUND(B58*E58/10000,0)</f>
        <v>#DIV/0!</v>
      </c>
      <c r="G58" s="4841"/>
      <c r="H58" s="4827"/>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v>
      </c>
      <c r="D59" s="3511">
        <v>0.25</v>
      </c>
      <c r="E59" s="3513"/>
      <c r="F59" s="3531" t="e">
        <f t="shared" si="15"/>
        <v>#DIV/0!</v>
      </c>
      <c r="G59" s="2431" t="s">
        <v>1810</v>
      </c>
      <c r="H59" s="637">
        <f>项目基本情况!B37</f>
        <v>0</v>
      </c>
      <c r="I59" s="3526">
        <f>SUMIF(修正!A59:A70,H59,修正!B59:B70)</f>
        <v>0</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v>
      </c>
      <c r="D60" s="3511">
        <v>0.25</v>
      </c>
      <c r="E60" s="3513"/>
      <c r="F60" s="3531" t="e">
        <f t="shared" si="15"/>
        <v>#DIV/0!</v>
      </c>
      <c r="G60" s="2432"/>
      <c r="H60" s="637">
        <f>项目基本情况!B37</f>
        <v>0</v>
      </c>
      <c r="I60" s="3526">
        <f>SUMIF(修正!A59:A70,H60,修正!C59:C70)</f>
        <v>0</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v>
      </c>
      <c r="D61" s="3511">
        <v>0.25</v>
      </c>
      <c r="E61" s="3513"/>
      <c r="F61" s="3531" t="e">
        <f t="shared" si="15"/>
        <v>#DIV/0!</v>
      </c>
      <c r="G61" s="2432"/>
      <c r="H61" s="637">
        <f>项目基本情况!B37</f>
        <v>0</v>
      </c>
      <c r="I61" s="3526">
        <f>SUMIF(修正!A59:A70,H61,修正!D59:D70)</f>
        <v>0</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v>
      </c>
      <c r="D65" s="3511">
        <v>0.25</v>
      </c>
      <c r="E65" s="3514">
        <f>'数据-汇总表'!E14</f>
        <v>0</v>
      </c>
      <c r="F65" s="3531" t="e">
        <f t="shared" si="15"/>
        <v>#DIV/0!</v>
      </c>
      <c r="G65" s="3523" t="s">
        <v>1810</v>
      </c>
      <c r="H65" s="637">
        <f>项目基本情况!B37</f>
        <v>0</v>
      </c>
      <c r="I65" s="3526">
        <f>SUMIF(修正!A59:A70,H65,修正!G59:G70)</f>
        <v>0</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11046.05</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3670</v>
      </c>
      <c r="D120" s="383" t="s">
        <v>3671</v>
      </c>
      <c r="E120" s="383" t="s">
        <v>3672</v>
      </c>
      <c r="F120" s="383" t="s">
        <v>3673</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3665</v>
      </c>
      <c r="D124" s="357" t="s">
        <v>3666</v>
      </c>
      <c r="E124" s="357" t="s">
        <v>3667</v>
      </c>
      <c r="F124" s="357" t="s">
        <v>3668</v>
      </c>
      <c r="G124" s="357" t="s">
        <v>3669</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3682</v>
      </c>
      <c r="B4" s="3866" t="e">
        <f>IF(B43="单位面积地价",C45,ROUND(B2*10000/'数据-汇总表'!D3,0))</f>
        <v>#DIV/0!</v>
      </c>
      <c r="C4" s="1474" t="s">
        <v>3684</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t="e">
        <f>ROUND(B2/('数据-汇总表'!D3/666.67),0)</f>
        <v>#DIV/0!</v>
      </c>
      <c r="C5" s="3867" t="s">
        <v>3683</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56" t="s">
        <v>1688</v>
      </c>
      <c r="D6" s="4757"/>
      <c r="E6" s="4758" t="s">
        <v>1689</v>
      </c>
      <c r="F6" s="4759"/>
      <c r="G6" s="4756" t="s">
        <v>1690</v>
      </c>
      <c r="H6" s="4757"/>
      <c r="I6" s="4756" t="s">
        <v>1691</v>
      </c>
      <c r="J6" s="4757"/>
      <c r="K6" s="410" t="s">
        <v>1692</v>
      </c>
      <c r="L6" s="2197"/>
      <c r="M6" s="2198"/>
      <c r="N6" s="2198"/>
      <c r="O6" s="2198"/>
      <c r="P6" s="4760" t="s">
        <v>1693</v>
      </c>
      <c r="Q6" s="4761"/>
      <c r="R6" s="4742" t="s">
        <v>1689</v>
      </c>
      <c r="S6" s="4743"/>
      <c r="T6" s="4742" t="s">
        <v>1690</v>
      </c>
      <c r="U6" s="4743"/>
      <c r="V6" s="4768" t="s">
        <v>1691</v>
      </c>
      <c r="W6" s="4768"/>
      <c r="X6" s="1002"/>
      <c r="Y6" s="4771" t="s">
        <v>1693</v>
      </c>
      <c r="Z6" s="4772"/>
      <c r="AA6" s="4737" t="s">
        <v>1689</v>
      </c>
      <c r="AB6" s="4738" t="s">
        <v>1690</v>
      </c>
      <c r="AC6" s="4737" t="s">
        <v>1691</v>
      </c>
    </row>
    <row r="7" spans="1:29" ht="15">
      <c r="A7" s="3542"/>
      <c r="B7" s="3607"/>
      <c r="C7" s="4748" t="s">
        <v>1591</v>
      </c>
      <c r="D7" s="4749"/>
      <c r="E7" s="4746" t="s">
        <v>1592</v>
      </c>
      <c r="F7" s="4747"/>
      <c r="G7" s="4748" t="s">
        <v>1593</v>
      </c>
      <c r="H7" s="4749"/>
      <c r="I7" s="4748" t="s">
        <v>1594</v>
      </c>
      <c r="J7" s="4749"/>
      <c r="K7" s="410"/>
      <c r="L7" s="2197"/>
      <c r="M7" s="2198"/>
      <c r="N7" s="2198"/>
      <c r="O7" s="2198"/>
      <c r="P7" s="4762"/>
      <c r="Q7" s="4763"/>
      <c r="R7" s="4744"/>
      <c r="S7" s="4745"/>
      <c r="T7" s="4744"/>
      <c r="U7" s="4745"/>
      <c r="V7" s="4768"/>
      <c r="W7" s="4768"/>
      <c r="X7" s="1002"/>
      <c r="Y7" s="4773"/>
      <c r="Z7" s="4774"/>
      <c r="AA7" s="4738"/>
      <c r="AB7" s="4738"/>
      <c r="AC7" s="4738"/>
    </row>
    <row r="8" spans="1:29" ht="15.75" thickBot="1">
      <c r="A8" s="3608"/>
      <c r="B8" s="3609"/>
      <c r="C8" s="4842" t="s">
        <v>1837</v>
      </c>
      <c r="D8" s="4843"/>
      <c r="E8" s="4844" t="s">
        <v>1837</v>
      </c>
      <c r="F8" s="4845"/>
      <c r="G8" s="4842" t="s">
        <v>1837</v>
      </c>
      <c r="H8" s="4843"/>
      <c r="I8" s="4842" t="s">
        <v>1837</v>
      </c>
      <c r="J8" s="4843"/>
      <c r="K8" s="410" t="s">
        <v>1596</v>
      </c>
      <c r="L8" s="2197"/>
      <c r="M8" s="2198"/>
      <c r="N8" s="2198"/>
      <c r="O8" s="2198"/>
      <c r="P8" s="4764"/>
      <c r="Q8" s="4765"/>
      <c r="R8" s="4744"/>
      <c r="S8" s="4745"/>
      <c r="T8" s="4766"/>
      <c r="U8" s="4767"/>
      <c r="V8" s="4768"/>
      <c r="W8" s="4768"/>
      <c r="X8" s="1002"/>
      <c r="Y8" s="4775"/>
      <c r="Z8" s="4776"/>
      <c r="AA8" s="4739"/>
      <c r="AB8" s="4739"/>
      <c r="AC8" s="4739"/>
    </row>
    <row r="9" spans="1:29" s="49" customFormat="1" ht="15.75" thickBot="1">
      <c r="A9" s="3534" t="s">
        <v>1597</v>
      </c>
      <c r="B9" s="3535"/>
      <c r="C9" s="3193">
        <f>'数据-取费表'!B2</f>
        <v>46041</v>
      </c>
      <c r="D9" s="3269">
        <v>100</v>
      </c>
      <c r="E9" s="3223"/>
      <c r="F9" s="4281">
        <f>SUMIF(67:67,YEAR(E9)&amp;"-"&amp;INT((MONTH(E9)+2)/3),68:68)</f>
        <v>0</v>
      </c>
      <c r="G9" s="3565"/>
      <c r="H9" s="4293">
        <f>SUMIF(67:67,YEAR(G9)&amp;"-"&amp;INT((MONTH(G9)+2)/3),68:68)</f>
        <v>0</v>
      </c>
      <c r="I9" s="3565"/>
      <c r="J9" s="4293">
        <f>SUMIF(67:67,YEAR(I9)&amp;"-"&amp;INT((MONTH(I9)+2)/3),68:68)</f>
        <v>0</v>
      </c>
      <c r="K9" s="411"/>
      <c r="L9" s="2199"/>
      <c r="M9" s="2200"/>
      <c r="N9" s="2200"/>
      <c r="O9" s="2200"/>
      <c r="P9" s="4769" t="s">
        <v>1598</v>
      </c>
      <c r="Q9" s="4777"/>
      <c r="R9" s="4331" t="s">
        <v>13</v>
      </c>
      <c r="S9" s="4334">
        <f t="shared" ref="S9:S17" si="0">F9</f>
        <v>0</v>
      </c>
      <c r="T9" s="4331" t="s">
        <v>13</v>
      </c>
      <c r="U9" s="4334">
        <f t="shared" ref="U9:U17" si="1">H9</f>
        <v>0</v>
      </c>
      <c r="V9" s="4331" t="s">
        <v>13</v>
      </c>
      <c r="W9" s="4334">
        <f t="shared" ref="W9:W17" si="2">J9</f>
        <v>0</v>
      </c>
      <c r="X9" s="515"/>
      <c r="Y9" s="4740" t="s">
        <v>1598</v>
      </c>
      <c r="Z9" s="4741"/>
      <c r="AA9" s="516" t="e">
        <f>D9/F9</f>
        <v>#DIV/0!</v>
      </c>
      <c r="AB9" s="516" t="e">
        <f>D9/H9</f>
        <v>#DIV/0!</v>
      </c>
      <c r="AC9" s="516" t="e">
        <f>D9/J9</f>
        <v>#DIV/0!</v>
      </c>
    </row>
    <row r="10" spans="1:29" s="49" customFormat="1" ht="15.75" thickBot="1">
      <c r="A10" s="3534" t="s">
        <v>1599</v>
      </c>
      <c r="B10" s="3535"/>
      <c r="C10" s="3194" t="s">
        <v>1600</v>
      </c>
      <c r="D10" s="3269">
        <v>100</v>
      </c>
      <c r="E10" s="3194"/>
      <c r="F10" s="4281">
        <f>SUMIF(70:70,E10,71:71)-SUMIF(70:70,C10,71:71)+100</f>
        <v>0</v>
      </c>
      <c r="G10" s="3194"/>
      <c r="H10" s="4293">
        <f>SUMIF(70:70,G10,71:71)-SUMIF(70:70,C10,71:71)+100</f>
        <v>0</v>
      </c>
      <c r="I10" s="3194"/>
      <c r="J10" s="4293">
        <f>SUMIF(70:70,I10,71:71)-SUMIF(70:70,C10,71:71)+100</f>
        <v>0</v>
      </c>
      <c r="K10" s="411"/>
      <c r="L10" s="2199"/>
      <c r="M10" s="2200"/>
      <c r="N10" s="2200"/>
      <c r="O10" s="2200"/>
      <c r="P10" s="4769" t="s">
        <v>1601</v>
      </c>
      <c r="Q10" s="4770"/>
      <c r="R10" s="4331" t="s">
        <v>13</v>
      </c>
      <c r="S10" s="4334">
        <f t="shared" si="0"/>
        <v>0</v>
      </c>
      <c r="T10" s="4331" t="s">
        <v>13</v>
      </c>
      <c r="U10" s="4334">
        <f t="shared" si="1"/>
        <v>0</v>
      </c>
      <c r="V10" s="4331" t="s">
        <v>13</v>
      </c>
      <c r="W10" s="4334">
        <f t="shared" si="2"/>
        <v>0</v>
      </c>
      <c r="X10" s="515"/>
      <c r="Y10" s="4740" t="s">
        <v>1601</v>
      </c>
      <c r="Z10" s="4741"/>
      <c r="AA10" s="516" t="e">
        <f t="shared" ref="AA10:AA42" si="3">D10/F10</f>
        <v>#DIV/0!</v>
      </c>
      <c r="AB10" s="516" t="e">
        <f t="shared" ref="AB10:AB42" si="4">D10/H10</f>
        <v>#DIV/0!</v>
      </c>
      <c r="AC10" s="516" t="e">
        <f t="shared" ref="AC10:AC42" si="5">D10/J10</f>
        <v>#DIV/0!</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81" t="s">
        <v>1604</v>
      </c>
      <c r="Q11" s="3458" t="str">
        <f t="shared" ref="Q11:Q17" si="6">B11</f>
        <v>用途</v>
      </c>
      <c r="R11" s="4331" t="s">
        <v>13</v>
      </c>
      <c r="S11" s="4334">
        <f t="shared" si="0"/>
        <v>100</v>
      </c>
      <c r="T11" s="4331" t="s">
        <v>13</v>
      </c>
      <c r="U11" s="4334">
        <f t="shared" si="1"/>
        <v>100</v>
      </c>
      <c r="V11" s="4331" t="s">
        <v>13</v>
      </c>
      <c r="W11" s="4334">
        <f t="shared" si="2"/>
        <v>100</v>
      </c>
      <c r="X11" s="515"/>
      <c r="Y11" s="4755"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109.4</v>
      </c>
      <c r="G12" s="3198"/>
      <c r="H12" s="4295">
        <f>ROUND(100/'数据-取费表'!G16,1)</f>
        <v>109.4</v>
      </c>
      <c r="I12" s="3198"/>
      <c r="J12" s="4295">
        <f>ROUND(100/'数据-取费表'!G16,1)</f>
        <v>109.4</v>
      </c>
      <c r="K12" s="461"/>
      <c r="L12" s="2201"/>
      <c r="M12" s="2202"/>
      <c r="N12" s="2202"/>
      <c r="O12" s="2255"/>
      <c r="P12" s="4781"/>
      <c r="Q12" s="3458" t="str">
        <f t="shared" si="6"/>
        <v>土地使用年限（年）</v>
      </c>
      <c r="R12" s="4331" t="s">
        <v>13</v>
      </c>
      <c r="S12" s="4334">
        <f t="shared" si="0"/>
        <v>109.4</v>
      </c>
      <c r="T12" s="4331" t="s">
        <v>13</v>
      </c>
      <c r="U12" s="4334">
        <f t="shared" si="1"/>
        <v>109.4</v>
      </c>
      <c r="V12" s="4331" t="s">
        <v>13</v>
      </c>
      <c r="W12" s="4334">
        <f t="shared" si="2"/>
        <v>109.4</v>
      </c>
      <c r="X12" s="515"/>
      <c r="Y12" s="4755"/>
      <c r="Z12" s="28" t="str">
        <f t="shared" si="7"/>
        <v>土地使用年限（年）</v>
      </c>
      <c r="AA12" s="516">
        <f t="shared" si="3"/>
        <v>0.91407678244972568</v>
      </c>
      <c r="AB12" s="516">
        <f t="shared" si="4"/>
        <v>0.91407678244972568</v>
      </c>
      <c r="AC12" s="516">
        <f t="shared" si="5"/>
        <v>0.91407678244972568</v>
      </c>
    </row>
    <row r="13" spans="1:29" ht="15">
      <c r="A13" s="3538"/>
      <c r="B13" s="3460" t="s">
        <v>1607</v>
      </c>
      <c r="C13" s="3197"/>
      <c r="D13" s="3271">
        <v>100</v>
      </c>
      <c r="E13" s="3197"/>
      <c r="F13" s="4295" t="e">
        <f>LOOKUP(E13,77:77,78:78)-LOOKUP(C13,77:77,78:78)+100</f>
        <v>#N/A</v>
      </c>
      <c r="G13" s="3226"/>
      <c r="H13" s="4295" t="e">
        <f>LOOKUP(G13,77:77,78:78)-LOOKUP(C13,77:77,78:78)+100</f>
        <v>#N/A</v>
      </c>
      <c r="I13" s="3197"/>
      <c r="J13" s="4295" t="e">
        <f>LOOKUP(I13,77:77,78:78)-LOOKUP(C13,77:77,78:78)+100</f>
        <v>#N/A</v>
      </c>
      <c r="K13" s="462"/>
      <c r="L13" s="2203"/>
      <c r="M13" s="2198"/>
      <c r="N13" s="2198"/>
      <c r="O13" s="2256"/>
      <c r="P13" s="4781"/>
      <c r="Q13" s="3458" t="str">
        <f t="shared" si="6"/>
        <v>容积率</v>
      </c>
      <c r="R13" s="4331" t="s">
        <v>13</v>
      </c>
      <c r="S13" s="4334" t="e">
        <f t="shared" si="0"/>
        <v>#N/A</v>
      </c>
      <c r="T13" s="4331" t="s">
        <v>13</v>
      </c>
      <c r="U13" s="4334" t="e">
        <f t="shared" si="1"/>
        <v>#N/A</v>
      </c>
      <c r="V13" s="4331" t="s">
        <v>13</v>
      </c>
      <c r="W13" s="4334" t="e">
        <f t="shared" si="2"/>
        <v>#N/A</v>
      </c>
      <c r="X13" s="515"/>
      <c r="Y13" s="4755"/>
      <c r="Z13" s="28" t="str">
        <f t="shared" si="7"/>
        <v>容积率</v>
      </c>
      <c r="AA13" s="516" t="e">
        <f t="shared" si="3"/>
        <v>#N/A</v>
      </c>
      <c r="AB13" s="516" t="e">
        <f t="shared" si="4"/>
        <v>#N/A</v>
      </c>
      <c r="AC13" s="516" t="e">
        <f t="shared" si="5"/>
        <v>#N/A</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81"/>
      <c r="Q14" s="3458">
        <f t="shared" si="6"/>
        <v>111</v>
      </c>
      <c r="R14" s="4331" t="s">
        <v>13</v>
      </c>
      <c r="S14" s="4334">
        <f t="shared" si="0"/>
        <v>100</v>
      </c>
      <c r="T14" s="4331" t="s">
        <v>13</v>
      </c>
      <c r="U14" s="4334">
        <f t="shared" si="1"/>
        <v>100</v>
      </c>
      <c r="V14" s="4331" t="s">
        <v>13</v>
      </c>
      <c r="W14" s="4334">
        <f t="shared" si="2"/>
        <v>100</v>
      </c>
      <c r="X14" s="515"/>
      <c r="Y14" s="4755"/>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81"/>
      <c r="Q15" s="3458">
        <f t="shared" si="6"/>
        <v>111</v>
      </c>
      <c r="R15" s="4331" t="s">
        <v>13</v>
      </c>
      <c r="S15" s="4334">
        <f t="shared" si="0"/>
        <v>100</v>
      </c>
      <c r="T15" s="4331" t="s">
        <v>13</v>
      </c>
      <c r="U15" s="4334">
        <f t="shared" si="1"/>
        <v>100</v>
      </c>
      <c r="V15" s="4331" t="s">
        <v>13</v>
      </c>
      <c r="W15" s="4334">
        <f t="shared" si="2"/>
        <v>100</v>
      </c>
      <c r="X15" s="515"/>
      <c r="Y15" s="4755"/>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81"/>
      <c r="Q16" s="3458">
        <f t="shared" si="6"/>
        <v>111</v>
      </c>
      <c r="R16" s="4331" t="s">
        <v>13</v>
      </c>
      <c r="S16" s="4334">
        <f t="shared" si="0"/>
        <v>100</v>
      </c>
      <c r="T16" s="4331" t="s">
        <v>13</v>
      </c>
      <c r="U16" s="4334">
        <f t="shared" si="1"/>
        <v>100</v>
      </c>
      <c r="V16" s="4331" t="s">
        <v>13</v>
      </c>
      <c r="W16" s="4334">
        <f t="shared" si="2"/>
        <v>100</v>
      </c>
      <c r="X16" s="515"/>
      <c r="Y16" s="4755"/>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22" t="s">
        <v>1609</v>
      </c>
      <c r="Q17" s="3461" t="str">
        <f t="shared" si="6"/>
        <v>产业集聚程度</v>
      </c>
      <c r="R17" s="4332" t="s">
        <v>13</v>
      </c>
      <c r="S17" s="4335">
        <f t="shared" si="0"/>
        <v>100</v>
      </c>
      <c r="T17" s="4332" t="s">
        <v>13</v>
      </c>
      <c r="U17" s="4335">
        <f t="shared" si="1"/>
        <v>100</v>
      </c>
      <c r="V17" s="4332" t="s">
        <v>13</v>
      </c>
      <c r="W17" s="4335">
        <f t="shared" si="2"/>
        <v>100</v>
      </c>
      <c r="X17" s="1002"/>
      <c r="Y17" s="4783"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23"/>
      <c r="Q18" s="3461"/>
      <c r="R18" s="4332"/>
      <c r="S18" s="4335"/>
      <c r="T18" s="4332"/>
      <c r="U18" s="4335"/>
      <c r="V18" s="4332"/>
      <c r="W18" s="4335"/>
      <c r="X18" s="1002"/>
      <c r="Y18" s="4784"/>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23"/>
      <c r="Q19" s="3461" t="str">
        <f>B19</f>
        <v>交通便捷度</v>
      </c>
      <c r="R19" s="4332" t="s">
        <v>13</v>
      </c>
      <c r="S19" s="4335">
        <f>F19</f>
        <v>100</v>
      </c>
      <c r="T19" s="4332" t="s">
        <v>13</v>
      </c>
      <c r="U19" s="4335">
        <f>H19</f>
        <v>100</v>
      </c>
      <c r="V19" s="4332" t="s">
        <v>13</v>
      </c>
      <c r="W19" s="4335">
        <f>J19</f>
        <v>100</v>
      </c>
      <c r="X19" s="1002"/>
      <c r="Y19" s="4784"/>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23"/>
      <c r="Q20" s="3461"/>
      <c r="R20" s="4332"/>
      <c r="S20" s="4335"/>
      <c r="T20" s="4332"/>
      <c r="U20" s="4335"/>
      <c r="V20" s="4332"/>
      <c r="W20" s="4335"/>
      <c r="X20" s="1002"/>
      <c r="Y20" s="4784"/>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23"/>
      <c r="Q21" s="3461" t="str">
        <f t="shared" ref="Q21:Q35" si="8">B21</f>
        <v>区域土地利用方向</v>
      </c>
      <c r="R21" s="4332" t="s">
        <v>13</v>
      </c>
      <c r="S21" s="4335">
        <f>F21</f>
        <v>100</v>
      </c>
      <c r="T21" s="4332" t="s">
        <v>13</v>
      </c>
      <c r="U21" s="4335">
        <f>H21</f>
        <v>100</v>
      </c>
      <c r="V21" s="4332" t="s">
        <v>13</v>
      </c>
      <c r="W21" s="4335">
        <f>J21</f>
        <v>100</v>
      </c>
      <c r="X21" s="1002"/>
      <c r="Y21" s="4784"/>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23"/>
      <c r="Q22" s="3461"/>
      <c r="R22" s="4332"/>
      <c r="S22" s="4335"/>
      <c r="T22" s="4332"/>
      <c r="U22" s="4335"/>
      <c r="V22" s="4332"/>
      <c r="W22" s="4335"/>
      <c r="X22" s="1002"/>
      <c r="Y22" s="4784"/>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23"/>
      <c r="Q23" s="3461" t="str">
        <f t="shared" si="8"/>
        <v>环境状况</v>
      </c>
      <c r="R23" s="4332" t="s">
        <v>13</v>
      </c>
      <c r="S23" s="4335">
        <f>F23</f>
        <v>100</v>
      </c>
      <c r="T23" s="4332" t="s">
        <v>13</v>
      </c>
      <c r="U23" s="4335">
        <f>H23</f>
        <v>100</v>
      </c>
      <c r="V23" s="4332" t="s">
        <v>13</v>
      </c>
      <c r="W23" s="4335">
        <f>J23</f>
        <v>100</v>
      </c>
      <c r="X23" s="1002"/>
      <c r="Y23" s="4784"/>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23"/>
      <c r="Q24" s="3461"/>
      <c r="R24" s="4332"/>
      <c r="S24" s="4335"/>
      <c r="T24" s="4332"/>
      <c r="U24" s="4335"/>
      <c r="V24" s="4332"/>
      <c r="W24" s="4335"/>
      <c r="X24" s="1002"/>
      <c r="Y24" s="4784"/>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23"/>
      <c r="Q25" s="3458" t="str">
        <f t="shared" si="8"/>
        <v>公共配套设施</v>
      </c>
      <c r="R25" s="4331" t="s">
        <v>13</v>
      </c>
      <c r="S25" s="4334">
        <f>F25</f>
        <v>100</v>
      </c>
      <c r="T25" s="4331" t="s">
        <v>13</v>
      </c>
      <c r="U25" s="4334">
        <f>H25</f>
        <v>100</v>
      </c>
      <c r="V25" s="4331" t="s">
        <v>13</v>
      </c>
      <c r="W25" s="4334">
        <f>J25</f>
        <v>100</v>
      </c>
      <c r="X25" s="515"/>
      <c r="Y25" s="4784"/>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23"/>
      <c r="Q26" s="3458"/>
      <c r="R26" s="4331"/>
      <c r="S26" s="4334"/>
      <c r="T26" s="4331"/>
      <c r="U26" s="4334"/>
      <c r="V26" s="4331"/>
      <c r="W26" s="4334"/>
      <c r="X26" s="515"/>
      <c r="Y26" s="4784"/>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23"/>
      <c r="Q27" s="3458" t="str">
        <f t="shared" ref="Q27" si="9">B27</f>
        <v>基础设施水平</v>
      </c>
      <c r="R27" s="4331" t="s">
        <v>13</v>
      </c>
      <c r="S27" s="4334">
        <f>F27</f>
        <v>100</v>
      </c>
      <c r="T27" s="4331" t="s">
        <v>13</v>
      </c>
      <c r="U27" s="4334">
        <f>H27</f>
        <v>100</v>
      </c>
      <c r="V27" s="4331" t="s">
        <v>13</v>
      </c>
      <c r="W27" s="4334">
        <f>J27</f>
        <v>100</v>
      </c>
      <c r="X27" s="515"/>
      <c r="Y27" s="4784"/>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23"/>
      <c r="Q28" s="3458"/>
      <c r="R28" s="4331"/>
      <c r="S28" s="4334"/>
      <c r="T28" s="4331"/>
      <c r="U28" s="4334"/>
      <c r="V28" s="4331"/>
      <c r="W28" s="4334"/>
      <c r="X28" s="515"/>
      <c r="Y28" s="4784"/>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23"/>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84"/>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23"/>
      <c r="Q30" s="3461" t="str">
        <f t="shared" si="8"/>
        <v>毗邻道路的类型与等级</v>
      </c>
      <c r="R30" s="4332" t="s">
        <v>13</v>
      </c>
      <c r="S30" s="4335">
        <f t="shared" si="10"/>
        <v>100</v>
      </c>
      <c r="T30" s="4332" t="s">
        <v>13</v>
      </c>
      <c r="U30" s="4335">
        <f t="shared" si="11"/>
        <v>100</v>
      </c>
      <c r="V30" s="4332" t="s">
        <v>13</v>
      </c>
      <c r="W30" s="4335">
        <f t="shared" si="12"/>
        <v>100</v>
      </c>
      <c r="X30" s="1002"/>
      <c r="Y30" s="4784"/>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23"/>
      <c r="Q31" s="3461"/>
      <c r="R31" s="4332"/>
      <c r="S31" s="4335"/>
      <c r="T31" s="4332"/>
      <c r="U31" s="4335"/>
      <c r="V31" s="4332"/>
      <c r="W31" s="4335"/>
      <c r="X31" s="1002"/>
      <c r="Y31" s="4784"/>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23"/>
      <c r="Q32" s="3461" t="str">
        <f t="shared" si="8"/>
        <v>土地级别</v>
      </c>
      <c r="R32" s="4332" t="s">
        <v>13</v>
      </c>
      <c r="S32" s="4335">
        <f t="shared" si="10"/>
        <v>100</v>
      </c>
      <c r="T32" s="4332" t="s">
        <v>13</v>
      </c>
      <c r="U32" s="4335">
        <f t="shared" si="11"/>
        <v>100</v>
      </c>
      <c r="V32" s="4332" t="s">
        <v>13</v>
      </c>
      <c r="W32" s="4335">
        <f t="shared" si="12"/>
        <v>100</v>
      </c>
      <c r="X32" s="1002"/>
      <c r="Y32" s="4784"/>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23"/>
      <c r="Q33" s="3461">
        <f t="shared" si="8"/>
        <v>111</v>
      </c>
      <c r="R33" s="4332" t="s">
        <v>13</v>
      </c>
      <c r="S33" s="4335">
        <f t="shared" si="10"/>
        <v>100</v>
      </c>
      <c r="T33" s="4332" t="s">
        <v>13</v>
      </c>
      <c r="U33" s="4335">
        <f t="shared" si="11"/>
        <v>100</v>
      </c>
      <c r="V33" s="4332" t="s">
        <v>13</v>
      </c>
      <c r="W33" s="4335">
        <f t="shared" si="12"/>
        <v>100</v>
      </c>
      <c r="X33" s="1002"/>
      <c r="Y33" s="4784"/>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24" t="s">
        <v>1614</v>
      </c>
      <c r="Q34" s="3461">
        <f t="shared" si="8"/>
        <v>111</v>
      </c>
      <c r="R34" s="4332" t="s">
        <v>13</v>
      </c>
      <c r="S34" s="4335">
        <f t="shared" si="10"/>
        <v>100</v>
      </c>
      <c r="T34" s="4332" t="s">
        <v>13</v>
      </c>
      <c r="U34" s="4335">
        <f t="shared" si="11"/>
        <v>100</v>
      </c>
      <c r="V34" s="4332" t="s">
        <v>13</v>
      </c>
      <c r="W34" s="4335">
        <f t="shared" si="12"/>
        <v>100</v>
      </c>
      <c r="X34" s="1002"/>
      <c r="Y34" s="4788"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25"/>
      <c r="Q35" s="3461">
        <f t="shared" si="8"/>
        <v>111</v>
      </c>
      <c r="R35" s="4333" t="s">
        <v>13</v>
      </c>
      <c r="S35" s="4336">
        <f t="shared" si="10"/>
        <v>100</v>
      </c>
      <c r="T35" s="4333" t="s">
        <v>13</v>
      </c>
      <c r="U35" s="4336">
        <f t="shared" si="11"/>
        <v>100</v>
      </c>
      <c r="V35" s="4333" t="s">
        <v>13</v>
      </c>
      <c r="W35" s="4336">
        <f t="shared" si="12"/>
        <v>100</v>
      </c>
      <c r="X35" s="518"/>
      <c r="Y35" s="4788"/>
      <c r="Z35" s="519">
        <f t="shared" si="13"/>
        <v>111</v>
      </c>
      <c r="AA35" s="1000">
        <f t="shared" si="3"/>
        <v>1</v>
      </c>
      <c r="AB35" s="1000">
        <f t="shared" si="4"/>
        <v>1</v>
      </c>
      <c r="AC35" s="1000">
        <f t="shared" si="5"/>
        <v>1</v>
      </c>
    </row>
    <row r="36" spans="1:31" ht="15">
      <c r="A36" s="3541" t="s">
        <v>1612</v>
      </c>
      <c r="B36" s="3180" t="s">
        <v>1792</v>
      </c>
      <c r="C36" s="3553"/>
      <c r="D36" s="3280">
        <v>100</v>
      </c>
      <c r="E36" s="3553"/>
      <c r="F36" s="4296" t="e">
        <f>LOOKUP(E36,110:110,111:111)-LOOKUP(C36,110:110,111:111)+100</f>
        <v>#N/A</v>
      </c>
      <c r="G36" s="3553"/>
      <c r="H36" s="4296" t="e">
        <f>LOOKUP(G36,110:110,111:111)-LOOKUP(C36,110:110,111:111)+100</f>
        <v>#N/A</v>
      </c>
      <c r="I36" s="3566"/>
      <c r="J36" s="4296" t="e">
        <f>LOOKUP(I36,110:110,111:111)-LOOKUP(C36,110:110,111:111)+100</f>
        <v>#N/A</v>
      </c>
      <c r="K36" s="413"/>
      <c r="L36" s="2204"/>
      <c r="M36" s="2198"/>
      <c r="N36" s="2198"/>
      <c r="O36" s="2256"/>
      <c r="P36" s="4825"/>
      <c r="Q36" s="3461" t="str">
        <f>B36</f>
        <v>宗地面积</v>
      </c>
      <c r="R36" s="4332" t="s">
        <v>13</v>
      </c>
      <c r="S36" s="4335" t="e">
        <f t="shared" si="10"/>
        <v>#N/A</v>
      </c>
      <c r="T36" s="4332" t="s">
        <v>13</v>
      </c>
      <c r="U36" s="4335" t="e">
        <f t="shared" si="11"/>
        <v>#N/A</v>
      </c>
      <c r="V36" s="4332" t="s">
        <v>13</v>
      </c>
      <c r="W36" s="4335" t="e">
        <f t="shared" si="12"/>
        <v>#N/A</v>
      </c>
      <c r="X36" s="1002"/>
      <c r="Y36" s="4788"/>
      <c r="Z36" s="1003" t="str">
        <f t="shared" si="13"/>
        <v>宗地面积</v>
      </c>
      <c r="AA36" s="1000" t="e">
        <f t="shared" si="3"/>
        <v>#N/A</v>
      </c>
      <c r="AB36" s="1000" t="e">
        <f t="shared" si="4"/>
        <v>#N/A</v>
      </c>
      <c r="AC36" s="1000" t="e">
        <f t="shared" si="5"/>
        <v>#N/A</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25"/>
      <c r="Q37" s="3461" t="str">
        <f t="shared" ref="Q37:Q42" si="14">B37</f>
        <v>宗地形状</v>
      </c>
      <c r="R37" s="4332" t="s">
        <v>13</v>
      </c>
      <c r="S37" s="4335">
        <f t="shared" si="10"/>
        <v>100</v>
      </c>
      <c r="T37" s="4332" t="s">
        <v>13</v>
      </c>
      <c r="U37" s="4335">
        <f t="shared" si="11"/>
        <v>100</v>
      </c>
      <c r="V37" s="4332" t="s">
        <v>13</v>
      </c>
      <c r="W37" s="4335">
        <f t="shared" si="12"/>
        <v>100</v>
      </c>
      <c r="X37" s="1002"/>
      <c r="Y37" s="4788"/>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25"/>
      <c r="Q38" s="3461" t="str">
        <f t="shared" si="14"/>
        <v>宗地开发程度</v>
      </c>
      <c r="R38" s="4331" t="s">
        <v>13</v>
      </c>
      <c r="S38" s="4334">
        <f t="shared" si="10"/>
        <v>100</v>
      </c>
      <c r="T38" s="4331" t="s">
        <v>13</v>
      </c>
      <c r="U38" s="4334">
        <f t="shared" si="11"/>
        <v>100</v>
      </c>
      <c r="V38" s="4331" t="s">
        <v>13</v>
      </c>
      <c r="W38" s="4334">
        <f t="shared" si="12"/>
        <v>100</v>
      </c>
      <c r="X38" s="515"/>
      <c r="Y38" s="4788"/>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25" t="s">
        <v>1614</v>
      </c>
      <c r="Q39" s="3461" t="str">
        <f t="shared" si="14"/>
        <v>工程地质条件</v>
      </c>
      <c r="R39" s="4332" t="s">
        <v>13</v>
      </c>
      <c r="S39" s="4335">
        <f t="shared" si="10"/>
        <v>100</v>
      </c>
      <c r="T39" s="4332" t="s">
        <v>13</v>
      </c>
      <c r="U39" s="4335">
        <f t="shared" si="11"/>
        <v>100</v>
      </c>
      <c r="V39" s="4332" t="s">
        <v>13</v>
      </c>
      <c r="W39" s="4335">
        <f t="shared" si="12"/>
        <v>100</v>
      </c>
      <c r="X39" s="1002"/>
      <c r="Y39" s="4788"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25"/>
      <c r="Q40" s="3461">
        <f t="shared" si="14"/>
        <v>111</v>
      </c>
      <c r="R40" s="4332" t="s">
        <v>13</v>
      </c>
      <c r="S40" s="4335">
        <f t="shared" si="10"/>
        <v>100</v>
      </c>
      <c r="T40" s="4332" t="s">
        <v>13</v>
      </c>
      <c r="U40" s="4335">
        <f t="shared" si="11"/>
        <v>100</v>
      </c>
      <c r="V40" s="4332" t="s">
        <v>13</v>
      </c>
      <c r="W40" s="4335">
        <f t="shared" si="12"/>
        <v>100</v>
      </c>
      <c r="X40" s="1002"/>
      <c r="Y40" s="4788"/>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25"/>
      <c r="Q41" s="3461">
        <f t="shared" si="14"/>
        <v>111</v>
      </c>
      <c r="R41" s="4332" t="s">
        <v>13</v>
      </c>
      <c r="S41" s="4335">
        <f t="shared" si="10"/>
        <v>100</v>
      </c>
      <c r="T41" s="4332" t="s">
        <v>13</v>
      </c>
      <c r="U41" s="4335">
        <f t="shared" si="11"/>
        <v>100</v>
      </c>
      <c r="V41" s="4332" t="s">
        <v>13</v>
      </c>
      <c r="W41" s="4335">
        <f t="shared" si="12"/>
        <v>100</v>
      </c>
      <c r="X41" s="1002"/>
      <c r="Y41" s="4788"/>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25"/>
      <c r="Q42" s="3461">
        <f t="shared" si="14"/>
        <v>111</v>
      </c>
      <c r="R42" s="4333" t="s">
        <v>13</v>
      </c>
      <c r="S42" s="4336">
        <f t="shared" si="10"/>
        <v>100</v>
      </c>
      <c r="T42" s="4333" t="s">
        <v>13</v>
      </c>
      <c r="U42" s="4336">
        <f t="shared" si="11"/>
        <v>100</v>
      </c>
      <c r="V42" s="4333" t="s">
        <v>13</v>
      </c>
      <c r="W42" s="4336">
        <f t="shared" si="12"/>
        <v>100</v>
      </c>
      <c r="X42" s="518"/>
      <c r="Y42" s="4788"/>
      <c r="Z42" s="519">
        <f t="shared" si="13"/>
        <v>111</v>
      </c>
      <c r="AA42" s="1000">
        <f t="shared" si="3"/>
        <v>1</v>
      </c>
      <c r="AB42" s="1000">
        <f t="shared" si="4"/>
        <v>1</v>
      </c>
      <c r="AC42" s="1000">
        <f t="shared" si="5"/>
        <v>1</v>
      </c>
    </row>
    <row r="43" spans="1:31" ht="15">
      <c r="A43" s="293" t="s">
        <v>1762</v>
      </c>
      <c r="B43" s="1575" t="s">
        <v>1840</v>
      </c>
      <c r="C43" s="466" t="s">
        <v>0</v>
      </c>
      <c r="D43" s="3621"/>
      <c r="E43" s="3667"/>
      <c r="F43" s="3598"/>
      <c r="G43" s="3668"/>
      <c r="H43" s="3670"/>
      <c r="I43" s="3667"/>
      <c r="J43" s="3599"/>
      <c r="K43" s="3245"/>
      <c r="L43" s="2206"/>
      <c r="M43" s="2198"/>
      <c r="N43" s="2198"/>
      <c r="O43" s="2207"/>
      <c r="P43" s="4781" t="str">
        <f>A43</f>
        <v>成交单价</v>
      </c>
      <c r="Q43" s="4781"/>
      <c r="R43" s="4782">
        <f>E43</f>
        <v>0</v>
      </c>
      <c r="S43" s="4782"/>
      <c r="T43" s="4782">
        <f>G43</f>
        <v>0</v>
      </c>
      <c r="U43" s="4782"/>
      <c r="V43" s="4782">
        <f>I43</f>
        <v>0</v>
      </c>
      <c r="W43" s="4782"/>
      <c r="X43" s="504"/>
      <c r="Y43" s="520"/>
      <c r="Z43" s="504"/>
      <c r="AA43" s="504"/>
      <c r="AB43" s="504"/>
      <c r="AC43" s="504"/>
    </row>
    <row r="44" spans="1:31" ht="15.75" thickBot="1">
      <c r="A44" s="296" t="s">
        <v>1711</v>
      </c>
      <c r="B44" s="467"/>
      <c r="C44" s="4308" t="e">
        <f>R45</f>
        <v>#DIV/0!</v>
      </c>
      <c r="D44" s="4472" t="s">
        <v>2054</v>
      </c>
      <c r="E44" s="4308" t="e">
        <f>R44</f>
        <v>#DIV/0!</v>
      </c>
      <c r="F44" s="3183"/>
      <c r="G44" s="4297" t="e">
        <f>T44</f>
        <v>#DIV/0!</v>
      </c>
      <c r="H44" s="3183"/>
      <c r="I44" s="4308" t="e">
        <f>V44</f>
        <v>#DIV/0!</v>
      </c>
      <c r="J44" s="3183"/>
      <c r="K44" s="3238">
        <f>F44+H44+J44</f>
        <v>0</v>
      </c>
      <c r="L44" s="2206"/>
      <c r="M44" s="2198"/>
      <c r="N44" s="2198"/>
      <c r="O44" s="2207"/>
      <c r="P44" s="4781" t="str">
        <f>A44</f>
        <v>比较价值（元/平方米）</v>
      </c>
      <c r="Q44" s="4781"/>
      <c r="R44" s="4782" t="e">
        <f>ROUND(PRODUCT(R43,AA9:AA42),0)</f>
        <v>#DIV/0!</v>
      </c>
      <c r="S44" s="4782"/>
      <c r="T44" s="4782" t="e">
        <f>ROUND(PRODUCT(T43,AB9:AB42),0)</f>
        <v>#DIV/0!</v>
      </c>
      <c r="U44" s="4782"/>
      <c r="V44" s="4782" t="e">
        <f>ROUND(PRODUCT(V43,AC9:AC42),0)</f>
        <v>#DIV/0!</v>
      </c>
      <c r="W44" s="4782"/>
      <c r="X44" s="504"/>
      <c r="Y44" s="504"/>
      <c r="Z44" s="504"/>
      <c r="AA44" s="504"/>
      <c r="AB44" s="504"/>
      <c r="AC44" s="504"/>
    </row>
    <row r="45" spans="1:31" ht="15.75" thickBot="1">
      <c r="A45" s="298" t="s">
        <v>1712</v>
      </c>
      <c r="B45" s="299"/>
      <c r="C45" s="4309" t="e">
        <f>R45</f>
        <v>#DIV/0!</v>
      </c>
      <c r="D45" s="3600"/>
      <c r="E45" s="3600"/>
      <c r="F45" s="3600"/>
      <c r="G45" s="3600"/>
      <c r="H45" s="3600"/>
      <c r="I45" s="3600"/>
      <c r="J45" s="3600"/>
      <c r="K45" s="3622"/>
      <c r="L45" s="2206"/>
      <c r="M45" s="2198"/>
      <c r="N45" s="2198"/>
      <c r="O45" s="2207"/>
      <c r="P45" s="4778" t="str">
        <f>A45</f>
        <v>估价对象XX用房的比较价值（楼面单价，元/平方米）</v>
      </c>
      <c r="Q45" s="4779"/>
      <c r="R45" s="4780" t="e">
        <f>ROUND(IF(D44="简单平均",AVERAGE(R44:W44),R44*F44+T44*H44+V44*J44),0)</f>
        <v>#DIV/0!</v>
      </c>
      <c r="S45" s="4780"/>
      <c r="T45" s="4780"/>
      <c r="U45" s="4780"/>
      <c r="V45" s="4780"/>
      <c r="W45" s="4780"/>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07" t="s">
        <v>1805</v>
      </c>
      <c r="H52" s="4840"/>
      <c r="I52" s="3462" t="s">
        <v>1841</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t="e">
        <f>C45</f>
        <v>#DIV/0!</v>
      </c>
      <c r="C53" s="3533">
        <v>1</v>
      </c>
      <c r="D53" s="3510">
        <v>1</v>
      </c>
      <c r="E53" s="3509">
        <f>'数据-汇总表'!E8+'数据-汇总表'!E9</f>
        <v>11046.05</v>
      </c>
      <c r="F53" s="3512" t="e">
        <f t="shared" ref="F53:F62" si="15">ROUND(B53*E53/10000,0)</f>
        <v>#DIV/0!</v>
      </c>
      <c r="G53" s="4841"/>
      <c r="H53" s="4827"/>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t="e">
        <f>ROUND($C$45*C54*D54,0)</f>
        <v>#DIV/0!</v>
      </c>
      <c r="C54" s="3508">
        <f t="shared" ref="C54:C62" si="16">IF($C$52="北京市系数",I54,J54)</f>
        <v>0</v>
      </c>
      <c r="D54" s="3511">
        <v>0.25</v>
      </c>
      <c r="E54" s="3513"/>
      <c r="F54" s="3512" t="e">
        <f t="shared" si="15"/>
        <v>#DIV/0!</v>
      </c>
      <c r="G54" s="3520" t="s">
        <v>1810</v>
      </c>
      <c r="H54" s="3517">
        <f>项目基本情况!B37</f>
        <v>0</v>
      </c>
      <c r="I54" s="3088">
        <f>SUMIF(修正!A59:A70,H54,修正!B59:B70)</f>
        <v>0</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t="e">
        <f t="shared" ref="B55:B62" si="17">ROUND($C$45*C55*D55,0)</f>
        <v>#DIV/0!</v>
      </c>
      <c r="C55" s="3508">
        <f t="shared" si="16"/>
        <v>0</v>
      </c>
      <c r="D55" s="3511">
        <v>0.25</v>
      </c>
      <c r="E55" s="3513"/>
      <c r="F55" s="3512" t="e">
        <f t="shared" si="15"/>
        <v>#DIV/0!</v>
      </c>
      <c r="G55" s="3521"/>
      <c r="H55" s="3517">
        <f>项目基本情况!B37</f>
        <v>0</v>
      </c>
      <c r="I55" s="3088">
        <f>SUMIF(修正!A59:A70,H55,修正!C59:C70)</f>
        <v>0</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t="e">
        <f t="shared" si="17"/>
        <v>#DIV/0!</v>
      </c>
      <c r="C56" s="3508">
        <f t="shared" si="16"/>
        <v>0</v>
      </c>
      <c r="D56" s="3511">
        <v>0.25</v>
      </c>
      <c r="E56" s="3513"/>
      <c r="F56" s="3512" t="e">
        <f t="shared" si="15"/>
        <v>#DIV/0!</v>
      </c>
      <c r="G56" s="3521"/>
      <c r="H56" s="3517">
        <f>项目基本情况!B37</f>
        <v>0</v>
      </c>
      <c r="I56" s="3088">
        <f>SUMIF(修正!A59:A70,H56,修正!D59:D70)</f>
        <v>0</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t="e">
        <f t="shared" si="17"/>
        <v>#DIV/0!</v>
      </c>
      <c r="C58" s="3508">
        <f t="shared" si="16"/>
        <v>0</v>
      </c>
      <c r="D58" s="3511">
        <v>0.25</v>
      </c>
      <c r="E58" s="3514">
        <f>'数据-汇总表'!E11</f>
        <v>0</v>
      </c>
      <c r="F58" s="3512" t="e">
        <f t="shared" si="15"/>
        <v>#DIV/0!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t="e">
        <f t="shared" si="17"/>
        <v>#DIV/0!</v>
      </c>
      <c r="C59" s="3508">
        <f t="shared" si="16"/>
        <v>0</v>
      </c>
      <c r="D59" s="3511">
        <v>0.25</v>
      </c>
      <c r="E59" s="3514">
        <f>'数据-汇总表'!E12</f>
        <v>0</v>
      </c>
      <c r="F59" s="3512" t="e">
        <f t="shared" si="15"/>
        <v>#DIV/0!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t="e">
        <f t="shared" si="17"/>
        <v>#DIV/0!</v>
      </c>
      <c r="C60" s="3508">
        <f t="shared" si="16"/>
        <v>0</v>
      </c>
      <c r="D60" s="3511">
        <v>0.25</v>
      </c>
      <c r="E60" s="3514">
        <f>'数据-汇总表'!E13</f>
        <v>0</v>
      </c>
      <c r="F60" s="3512" t="e">
        <f t="shared" si="15"/>
        <v>#DIV/0!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t="e">
        <f t="shared" si="17"/>
        <v>#DIV/0!</v>
      </c>
      <c r="C61" s="3508">
        <f t="shared" si="16"/>
        <v>0</v>
      </c>
      <c r="D61" s="3511">
        <v>0.25</v>
      </c>
      <c r="E61" s="3514">
        <f>'数据-汇总表'!E14</f>
        <v>0</v>
      </c>
      <c r="F61" s="3512" t="e">
        <f t="shared" si="15"/>
        <v>#DIV/0!</v>
      </c>
      <c r="G61" s="3523" t="s">
        <v>1810</v>
      </c>
      <c r="H61" s="3517">
        <f>项目基本情况!B37</f>
        <v>0</v>
      </c>
      <c r="I61" s="3088">
        <f>SUMIF(修正!A59:A70,H61,修正!G59:G70)</f>
        <v>0</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t="e">
        <f t="shared" si="17"/>
        <v>#DIV/0!</v>
      </c>
      <c r="C62" s="3508">
        <f t="shared" si="16"/>
        <v>0</v>
      </c>
      <c r="D62" s="3511">
        <v>0.25</v>
      </c>
      <c r="E62" s="3514">
        <f>'数据-汇总表'!E15</f>
        <v>0</v>
      </c>
      <c r="F62" s="3512" t="e">
        <f t="shared" si="15"/>
        <v>#DIV/0!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15789.4</v>
      </c>
      <c r="F63" s="3516" t="e">
        <f>IF(B43="楼面地价",SUM(F53:F62),ROUND(C45*E63/10000,0))</f>
        <v>#DIV/0!</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1842</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c r="D77" s="352"/>
      <c r="E77" s="352"/>
      <c r="F77" s="352"/>
      <c r="G77" s="352"/>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1843</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c r="A109" s="330" t="s">
        <v>1612</v>
      </c>
      <c r="B109" s="331" t="s">
        <v>1831</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c r="D110" s="395"/>
      <c r="E110" s="395"/>
      <c r="F110" s="395"/>
      <c r="G110" s="395"/>
      <c r="H110" s="395"/>
      <c r="I110" s="395"/>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c r="D111" s="391"/>
      <c r="E111" s="391"/>
      <c r="F111" s="391"/>
      <c r="G111" s="391"/>
      <c r="H111" s="391"/>
      <c r="I111" s="391"/>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3"/>
      <c r="F1" s="2283"/>
      <c r="G1" s="2153"/>
      <c r="H1" s="2283"/>
      <c r="I1" s="2283"/>
      <c r="J1" s="2283"/>
      <c r="K1" s="2284">
        <f>MATCH(C1,'数据-取费表'!A6:A16,0)+5</f>
        <v>7</v>
      </c>
    </row>
    <row r="2" spans="1:33" ht="18" customHeight="1">
      <c r="A2" s="101" t="s">
        <v>1437</v>
      </c>
      <c r="B2" s="2851">
        <f ca="1">IF(D2="含税",C37,C36)</f>
        <v>0</v>
      </c>
      <c r="C2" s="176" t="s">
        <v>1540</v>
      </c>
      <c r="D2" s="3800"/>
      <c r="E2" s="2283"/>
      <c r="G2" s="2283"/>
      <c r="H2" s="2283"/>
      <c r="I2" s="2283"/>
      <c r="J2" s="2283"/>
      <c r="K2" s="2283"/>
    </row>
    <row r="3" spans="1:33" ht="18" customHeight="1">
      <c r="A3" s="103" t="s">
        <v>1439</v>
      </c>
      <c r="B3" s="2851">
        <f ca="1">ROUND(B2*10000/IF(C1="",'数据-汇总表'!E3,INDIRECT("'数据-取费表'!K"&amp;$K$1)),0)</f>
        <v>0</v>
      </c>
      <c r="C3" s="176" t="s">
        <v>1541</v>
      </c>
      <c r="E3" s="571"/>
      <c r="I3" s="2283"/>
      <c r="J3" s="2283"/>
      <c r="K3" s="2283"/>
    </row>
    <row r="4" spans="1:33" ht="18" customHeight="1">
      <c r="A4" s="3856" t="s">
        <v>3679</v>
      </c>
      <c r="B4" s="3861">
        <f ca="1">ROUND(B2*10000/IF(C1="",'数据-汇总表'!D3,INDIRECT("'数据-取费表'!R"&amp;$K$1)),0)</f>
        <v>0</v>
      </c>
      <c r="C4" s="3860" t="s">
        <v>1541</v>
      </c>
      <c r="E4" s="571"/>
      <c r="I4" s="2283"/>
      <c r="J4" s="2283"/>
      <c r="K4" s="2283"/>
    </row>
    <row r="5" spans="1:33" ht="18" customHeight="1" thickBot="1">
      <c r="A5" s="99"/>
      <c r="B5" s="3857">
        <f ca="1">ROUND(B2/(IF(C1="",'数据-汇总表'!D3,INDIRECT("'数据-取费表'!R"&amp;$K$1))/666.67),0)</f>
        <v>0</v>
      </c>
      <c r="C5" s="3859" t="s">
        <v>3677</v>
      </c>
      <c r="E5" s="571"/>
      <c r="I5" s="2283"/>
      <c r="J5" s="2283"/>
      <c r="K5" s="2283"/>
    </row>
    <row r="6" spans="1:33" s="572" customFormat="1" ht="16.5" customHeight="1">
      <c r="A6" s="2999" t="s">
        <v>3405</v>
      </c>
      <c r="B6" s="2998"/>
      <c r="C6" s="4846" t="s">
        <v>3407</v>
      </c>
      <c r="D6" s="4846"/>
      <c r="E6" s="4846"/>
      <c r="F6" s="4846"/>
      <c r="G6" s="4846"/>
      <c r="H6" s="4846"/>
      <c r="I6" s="4846"/>
      <c r="J6" s="4846"/>
      <c r="K6" s="4847"/>
    </row>
    <row r="7" spans="1:33" s="575" customFormat="1" ht="15">
      <c r="A7" s="2819"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0</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0" t="s">
        <v>3420</v>
      </c>
      <c r="B11" s="4851"/>
      <c r="C11" s="4851"/>
      <c r="D11" s="4851"/>
      <c r="E11" s="4851"/>
      <c r="F11" s="4851"/>
      <c r="G11" s="4851"/>
      <c r="H11" s="4851"/>
      <c r="I11" s="4851"/>
      <c r="J11" s="4851"/>
      <c r="K11" s="4852"/>
    </row>
    <row r="12" spans="1:33" s="580" customFormat="1" ht="13.5" customHeight="1">
      <c r="A12" s="3679" t="s">
        <v>3561</v>
      </c>
      <c r="B12" s="3023" t="s">
        <v>1548</v>
      </c>
      <c r="C12" s="3024" t="s">
        <v>1549</v>
      </c>
      <c r="D12" s="1278" t="s">
        <v>1550</v>
      </c>
      <c r="E12" s="1278" t="s">
        <v>1551</v>
      </c>
      <c r="F12" s="1278" t="s">
        <v>1552</v>
      </c>
      <c r="G12" s="3065" t="s">
        <v>3431</v>
      </c>
      <c r="H12" s="3023"/>
      <c r="I12" s="3023"/>
      <c r="J12" s="3023"/>
      <c r="K12" s="3025"/>
    </row>
    <row r="13" spans="1:33" s="580" customFormat="1" ht="13.5" customHeight="1">
      <c r="A13" s="2819">
        <v>1</v>
      </c>
      <c r="B13" s="3026" t="s">
        <v>3406</v>
      </c>
      <c r="C13" s="3010">
        <f>SUM(C10:K10)</f>
        <v>0</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3717</v>
      </c>
      <c r="H14" s="25"/>
      <c r="I14" s="25"/>
      <c r="J14" s="25"/>
      <c r="K14" s="27"/>
    </row>
    <row r="15" spans="1:33" s="582" customFormat="1" ht="13.5" customHeight="1">
      <c r="A15" s="2819">
        <v>3</v>
      </c>
      <c r="B15" s="3001" t="s">
        <v>3408</v>
      </c>
      <c r="C15" s="3011">
        <f ca="1">SUM(C16:C19)+C25+C26</f>
        <v>0</v>
      </c>
      <c r="D15" s="589"/>
      <c r="E15" s="178"/>
      <c r="F15" s="3011"/>
      <c r="G15" s="3068" t="s">
        <v>3718</v>
      </c>
      <c r="H15" s="217"/>
      <c r="I15" s="217"/>
      <c r="J15" s="217"/>
      <c r="K15" s="3029"/>
    </row>
    <row r="16" spans="1:33" s="582" customFormat="1" ht="13.5" customHeight="1">
      <c r="A16" s="576" t="s">
        <v>355</v>
      </c>
      <c r="B16" s="3043" t="s">
        <v>3421</v>
      </c>
      <c r="C16" s="3012">
        <f ca="1">IF(C1="",'数据-取费表'!P16,INDIRECT("'数据-取费表'!P"&amp;$K$1)+INDIRECT("'数据-取费表'!ar"&amp;$K$1))</f>
        <v>0</v>
      </c>
      <c r="D16" s="581"/>
      <c r="E16" s="217"/>
      <c r="F16" s="3019">
        <f ca="1">1-IF('数据-取费表'!B24=0,1,IF(C1="",'数据-取费表'!N16,INDIRECT("'数据-取费表'!n"&amp;$K$1)))</f>
        <v>0</v>
      </c>
      <c r="G16" s="3027"/>
      <c r="H16" s="3027"/>
      <c r="I16" s="3027"/>
      <c r="J16" s="3027"/>
      <c r="K16" s="3028"/>
    </row>
    <row r="17" spans="1:33" s="582" customFormat="1" ht="13.5" customHeight="1">
      <c r="A17" s="576" t="s">
        <v>1545</v>
      </c>
      <c r="B17" s="3043" t="s">
        <v>3422</v>
      </c>
      <c r="C17" s="3052">
        <f ca="1">ROUND(C16*F17,0)</f>
        <v>0</v>
      </c>
      <c r="D17" s="581"/>
      <c r="E17" s="217"/>
      <c r="F17" s="3019">
        <f>'数据-取费表'!B33</f>
        <v>0.06</v>
      </c>
      <c r="G17" s="3889" t="s">
        <v>3729</v>
      </c>
      <c r="H17" s="3027"/>
      <c r="I17" s="3027"/>
      <c r="J17" s="3027"/>
      <c r="K17" s="3028"/>
    </row>
    <row r="18" spans="1:33" s="582" customFormat="1" ht="13.5" customHeight="1">
      <c r="A18" s="576" t="s">
        <v>1547</v>
      </c>
      <c r="B18" s="3043" t="s">
        <v>3423</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3410</v>
      </c>
      <c r="B19" s="3043" t="s">
        <v>3424</v>
      </c>
      <c r="C19" s="3052">
        <f ca="1">C20+C23+C24</f>
        <v>0</v>
      </c>
      <c r="D19" s="599"/>
      <c r="E19" s="217"/>
      <c r="F19" s="3019"/>
      <c r="G19" s="3027"/>
      <c r="H19" s="3027"/>
      <c r="I19" s="3027"/>
      <c r="J19" s="3027"/>
      <c r="K19" s="3028"/>
    </row>
    <row r="20" spans="1:33" s="582" customFormat="1" ht="13.5" customHeight="1">
      <c r="A20" s="3002" t="s">
        <v>3413</v>
      </c>
      <c r="B20" s="3030" t="s">
        <v>1558</v>
      </c>
      <c r="C20" s="3052">
        <f ca="1">C21+C22-IF(C1="",'数据-取费表'!B29,IF(G20="已全部缴纳",C21+C22,H20))</f>
        <v>0</v>
      </c>
      <c r="D20" s="599"/>
      <c r="E20" s="12"/>
      <c r="F20" s="3020"/>
      <c r="G20" s="3031"/>
      <c r="H20" s="3032"/>
      <c r="I20" s="3033" t="s">
        <v>1559</v>
      </c>
      <c r="J20" s="217"/>
      <c r="K20" s="3029"/>
    </row>
    <row r="21" spans="1:33" s="582" customFormat="1" ht="13.5" customHeight="1">
      <c r="A21" s="3045" t="s">
        <v>3416</v>
      </c>
      <c r="B21" s="3046" t="s">
        <v>3427</v>
      </c>
      <c r="C21" s="3053">
        <f ca="1">ROUND(D21*E21/10000,0)</f>
        <v>0</v>
      </c>
      <c r="D21" s="3055">
        <f ca="1">IF(C1="",'数据-汇总表'!E5,IF(INDIRECT("'数据-取费表'!c"&amp;$K$1)="住宅",INDIRECT("'数据-取费表'!k"&amp;$K$1),0))</f>
        <v>0</v>
      </c>
      <c r="E21" s="3053">
        <f>'数据-取费表'!B27</f>
        <v>0</v>
      </c>
      <c r="F21" s="3047"/>
      <c r="G21" s="191"/>
      <c r="H21" s="191"/>
      <c r="I21" s="191"/>
      <c r="J21" s="191"/>
      <c r="K21" s="2076"/>
    </row>
    <row r="22" spans="1:33" s="582" customFormat="1" ht="13.5" customHeight="1">
      <c r="A22" s="3045" t="s">
        <v>3417</v>
      </c>
      <c r="B22" s="3046" t="s">
        <v>3428</v>
      </c>
      <c r="C22" s="3053">
        <f ca="1">ROUND(D22*E22/10000,0)</f>
        <v>221</v>
      </c>
      <c r="D22" s="3055">
        <f ca="1">IF(C1="",'数据-汇总表'!E6,IF(INDIRECT("'数据-取费表'!c"&amp;$K$1)="住宅",INDIRECT("'数据-取费表'!s"&amp;$K$1),INDIRECT("'数据-取费表'!k"&amp;$K$1)+INDIRECT("'数据-取费表'!s"&amp;$K$1)))</f>
        <v>11046.05</v>
      </c>
      <c r="E22" s="3053">
        <f>'数据-取费表'!B28</f>
        <v>200</v>
      </c>
      <c r="F22" s="3047"/>
      <c r="G22" s="191"/>
      <c r="H22" s="191"/>
      <c r="I22" s="191"/>
      <c r="J22" s="191"/>
      <c r="K22" s="2076"/>
    </row>
    <row r="23" spans="1:33" s="583" customFormat="1" ht="13.5" customHeight="1">
      <c r="A23" s="3002" t="s">
        <v>3414</v>
      </c>
      <c r="B23" s="3030" t="s">
        <v>1554</v>
      </c>
      <c r="C23" s="3052">
        <f ca="1">ROUND(D23*E23*F16/10000,0)</f>
        <v>0</v>
      </c>
      <c r="D23" s="3056">
        <f ca="1">IF(C1="",'数据-汇总表'!E3,INDIRECT("'数据-取费表'!K"&amp;$K$1)+INDIRECT("'数据-取费表'!S"&amp;$K$1))</f>
        <v>11046.05</v>
      </c>
      <c r="E23" s="3052">
        <f>'数据-取费表'!B35</f>
        <v>300</v>
      </c>
      <c r="F23" s="3020"/>
      <c r="G23" s="3026" t="s">
        <v>3719</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3415</v>
      </c>
      <c r="B24" s="3030" t="s">
        <v>1556</v>
      </c>
      <c r="C24" s="3052">
        <f ca="1">ROUND(D24*E24/10000,0)</f>
        <v>0</v>
      </c>
      <c r="D24" s="3056">
        <f ca="1">D23</f>
        <v>11046.05</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3411</v>
      </c>
      <c r="B25" s="3044" t="s">
        <v>3425</v>
      </c>
      <c r="C25" s="3014">
        <f ca="1">ROUND(C16*F25,0)</f>
        <v>0</v>
      </c>
      <c r="D25" s="3003"/>
      <c r="E25" s="3004"/>
      <c r="F25" s="3019">
        <f>'数据-取费表'!B36</f>
        <v>0.02</v>
      </c>
      <c r="G25" s="3003"/>
      <c r="H25" s="3003"/>
      <c r="I25" s="3003"/>
      <c r="J25" s="3003"/>
      <c r="K25" s="3034"/>
    </row>
    <row r="26" spans="1:33" s="583" customFormat="1" ht="13.5" customHeight="1">
      <c r="A26" s="3000" t="s">
        <v>3412</v>
      </c>
      <c r="B26" s="3043" t="s">
        <v>3426</v>
      </c>
      <c r="C26" s="3015">
        <f ca="1">ROUND(C16*F26,0)</f>
        <v>0</v>
      </c>
      <c r="D26" s="584"/>
      <c r="E26" s="588"/>
      <c r="F26" s="3019">
        <f>'数据-取费表'!B37</f>
        <v>0.02</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0</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0</v>
      </c>
      <c r="D28" s="178"/>
      <c r="E28" s="178"/>
      <c r="F28" s="3018">
        <f>'数据-取费表'!B39</f>
        <v>0.02</v>
      </c>
      <c r="G28" s="3027" t="s">
        <v>3720</v>
      </c>
      <c r="H28" s="3027"/>
      <c r="I28" s="3027"/>
      <c r="J28" s="3027"/>
      <c r="K28" s="3028"/>
    </row>
    <row r="29" spans="1:33" s="582" customFormat="1" ht="13.5" customHeight="1">
      <c r="A29" s="2819">
        <v>6</v>
      </c>
      <c r="B29" s="3001" t="s">
        <v>3409</v>
      </c>
      <c r="C29" s="3050" t="str">
        <f ca="1">C31&amp;"+"&amp;C30&amp;"V"</f>
        <v>0+0V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0</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3429</v>
      </c>
      <c r="C31" s="3012">
        <f ca="1">ROUND(IF('数据-取费表'!B22&lt;=1,(C15+C27+C28)*F29*'数据-取费表'!B24/2,(C15+C27+C28)*(POWER((1+F29),'数据-取费表'!B24/2)-1)),0)</f>
        <v>0</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ROUND(C13*F32/(1+'数据-取费表'!C43),0)</f>
        <v>0</v>
      </c>
      <c r="D32" s="3027"/>
      <c r="E32" s="3039"/>
      <c r="F32" s="3036"/>
      <c r="G32" s="4848" t="s">
        <v>3419</v>
      </c>
      <c r="H32" s="4848"/>
      <c r="I32" s="4848"/>
      <c r="J32" s="4848"/>
      <c r="K32" s="4849"/>
    </row>
    <row r="33" spans="1:11" s="181" customFormat="1" ht="13.5" customHeight="1">
      <c r="A33" s="2819">
        <v>8</v>
      </c>
      <c r="B33" s="3005" t="s">
        <v>1565</v>
      </c>
      <c r="C33" s="3054" t="str">
        <f ca="1">C35&amp;"+"&amp;C34&amp;"V"</f>
        <v>0+0V</v>
      </c>
      <c r="D33" s="177"/>
      <c r="E33" s="178"/>
      <c r="F33" s="3022">
        <f ca="1">IF(C1="",'数据-取费表'!Q16,INDIRECT("'数据-取费表'!q"&amp;$K$1))</f>
        <v>0.05</v>
      </c>
      <c r="G33" s="25"/>
      <c r="H33" s="25"/>
      <c r="I33" s="25"/>
      <c r="J33" s="25"/>
      <c r="K33" s="27"/>
    </row>
    <row r="34" spans="1:11" s="182" customFormat="1" ht="13.5" customHeight="1">
      <c r="A34" s="3049" t="s">
        <v>355</v>
      </c>
      <c r="B34" s="3030" t="s">
        <v>1566</v>
      </c>
      <c r="C34" s="3016">
        <f ca="1">ROUND((1+F14)*F33*'数据-取费表'!B24/'数据-取费表'!B22,4)</f>
        <v>0</v>
      </c>
      <c r="D34" s="179"/>
      <c r="E34" s="584"/>
      <c r="F34" s="3021"/>
      <c r="G34" s="217" t="s">
        <v>1567</v>
      </c>
      <c r="H34" s="217"/>
      <c r="I34" s="217"/>
      <c r="J34" s="217"/>
      <c r="K34" s="3029"/>
    </row>
    <row r="35" spans="1:11" s="182" customFormat="1" ht="13.5" customHeight="1">
      <c r="A35" s="3049" t="s">
        <v>1545</v>
      </c>
      <c r="B35" s="3030" t="s">
        <v>3429</v>
      </c>
      <c r="C35" s="3017">
        <f ca="1">ROUND((C15+C27+C28)*F33,0)</f>
        <v>0</v>
      </c>
      <c r="D35" s="179"/>
      <c r="E35" s="584"/>
      <c r="F35" s="3021"/>
      <c r="G35" s="217"/>
      <c r="H35" s="217"/>
      <c r="I35" s="217"/>
      <c r="J35" s="217"/>
      <c r="K35" s="3029"/>
    </row>
    <row r="36" spans="1:11" s="580" customFormat="1" ht="15">
      <c r="A36" s="2819">
        <v>9</v>
      </c>
      <c r="B36" s="3026" t="s">
        <v>3418</v>
      </c>
      <c r="C36" s="3010">
        <f ca="1">ROUND((C13-C15-C27-C28-C31-C35-C32)/(1+F14+C30+C34),0)</f>
        <v>0</v>
      </c>
      <c r="D36" s="3027"/>
      <c r="E36" s="3027"/>
      <c r="F36" s="177"/>
      <c r="G36" s="3064" t="s">
        <v>3430</v>
      </c>
      <c r="H36" s="3027"/>
      <c r="I36" s="3027"/>
      <c r="J36" s="3027"/>
      <c r="K36" s="3028"/>
    </row>
    <row r="37" spans="1:11" s="3166" customFormat="1" ht="15.75" thickBot="1">
      <c r="A37" s="3040">
        <v>10</v>
      </c>
      <c r="B37" s="3041" t="s">
        <v>3524</v>
      </c>
      <c r="C37" s="3163">
        <f ca="1">ROUND(C36*(1+F37),0)</f>
        <v>0</v>
      </c>
      <c r="D37" s="3164"/>
      <c r="E37" s="3165"/>
      <c r="F37" s="3042">
        <v>0.09</v>
      </c>
      <c r="G37" s="3026" t="s">
        <v>3525</v>
      </c>
      <c r="H37" s="3027"/>
      <c r="I37" s="3027"/>
      <c r="J37" s="3027"/>
      <c r="K37" s="3028"/>
    </row>
    <row r="38" spans="1:11" ht="12.75" customHeight="1"/>
    <row r="44" spans="1:11" s="3677" customFormat="1" ht="19.5" thickBot="1">
      <c r="A44" s="3682" t="s">
        <v>3534</v>
      </c>
      <c r="B44" s="2069"/>
      <c r="C44" s="3683"/>
      <c r="D44" s="2069"/>
      <c r="E44" s="2069"/>
      <c r="F44" s="2069"/>
      <c r="G44" s="2069"/>
    </row>
    <row r="45" spans="1:11" s="3677" customFormat="1" ht="15">
      <c r="A45" s="3679" t="s">
        <v>3561</v>
      </c>
      <c r="B45" s="3023" t="s">
        <v>1548</v>
      </c>
      <c r="C45" s="3024" t="s">
        <v>1549</v>
      </c>
      <c r="D45" s="1278" t="s">
        <v>1550</v>
      </c>
      <c r="E45" s="1278" t="s">
        <v>1551</v>
      </c>
      <c r="F45" s="1278" t="s">
        <v>1552</v>
      </c>
      <c r="G45" s="3065" t="s">
        <v>3431</v>
      </c>
    </row>
    <row r="46" spans="1:11" s="3677" customFormat="1">
      <c r="A46" s="690">
        <v>1</v>
      </c>
      <c r="B46" s="3044" t="s">
        <v>3535</v>
      </c>
      <c r="C46" s="3014">
        <f>C13</f>
        <v>0</v>
      </c>
      <c r="D46" s="690"/>
      <c r="E46" s="690"/>
      <c r="F46" s="690"/>
      <c r="G46" s="690"/>
    </row>
    <row r="47" spans="1:11" s="3677" customFormat="1">
      <c r="A47" s="690">
        <v>2</v>
      </c>
      <c r="B47" s="3044" t="s">
        <v>3537</v>
      </c>
      <c r="C47" s="3014" t="str">
        <f>C14</f>
        <v>0.0305V</v>
      </c>
      <c r="D47" s="690"/>
      <c r="E47" s="690"/>
      <c r="F47" s="690"/>
      <c r="G47" s="690"/>
    </row>
    <row r="48" spans="1:11" s="3677" customFormat="1">
      <c r="A48" s="690">
        <v>3</v>
      </c>
      <c r="B48" s="3044" t="s">
        <v>3536</v>
      </c>
      <c r="C48" s="3014" t="e">
        <f ca="1">C49+C59+C60+C63</f>
        <v>#VALUE!</v>
      </c>
      <c r="D48" s="690"/>
      <c r="E48" s="690"/>
      <c r="F48" s="690"/>
      <c r="G48" s="690"/>
    </row>
    <row r="49" spans="1:7" s="3677" customFormat="1">
      <c r="A49" s="3680" t="s">
        <v>355</v>
      </c>
      <c r="B49" s="3044" t="s">
        <v>3546</v>
      </c>
      <c r="C49" s="3014">
        <f ca="1">C50+C51+C52+C53+C57+C58</f>
        <v>0</v>
      </c>
      <c r="D49" s="690"/>
      <c r="E49" s="690"/>
      <c r="F49" s="690"/>
      <c r="G49" s="690"/>
    </row>
    <row r="50" spans="1:7" s="3677" customFormat="1">
      <c r="A50" s="3681" t="s">
        <v>3547</v>
      </c>
      <c r="B50" s="3044" t="s">
        <v>3551</v>
      </c>
      <c r="C50" s="3014">
        <f ca="1">C16</f>
        <v>0</v>
      </c>
      <c r="D50" s="690"/>
      <c r="E50" s="690"/>
      <c r="F50" s="690"/>
      <c r="G50" s="690"/>
    </row>
    <row r="51" spans="1:7" s="3677" customFormat="1">
      <c r="A51" s="3681" t="s">
        <v>3562</v>
      </c>
      <c r="B51" s="690" t="s">
        <v>3548</v>
      </c>
      <c r="C51" s="3014">
        <f t="shared" ref="C51:C53" ca="1" si="0">C17</f>
        <v>0</v>
      </c>
      <c r="D51" s="690"/>
      <c r="E51" s="690"/>
      <c r="F51" s="690"/>
      <c r="G51" s="690"/>
    </row>
    <row r="52" spans="1:7" s="3677" customFormat="1">
      <c r="A52" s="3681" t="s">
        <v>3563</v>
      </c>
      <c r="B52" s="690" t="s">
        <v>3549</v>
      </c>
      <c r="C52" s="3014">
        <f t="shared" ca="1" si="0"/>
        <v>0</v>
      </c>
      <c r="D52" s="690"/>
      <c r="E52" s="690"/>
      <c r="F52" s="690"/>
      <c r="G52" s="690"/>
    </row>
    <row r="53" spans="1:7" s="3677" customFormat="1">
      <c r="A53" s="3681" t="s">
        <v>3564</v>
      </c>
      <c r="B53" s="690" t="s">
        <v>3550</v>
      </c>
      <c r="C53" s="3014">
        <f t="shared" ca="1" si="0"/>
        <v>0</v>
      </c>
      <c r="D53" s="690"/>
      <c r="E53" s="690"/>
      <c r="F53" s="690"/>
      <c r="G53" s="690"/>
    </row>
    <row r="54" spans="1:7" s="3677" customFormat="1">
      <c r="A54" s="3884" t="s">
        <v>3416</v>
      </c>
      <c r="B54" s="3885" t="s">
        <v>3554</v>
      </c>
      <c r="C54" s="3886">
        <f ca="1">C20</f>
        <v>0</v>
      </c>
      <c r="D54" s="690"/>
      <c r="E54" s="690"/>
      <c r="F54" s="690"/>
      <c r="G54" s="690"/>
    </row>
    <row r="55" spans="1:7" s="3677" customFormat="1">
      <c r="A55" s="3884" t="s">
        <v>3417</v>
      </c>
      <c r="B55" s="3885" t="s">
        <v>3555</v>
      </c>
      <c r="C55" s="3886">
        <f ca="1">C23</f>
        <v>0</v>
      </c>
      <c r="D55" s="690"/>
      <c r="E55" s="690"/>
      <c r="F55" s="690"/>
      <c r="G55" s="690"/>
    </row>
    <row r="56" spans="1:7" s="3677" customFormat="1">
      <c r="A56" s="3884" t="s">
        <v>3714</v>
      </c>
      <c r="B56" s="3885" t="s">
        <v>3556</v>
      </c>
      <c r="C56" s="3886">
        <f ca="1">C24</f>
        <v>0</v>
      </c>
      <c r="D56" s="690"/>
      <c r="E56" s="690"/>
      <c r="F56" s="690"/>
      <c r="G56" s="690"/>
    </row>
    <row r="57" spans="1:7" s="3677" customFormat="1">
      <c r="A57" s="3681" t="s">
        <v>3565</v>
      </c>
      <c r="B57" s="690" t="s">
        <v>3552</v>
      </c>
      <c r="C57" s="3014">
        <f ca="1">C25</f>
        <v>0</v>
      </c>
      <c r="D57" s="690"/>
      <c r="E57" s="690"/>
      <c r="F57" s="690"/>
      <c r="G57" s="690"/>
    </row>
    <row r="58" spans="1:7" s="3677" customFormat="1">
      <c r="A58" s="3681" t="s">
        <v>3566</v>
      </c>
      <c r="B58" s="690" t="s">
        <v>3553</v>
      </c>
      <c r="C58" s="3014">
        <f ca="1">C26</f>
        <v>0</v>
      </c>
      <c r="D58" s="690"/>
      <c r="E58" s="690"/>
      <c r="F58" s="690"/>
      <c r="G58" s="690"/>
    </row>
    <row r="59" spans="1:7" s="3677" customFormat="1">
      <c r="A59" s="3680" t="s">
        <v>3545</v>
      </c>
      <c r="B59" s="3044" t="s">
        <v>3539</v>
      </c>
      <c r="C59" s="3014">
        <f ca="1">C27</f>
        <v>0</v>
      </c>
      <c r="D59" s="690"/>
      <c r="E59" s="690"/>
      <c r="F59" s="690"/>
      <c r="G59" s="690"/>
    </row>
    <row r="60" spans="1:7" s="3677" customFormat="1">
      <c r="A60" s="3680" t="s">
        <v>3557</v>
      </c>
      <c r="B60" s="3044" t="s">
        <v>3558</v>
      </c>
      <c r="C60" s="3014">
        <f ca="1">C61+C62</f>
        <v>0</v>
      </c>
      <c r="D60" s="690"/>
      <c r="E60" s="690"/>
      <c r="F60" s="690"/>
      <c r="G60" s="690"/>
    </row>
    <row r="61" spans="1:7" s="3677" customFormat="1">
      <c r="A61" s="3681" t="s">
        <v>3547</v>
      </c>
      <c r="B61" s="3044" t="s">
        <v>3542</v>
      </c>
      <c r="C61" s="3014">
        <f ca="1">C28</f>
        <v>0</v>
      </c>
      <c r="D61" s="690"/>
      <c r="E61" s="690"/>
      <c r="F61" s="690"/>
      <c r="G61" s="690"/>
    </row>
    <row r="62" spans="1:7" s="3677" customFormat="1">
      <c r="A62" s="3681" t="s">
        <v>3559</v>
      </c>
      <c r="B62" s="3044" t="s">
        <v>3541</v>
      </c>
      <c r="C62" s="3014">
        <f>C32</f>
        <v>0</v>
      </c>
      <c r="D62" s="690"/>
      <c r="E62" s="690"/>
      <c r="F62" s="690"/>
      <c r="G62" s="690"/>
    </row>
    <row r="63" spans="1:7" s="3677" customFormat="1">
      <c r="A63" s="3680" t="s">
        <v>3560</v>
      </c>
      <c r="B63" s="3044" t="s">
        <v>3540</v>
      </c>
      <c r="C63" s="3014" t="str">
        <f ca="1">C29</f>
        <v>0+0V</v>
      </c>
      <c r="D63" s="690"/>
      <c r="E63" s="690"/>
      <c r="F63" s="690"/>
      <c r="G63" s="690"/>
    </row>
    <row r="64" spans="1:7" s="3677" customFormat="1">
      <c r="A64" s="690">
        <v>4</v>
      </c>
      <c r="B64" s="3044" t="s">
        <v>3543</v>
      </c>
      <c r="C64" s="3014" t="str">
        <f ca="1">C33</f>
        <v>0+0V</v>
      </c>
      <c r="D64" s="690"/>
      <c r="E64" s="690"/>
      <c r="F64" s="690"/>
      <c r="G64" s="690"/>
    </row>
    <row r="65" spans="1:7" s="3677" customFormat="1">
      <c r="A65" s="690">
        <v>5</v>
      </c>
      <c r="B65" s="3044" t="s">
        <v>3544</v>
      </c>
      <c r="C65" s="3014">
        <f ca="1">C36</f>
        <v>0</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1999</v>
      </c>
      <c r="B1" s="1732"/>
      <c r="C1" s="1732"/>
      <c r="D1" s="1732"/>
      <c r="E1" s="1732"/>
      <c r="F1" s="2274"/>
      <c r="G1" s="2274"/>
      <c r="H1" s="2274"/>
      <c r="I1" s="2274"/>
      <c r="J1" s="2274"/>
      <c r="K1" s="2274"/>
      <c r="L1" s="2274"/>
      <c r="M1" s="2274"/>
      <c r="N1" s="2274"/>
      <c r="O1" s="2274"/>
      <c r="P1" s="2274"/>
    </row>
    <row r="2" spans="1:16" ht="15.75">
      <c r="A2" s="1730" t="s">
        <v>1991</v>
      </c>
      <c r="B2" s="3308">
        <f ca="1">SUMIF(B6:B13,"&lt;&gt;#ref!",B6:B13)</f>
        <v>1844</v>
      </c>
      <c r="C2" s="1730" t="s">
        <v>1992</v>
      </c>
      <c r="D2" s="1730" t="s">
        <v>1993</v>
      </c>
      <c r="E2" s="3309">
        <f ca="1">SUMIF(E6:E13,"&lt;&gt;#ref!",E6:E13)</f>
        <v>15789.4</v>
      </c>
      <c r="F2" s="2274"/>
      <c r="G2" s="2274"/>
      <c r="H2" s="2274"/>
      <c r="I2" s="2274"/>
      <c r="J2" s="2274"/>
      <c r="K2" s="2274"/>
      <c r="L2" s="2274"/>
      <c r="M2" s="2274"/>
      <c r="N2" s="2274"/>
      <c r="O2" s="2274"/>
      <c r="P2" s="2274"/>
    </row>
    <row r="3" spans="1:16" ht="15.75">
      <c r="A3" s="1730" t="s">
        <v>1994</v>
      </c>
      <c r="B3" s="3308">
        <f ca="1">ROUND(B2*10000/E2,0)</f>
        <v>1168</v>
      </c>
      <c r="C3" s="1730" t="s">
        <v>2000</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1995</v>
      </c>
      <c r="B5" s="2095" t="s">
        <v>1996</v>
      </c>
      <c r="C5" s="1731"/>
      <c r="D5" s="2274"/>
      <c r="E5" s="2096" t="s">
        <v>1997</v>
      </c>
      <c r="F5" s="2274"/>
      <c r="G5" s="2274"/>
      <c r="H5" s="2274"/>
      <c r="I5" s="2274"/>
      <c r="J5" s="2274"/>
      <c r="K5" s="2274"/>
      <c r="L5" s="2274"/>
      <c r="M5" s="2274"/>
      <c r="N5" s="2274"/>
      <c r="O5" s="2274"/>
      <c r="P5" s="2274"/>
    </row>
    <row r="6" spans="1:16" ht="15.75">
      <c r="A6" s="2094" t="s">
        <v>1998</v>
      </c>
      <c r="B6" s="3308">
        <f ca="1">SUMIF(INDIRECT("'"&amp;A6&amp;"'"&amp;"!A:A"),"总价",INDIRECT("'"&amp;A6&amp;"'"&amp;"!B:B"))</f>
        <v>1844</v>
      </c>
      <c r="C6" s="1730" t="s">
        <v>1992</v>
      </c>
      <c r="D6" s="2274"/>
      <c r="E6" s="3309">
        <f ca="1">SUMIF(INDIRECT("'"&amp;A6&amp;"'"&amp;"!C:C"),"建筑面积",INDIRECT("'"&amp;A6&amp;"'"&amp;"!D:D"))</f>
        <v>15789.4</v>
      </c>
      <c r="F6" s="2274"/>
      <c r="G6" s="2274"/>
      <c r="H6" s="2274"/>
      <c r="I6" s="2274"/>
      <c r="J6" s="2274"/>
      <c r="K6" s="2274"/>
      <c r="L6" s="2274"/>
      <c r="M6" s="2274"/>
      <c r="N6" s="2274"/>
      <c r="O6" s="2274"/>
      <c r="P6" s="2274"/>
    </row>
    <row r="7" spans="1:16" ht="15.75">
      <c r="A7" s="2094"/>
      <c r="B7" s="3308" t="e">
        <f ca="1">SUMIF(INDIRECT("'"&amp;A7&amp;"'"&amp;"!A:A"),"总价",INDIRECT("'"&amp;A7&amp;"'"&amp;"!B:B"))</f>
        <v>#REF!</v>
      </c>
      <c r="C7" s="1730" t="s">
        <v>1992</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1992</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1992</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1992</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1992</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1992</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1992</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7" sqref="D37"/>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1844</v>
      </c>
      <c r="B1" s="97"/>
      <c r="C1" s="101" t="s">
        <v>1845</v>
      </c>
      <c r="D1" s="230">
        <f>SUM(D33:D34,D37:D42)</f>
        <v>15789.4</v>
      </c>
      <c r="E1" s="1583"/>
      <c r="F1" s="1583"/>
      <c r="G1" s="1583"/>
      <c r="H1" s="1583"/>
      <c r="I1" s="1583"/>
      <c r="J1" s="1583"/>
      <c r="K1" s="823"/>
      <c r="L1" s="1584" t="s">
        <v>1846</v>
      </c>
      <c r="M1" s="614">
        <f>SUMPRODUCT((区片价!B5:B9=I2)*(区片价!C3:G3=E2)*(区片价!C5:G9))</f>
        <v>0</v>
      </c>
      <c r="N1" s="617">
        <f>SUMPRODUCT((因素修正幅度!B5:B9=I2)*(因素修正幅度!C3:G3=E2)*(因素修正幅度!C5:G9))</f>
        <v>0</v>
      </c>
      <c r="O1" s="1585"/>
      <c r="P1" s="1585"/>
      <c r="Q1" s="823"/>
      <c r="R1" s="888" t="s">
        <v>1847</v>
      </c>
      <c r="S1" s="888" t="s">
        <v>1848</v>
      </c>
      <c r="T1" s="888" t="s">
        <v>1849</v>
      </c>
      <c r="U1" s="888" t="s">
        <v>1850</v>
      </c>
      <c r="V1" s="888" t="s">
        <v>1851</v>
      </c>
      <c r="W1" s="892"/>
      <c r="X1" s="892"/>
      <c r="Y1" s="892"/>
      <c r="Z1" s="892"/>
      <c r="AA1" s="892"/>
      <c r="AB1" s="892"/>
      <c r="AC1" s="893"/>
      <c r="AD1" s="894"/>
      <c r="AE1" s="894"/>
      <c r="AF1" s="894"/>
      <c r="AG1" s="894"/>
      <c r="AH1" s="894"/>
      <c r="AI1" s="894"/>
      <c r="AJ1" s="895"/>
    </row>
    <row r="2" spans="1:36" ht="15.75">
      <c r="A2" s="101" t="s">
        <v>1852</v>
      </c>
      <c r="B2" s="2851">
        <f>C30</f>
        <v>1844</v>
      </c>
      <c r="C2" s="1587" t="s">
        <v>1853</v>
      </c>
      <c r="D2" s="1588" t="s">
        <v>1854</v>
      </c>
      <c r="E2" s="2789" t="s">
        <v>3</v>
      </c>
      <c r="F2" s="1588" t="s">
        <v>1855</v>
      </c>
      <c r="G2" s="1589" t="str">
        <f>IF(E2="商业",项目基本情况!B37,IF(E2="办公",项目基本情况!C37,IF(E2="住宅",项目基本情况!D37,IF(E2="工业",项目基本情况!E37,项目基本情况!F37))))</f>
        <v>八级</v>
      </c>
      <c r="H2" s="1588" t="s">
        <v>1856</v>
      </c>
      <c r="I2" s="1589" t="str">
        <f>IF(E2="商业",项目基本情况!B38,IF(E2="办公",项目基本情况!C38,IF(E2="住宅",项目基本情况!D38,IF(E2="工业",项目基本情况!E38,项目基本情况!F38))))</f>
        <v>Ⅷ-通州开发区东</v>
      </c>
      <c r="J2" s="1590"/>
      <c r="K2" s="823"/>
      <c r="L2" s="1591" t="s">
        <v>1857</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1.5418000000000001</v>
      </c>
      <c r="T2" s="2728">
        <f t="shared" ref="T2:T16" si="0">ROUND($C$5*$C$22*$C$23*$C$24*S2*$C$28,0)</f>
        <v>1800</v>
      </c>
      <c r="U2" s="889"/>
      <c r="V2" s="2728">
        <f>ROUND(T2*U2/10000,0)</f>
        <v>0</v>
      </c>
      <c r="W2" s="892"/>
      <c r="X2" s="892"/>
      <c r="Y2" s="892"/>
      <c r="Z2" s="892"/>
      <c r="AA2" s="892"/>
      <c r="AB2" s="892"/>
      <c r="AC2" s="893"/>
      <c r="AD2" s="894"/>
      <c r="AE2" s="894"/>
      <c r="AF2" s="894"/>
      <c r="AG2" s="894"/>
      <c r="AH2" s="894"/>
      <c r="AI2" s="894"/>
      <c r="AJ2" s="895"/>
    </row>
    <row r="3" spans="1:36" ht="15.75">
      <c r="A3" s="103" t="s">
        <v>1858</v>
      </c>
      <c r="B3" s="2851">
        <f>ROUND(B2*10000/D1,0)</f>
        <v>1168</v>
      </c>
      <c r="C3" s="1587" t="s">
        <v>1859</v>
      </c>
      <c r="D3" s="1588" t="s">
        <v>1860</v>
      </c>
      <c r="E3" s="2787" t="s">
        <v>2389</v>
      </c>
      <c r="F3" s="1592" t="s">
        <v>3865</v>
      </c>
      <c r="G3" s="3310">
        <f>IF(F3="宗地容积率",'数据-汇总表'!I4,IF(F3="估价对象容积率",'数据-汇总表'!I6,'数据-汇总表'!I7))</f>
        <v>1</v>
      </c>
      <c r="H3" s="72" t="s">
        <v>1861</v>
      </c>
      <c r="I3" s="565"/>
      <c r="J3" s="1590" t="s">
        <v>1862</v>
      </c>
      <c r="K3" s="823"/>
      <c r="L3" s="1591" t="s">
        <v>1863</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1.1883999999999999</v>
      </c>
      <c r="T3" s="2728">
        <f t="shared" si="0"/>
        <v>1388</v>
      </c>
      <c r="U3" s="889"/>
      <c r="V3" s="2728">
        <f t="shared" ref="V3:V16" si="1">ROUND(T3*U3/10000,0)</f>
        <v>0</v>
      </c>
      <c r="W3" s="892"/>
      <c r="X3" s="892"/>
      <c r="Y3" s="892"/>
      <c r="Z3" s="892"/>
      <c r="AA3" s="892"/>
      <c r="AB3" s="892"/>
      <c r="AC3" s="893"/>
      <c r="AD3" s="894"/>
      <c r="AE3" s="894"/>
      <c r="AF3" s="894"/>
      <c r="AG3" s="894"/>
      <c r="AH3" s="894"/>
      <c r="AI3" s="894"/>
      <c r="AJ3" s="895"/>
    </row>
    <row r="4" spans="1:36" ht="15.75">
      <c r="A4" s="3872" t="s">
        <v>3685</v>
      </c>
      <c r="B4" s="3871" t="e">
        <f>ROUND(B2*10000/F1,0)</f>
        <v>#DIV/0!</v>
      </c>
      <c r="C4" s="3870" t="s">
        <v>3686</v>
      </c>
      <c r="D4" s="3871" t="e">
        <f>ROUND(B2/(F1/666.67),0)</f>
        <v>#DIV/0!</v>
      </c>
      <c r="E4" s="3870" t="s">
        <v>3687</v>
      </c>
      <c r="F4" s="3868"/>
      <c r="G4" s="3868"/>
      <c r="H4" s="3868"/>
      <c r="I4" s="3868"/>
      <c r="J4" s="3869"/>
      <c r="K4" s="823"/>
      <c r="L4" s="1591" t="s">
        <v>1864</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0.96940000000000004</v>
      </c>
      <c r="T4" s="2728">
        <f t="shared" si="0"/>
        <v>1132</v>
      </c>
      <c r="U4" s="889"/>
      <c r="V4" s="2728">
        <f t="shared" si="1"/>
        <v>0</v>
      </c>
      <c r="W4" s="892"/>
      <c r="X4" s="892"/>
      <c r="Y4" s="892"/>
      <c r="Z4" s="892"/>
      <c r="AA4" s="892"/>
      <c r="AB4" s="892"/>
      <c r="AC4" s="893"/>
      <c r="AD4" s="894"/>
      <c r="AE4" s="894"/>
      <c r="AF4" s="894"/>
      <c r="AG4" s="894"/>
      <c r="AH4" s="894"/>
      <c r="AI4" s="894"/>
      <c r="AJ4" s="895"/>
    </row>
    <row r="5" spans="1:36" s="1602" customFormat="1" ht="15.75" thickBot="1">
      <c r="A5" s="1593" t="s">
        <v>356</v>
      </c>
      <c r="B5" s="1594" t="s">
        <v>1865</v>
      </c>
      <c r="C5" s="3311">
        <f>ROUND(IF(E2="商业",C6*C7*C17+C20,(IF(E2="住宅",C6*C13*C17+C20,IF(E2="办公",C6*C12*C17+C20,C6+C20)))),0)</f>
        <v>1150</v>
      </c>
      <c r="D5" s="3312">
        <f>ROUND(C6*C17+C20,0)</f>
        <v>1150</v>
      </c>
      <c r="E5" s="987"/>
      <c r="F5" s="1595"/>
      <c r="G5" s="1596"/>
      <c r="H5" s="1596"/>
      <c r="I5" s="1596"/>
      <c r="J5" s="1597"/>
      <c r="K5" s="1598"/>
      <c r="L5" s="1591" t="s">
        <v>1866</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0.82299999999999995</v>
      </c>
      <c r="T5" s="2728">
        <f t="shared" si="0"/>
        <v>961</v>
      </c>
      <c r="U5" s="889"/>
      <c r="V5" s="2728">
        <f t="shared" si="1"/>
        <v>0</v>
      </c>
      <c r="W5" s="892"/>
      <c r="X5" s="892"/>
      <c r="Y5" s="892"/>
      <c r="Z5" s="892"/>
      <c r="AA5" s="892"/>
      <c r="AB5" s="892"/>
      <c r="AC5" s="1599"/>
      <c r="AD5" s="1600"/>
      <c r="AE5" s="1600"/>
      <c r="AF5" s="1600"/>
      <c r="AG5" s="1600"/>
      <c r="AH5" s="1600"/>
      <c r="AI5" s="1600"/>
      <c r="AJ5" s="1601"/>
    </row>
    <row r="6" spans="1:36" ht="15.75" thickBot="1">
      <c r="A6" s="1603" t="s">
        <v>1867</v>
      </c>
      <c r="B6" s="1604" t="s">
        <v>1868</v>
      </c>
      <c r="C6" s="3313">
        <f>SUMIF(L1:L12,G2,M1:M12)</f>
        <v>1150</v>
      </c>
      <c r="D6" s="1605"/>
      <c r="E6" s="1606"/>
      <c r="F6" s="1606"/>
      <c r="G6" s="1607"/>
      <c r="H6" s="1607"/>
      <c r="I6" s="1607"/>
      <c r="J6" s="1608"/>
      <c r="K6" s="1030"/>
      <c r="L6" s="1591" t="s">
        <v>1869</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0.74980000000000002</v>
      </c>
      <c r="T6" s="2728">
        <f t="shared" si="0"/>
        <v>875</v>
      </c>
      <c r="U6" s="889"/>
      <c r="V6" s="2728">
        <f t="shared" si="1"/>
        <v>0</v>
      </c>
      <c r="W6" s="892"/>
      <c r="X6" s="892"/>
      <c r="Y6" s="892"/>
      <c r="Z6" s="892"/>
      <c r="AA6" s="892"/>
      <c r="AB6" s="892"/>
      <c r="AC6" s="1599"/>
      <c r="AD6" s="1600"/>
      <c r="AE6" s="1600"/>
      <c r="AF6" s="1600"/>
      <c r="AG6" s="1600"/>
      <c r="AH6" s="1600"/>
      <c r="AI6" s="1600"/>
      <c r="AJ6" s="1601"/>
    </row>
    <row r="7" spans="1:36" ht="24.75" thickBot="1">
      <c r="A7" s="2679" t="s">
        <v>3147</v>
      </c>
      <c r="B7" s="1609" t="s">
        <v>1870</v>
      </c>
      <c r="C7" s="3315">
        <f>IF(C8="不临65条商业街",1,ROUND(1+(1.6*E8+1.2*E9+0.8*E10+0.4*E11)*C9,4))</f>
        <v>1</v>
      </c>
      <c r="D7" s="1610" t="s">
        <v>1871</v>
      </c>
      <c r="E7" s="566"/>
      <c r="F7" s="1611"/>
      <c r="G7" s="1612"/>
      <c r="H7" s="1612"/>
      <c r="I7" s="1612"/>
      <c r="J7" s="1613"/>
      <c r="K7" s="1030"/>
      <c r="L7" s="1591" t="s">
        <v>1872</v>
      </c>
      <c r="M7" s="615">
        <f>SUMPRODUCT((区片价!B190:B233=I2)*(区片价!C3:G3=E2)*(区片价!C190:G233))</f>
        <v>0</v>
      </c>
      <c r="N7" s="617">
        <f>SUMPRODUCT((因素修正幅度!B190:B233=I2)*(因素修正幅度!C3:G3=E2)*(因素修正幅度!C190:G233))</f>
        <v>0</v>
      </c>
      <c r="O7" s="823"/>
      <c r="P7" s="823"/>
      <c r="Q7" s="823"/>
      <c r="R7" s="888">
        <v>6</v>
      </c>
      <c r="S7" s="2786"/>
      <c r="T7" s="2728">
        <f t="shared" si="0"/>
        <v>0</v>
      </c>
      <c r="U7" s="889"/>
      <c r="V7" s="2728">
        <f t="shared" si="1"/>
        <v>0</v>
      </c>
      <c r="W7" s="1004" t="s">
        <v>1873</v>
      </c>
      <c r="X7" s="890" t="str">
        <f>G2</f>
        <v>八级</v>
      </c>
      <c r="Y7" s="890" t="s">
        <v>1874</v>
      </c>
      <c r="Z7" s="891">
        <f>G3</f>
        <v>1</v>
      </c>
      <c r="AA7" s="892"/>
      <c r="AB7" s="892"/>
      <c r="AC7" s="893"/>
      <c r="AD7" s="894"/>
      <c r="AE7" s="894"/>
      <c r="AF7" s="894"/>
      <c r="AG7" s="894"/>
      <c r="AH7" s="894"/>
      <c r="AI7" s="894"/>
      <c r="AJ7" s="895"/>
    </row>
    <row r="8" spans="1:36" ht="25.5">
      <c r="A8" s="2674"/>
      <c r="B8" s="72" t="s">
        <v>1875</v>
      </c>
      <c r="C8" s="1614" t="s">
        <v>3872</v>
      </c>
      <c r="D8" s="551" t="s">
        <v>110</v>
      </c>
      <c r="E8" s="552" t="e">
        <f>ROUND(C11/E7,4)</f>
        <v>#DIV/0!</v>
      </c>
      <c r="F8" s="1615" t="s">
        <v>1876</v>
      </c>
      <c r="G8" s="1616"/>
      <c r="H8" s="1616"/>
      <c r="I8" s="1616"/>
      <c r="J8" s="1617"/>
      <c r="K8" s="823"/>
      <c r="L8" s="1591" t="s">
        <v>1877</v>
      </c>
      <c r="M8" s="615">
        <f>SUMPRODUCT((区片价!B234:B276=I2)*(区片价!C3:G3=E2)*(区片价!C234:G276))</f>
        <v>1150</v>
      </c>
      <c r="N8" s="617">
        <f>SUMPRODUCT((因素修正幅度!B234:B276=I2)*(因素修正幅度!C3:G3=E2)*(因素修正幅度!C234:G276))</f>
        <v>0.05</v>
      </c>
      <c r="O8" s="823"/>
      <c r="P8" s="823"/>
      <c r="Q8" s="823"/>
      <c r="R8" s="888">
        <v>7</v>
      </c>
      <c r="S8" s="889"/>
      <c r="T8" s="2728">
        <f t="shared" si="0"/>
        <v>0</v>
      </c>
      <c r="U8" s="889"/>
      <c r="V8" s="2728">
        <f t="shared" si="1"/>
        <v>0</v>
      </c>
      <c r="W8" s="4857" t="s">
        <v>1878</v>
      </c>
      <c r="X8" s="4858"/>
      <c r="Y8" s="896" t="s">
        <v>1879</v>
      </c>
      <c r="Z8" s="896" t="s">
        <v>1880</v>
      </c>
      <c r="AA8" s="896" t="s">
        <v>1881</v>
      </c>
      <c r="AB8" s="896" t="s">
        <v>1882</v>
      </c>
      <c r="AC8" s="896" t="s">
        <v>1883</v>
      </c>
      <c r="AD8" s="896" t="s">
        <v>1884</v>
      </c>
      <c r="AE8" s="896" t="s">
        <v>1885</v>
      </c>
      <c r="AF8" s="896" t="s">
        <v>1886</v>
      </c>
      <c r="AG8" s="896" t="s">
        <v>1887</v>
      </c>
      <c r="AH8" s="896" t="s">
        <v>1888</v>
      </c>
      <c r="AI8" s="896" t="s">
        <v>1889</v>
      </c>
      <c r="AJ8" s="896" t="s">
        <v>1890</v>
      </c>
    </row>
    <row r="9" spans="1:36" ht="15">
      <c r="A9" s="2674"/>
      <c r="B9" s="72" t="s">
        <v>1891</v>
      </c>
      <c r="C9" s="553">
        <f>SUMIF(修正!C73:C140,C8,修正!E73:E140)</f>
        <v>0</v>
      </c>
      <c r="D9" s="73" t="s">
        <v>111</v>
      </c>
      <c r="E9" s="73" t="e">
        <f>ROUND(C11/E7,4)</f>
        <v>#DIV/0!</v>
      </c>
      <c r="F9" s="1615" t="s">
        <v>1892</v>
      </c>
      <c r="G9" s="1616"/>
      <c r="H9" s="1616"/>
      <c r="I9" s="1616"/>
      <c r="J9" s="1617"/>
      <c r="K9" s="823"/>
      <c r="L9" s="1591" t="s">
        <v>1893</v>
      </c>
      <c r="M9" s="615">
        <f>SUMPRODUCT((区片价!B277:B326=I2)*(区片价!C3:G3=E2)*(区片价!C277:G326))</f>
        <v>0</v>
      </c>
      <c r="N9" s="617">
        <f>SUMPRODUCT((因素修正幅度!B277:B326=I2)*(因素修正幅度!C3:G3=E2)*(因素修正幅度!C277:G326))</f>
        <v>0</v>
      </c>
      <c r="O9" s="823"/>
      <c r="P9" s="823"/>
      <c r="Q9" s="823"/>
      <c r="R9" s="888">
        <v>8</v>
      </c>
      <c r="S9" s="889"/>
      <c r="T9" s="2728">
        <f t="shared" si="0"/>
        <v>0</v>
      </c>
      <c r="U9" s="889"/>
      <c r="V9" s="2728">
        <f t="shared" si="1"/>
        <v>0</v>
      </c>
      <c r="W9" s="4859"/>
      <c r="X9" s="2729" t="s">
        <v>3176</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1894</v>
      </c>
      <c r="C10" s="3297">
        <f>SUMIF(修正!C73:C140,C8,修正!F73:F140)</f>
        <v>0</v>
      </c>
      <c r="D10" s="73" t="s">
        <v>112</v>
      </c>
      <c r="E10" s="73" t="e">
        <f>ROUND(C11/E7,4)</f>
        <v>#DIV/0!</v>
      </c>
      <c r="F10" s="1615" t="s">
        <v>1895</v>
      </c>
      <c r="G10" s="1616"/>
      <c r="H10" s="1616"/>
      <c r="I10" s="1616"/>
      <c r="J10" s="1617"/>
      <c r="K10" s="823"/>
      <c r="L10" s="1591" t="s">
        <v>1896</v>
      </c>
      <c r="M10" s="615">
        <f>SUMPRODUCT((区片价!B327:B357=I2)*(区片价!C3:G3=E2)*(区片价!C327:G357))</f>
        <v>0</v>
      </c>
      <c r="N10" s="617">
        <f>SUMPRODUCT((因素修正幅度!B327:B357=I2)*(因素修正幅度!C3:G3=E2)*(因素修正幅度!C327:G357))</f>
        <v>0</v>
      </c>
      <c r="O10" s="823"/>
      <c r="P10" s="823"/>
      <c r="Q10" s="823"/>
      <c r="R10" s="888">
        <v>9</v>
      </c>
      <c r="S10" s="889"/>
      <c r="T10" s="2728">
        <f t="shared" si="0"/>
        <v>0</v>
      </c>
      <c r="U10" s="889"/>
      <c r="V10" s="2728">
        <f t="shared" si="1"/>
        <v>0</v>
      </c>
      <c r="W10" s="4859"/>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1897</v>
      </c>
      <c r="C11" s="3302">
        <f>C10/4</f>
        <v>0</v>
      </c>
      <c r="D11" s="554" t="s">
        <v>113</v>
      </c>
      <c r="E11" s="554" t="e">
        <f>ROUND(C11/E7,4)</f>
        <v>#DIV/0!</v>
      </c>
      <c r="F11" s="1619" t="s">
        <v>1898</v>
      </c>
      <c r="G11" s="1620"/>
      <c r="H11" s="1620"/>
      <c r="I11" s="1620"/>
      <c r="J11" s="1621"/>
      <c r="K11" s="823"/>
      <c r="L11" s="1591" t="s">
        <v>1899</v>
      </c>
      <c r="M11" s="615">
        <f>SUMPRODUCT((区片价!B358:B377=I2)*(区片价!C3:G3=E2)*(区片价!C358:G377))</f>
        <v>0</v>
      </c>
      <c r="N11" s="617">
        <f>SUMPRODUCT((因素修正幅度!B358:B377=I2)*(因素修正幅度!C3:G3=E2)*(因素修正幅度!C358:G377))</f>
        <v>0</v>
      </c>
      <c r="O11" s="823"/>
      <c r="P11" s="823"/>
      <c r="Q11" s="823"/>
      <c r="R11" s="888">
        <v>10</v>
      </c>
      <c r="S11" s="889"/>
      <c r="T11" s="2728">
        <f t="shared" si="0"/>
        <v>0</v>
      </c>
      <c r="U11" s="889"/>
      <c r="V11" s="2728">
        <f t="shared" si="1"/>
        <v>0</v>
      </c>
      <c r="W11" s="892"/>
      <c r="X11" s="892"/>
      <c r="Y11" s="892"/>
      <c r="Z11" s="892"/>
      <c r="AA11" s="892"/>
      <c r="AB11" s="892"/>
      <c r="AC11" s="893"/>
      <c r="AD11" s="2270"/>
      <c r="AE11" s="2270"/>
      <c r="AF11" s="2270"/>
      <c r="AG11" s="2270"/>
      <c r="AH11" s="2270"/>
      <c r="AI11" s="2270"/>
      <c r="AJ11" s="2271"/>
    </row>
    <row r="12" spans="1:36" ht="25.5" thickBot="1">
      <c r="A12" s="2679" t="s">
        <v>3148</v>
      </c>
      <c r="B12" s="2680" t="s">
        <v>3149</v>
      </c>
      <c r="C12" s="3316"/>
      <c r="D12" s="2681" t="s">
        <v>3150</v>
      </c>
      <c r="E12" s="2682" t="s">
        <v>3151</v>
      </c>
      <c r="F12" s="2683"/>
      <c r="G12" s="2684"/>
      <c r="H12" s="2684"/>
      <c r="I12" s="2684"/>
      <c r="J12" s="2685"/>
      <c r="K12" s="823"/>
      <c r="L12" s="1627" t="s">
        <v>1902</v>
      </c>
      <c r="M12" s="616">
        <f>SUMPRODUCT((区片价!B378:B384=I2)*(区片价!C3:G3=E2)*(区片价!C378:G384))</f>
        <v>0</v>
      </c>
      <c r="N12" s="617">
        <f>SUMPRODUCT((因素修正幅度!B378:B384=I2)*(因素修正幅度!C3:G3=E2)*(因素修正幅度!C378:G384))</f>
        <v>0</v>
      </c>
      <c r="O12" s="823"/>
      <c r="P12" s="823"/>
      <c r="Q12" s="823"/>
      <c r="R12" s="888">
        <v>11</v>
      </c>
      <c r="S12" s="889"/>
      <c r="T12" s="2728">
        <f t="shared" si="0"/>
        <v>0</v>
      </c>
      <c r="U12" s="889"/>
      <c r="V12" s="2728">
        <f t="shared" si="1"/>
        <v>0</v>
      </c>
      <c r="W12" s="892"/>
      <c r="X12" s="892"/>
      <c r="Y12" s="892"/>
      <c r="Z12" s="892"/>
      <c r="AA12" s="892"/>
      <c r="AB12" s="892"/>
      <c r="AC12" s="893"/>
      <c r="AD12" s="2270"/>
      <c r="AE12" s="2270"/>
      <c r="AF12" s="2270"/>
      <c r="AG12" s="2270"/>
      <c r="AH12" s="2270"/>
      <c r="AI12" s="2270"/>
      <c r="AJ12" s="2271"/>
    </row>
    <row r="13" spans="1:36" ht="15.75" thickBot="1">
      <c r="A13" s="2679" t="s">
        <v>3152</v>
      </c>
      <c r="B13" s="1622" t="s">
        <v>1900</v>
      </c>
      <c r="C13" s="3314">
        <f>ROUND(C16*D16*E16*F16*G16*H16*I16*J16,4)</f>
        <v>0</v>
      </c>
      <c r="D13" s="1623" t="s">
        <v>1901</v>
      </c>
      <c r="E13" s="1624"/>
      <c r="F13" s="1624"/>
      <c r="G13" s="1625"/>
      <c r="H13" s="1625"/>
      <c r="I13" s="1625"/>
      <c r="J13" s="1626"/>
      <c r="K13" s="823"/>
      <c r="L13" s="2675"/>
      <c r="M13" s="2676"/>
      <c r="N13" s="2677"/>
      <c r="O13" s="823"/>
      <c r="P13" s="823"/>
      <c r="Q13" s="823"/>
      <c r="R13" s="888">
        <v>12</v>
      </c>
      <c r="S13" s="889"/>
      <c r="T13" s="2728">
        <f t="shared" si="0"/>
        <v>0</v>
      </c>
      <c r="U13" s="889"/>
      <c r="V13" s="2728">
        <f t="shared" si="1"/>
        <v>0</v>
      </c>
      <c r="W13" s="892"/>
      <c r="X13" s="892"/>
      <c r="Y13" s="892"/>
      <c r="Z13" s="892"/>
      <c r="AA13" s="892"/>
      <c r="AB13" s="892"/>
      <c r="AC13" s="893"/>
      <c r="AD13" s="2270"/>
      <c r="AE13" s="2270"/>
      <c r="AF13" s="2270"/>
      <c r="AG13" s="2270"/>
      <c r="AH13" s="2270"/>
      <c r="AI13" s="2270"/>
      <c r="AJ13" s="2271"/>
    </row>
    <row r="14" spans="1:36" ht="15">
      <c r="A14" s="2673"/>
      <c r="B14" s="1628" t="s">
        <v>1903</v>
      </c>
      <c r="C14" s="1629" t="s">
        <v>1904</v>
      </c>
      <c r="D14" s="997" t="s">
        <v>1905</v>
      </c>
      <c r="E14" s="18" t="s">
        <v>1906</v>
      </c>
      <c r="F14" s="2686" t="s">
        <v>3153</v>
      </c>
      <c r="G14" s="2686" t="s">
        <v>3153</v>
      </c>
      <c r="H14" s="2686" t="s">
        <v>3153</v>
      </c>
      <c r="I14" s="2686" t="s">
        <v>3153</v>
      </c>
      <c r="J14" s="2686" t="s">
        <v>3153</v>
      </c>
      <c r="K14" s="823"/>
      <c r="L14" s="823"/>
      <c r="M14" s="823"/>
      <c r="N14" s="823"/>
      <c r="O14" s="823"/>
      <c r="P14" s="823"/>
      <c r="Q14" s="823"/>
      <c r="R14" s="888">
        <v>13</v>
      </c>
      <c r="S14" s="889"/>
      <c r="T14" s="2728">
        <f t="shared" si="0"/>
        <v>0</v>
      </c>
      <c r="U14" s="889"/>
      <c r="V14" s="2728">
        <f t="shared" si="1"/>
        <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3154</v>
      </c>
      <c r="G15" s="2688"/>
      <c r="H15" s="2689"/>
      <c r="I15" s="2690"/>
      <c r="J15" s="2691"/>
      <c r="K15" s="823"/>
      <c r="L15" s="823"/>
      <c r="M15" s="823"/>
      <c r="N15" s="823"/>
      <c r="O15" s="823"/>
      <c r="P15" s="823"/>
      <c r="Q15" s="823"/>
      <c r="R15" s="888">
        <v>14</v>
      </c>
      <c r="S15" s="889"/>
      <c r="T15" s="2728">
        <f t="shared" si="0"/>
        <v>0</v>
      </c>
      <c r="U15" s="889"/>
      <c r="V15" s="2728">
        <f t="shared" si="1"/>
        <v>0</v>
      </c>
      <c r="W15" s="892"/>
      <c r="X15" s="892"/>
      <c r="Y15" s="892"/>
      <c r="Z15" s="892"/>
      <c r="AA15" s="892"/>
      <c r="AB15" s="892"/>
      <c r="AC15" s="893"/>
      <c r="AD15" s="2270"/>
      <c r="AE15" s="2270"/>
      <c r="AF15" s="2270"/>
      <c r="AG15" s="2270"/>
      <c r="AH15" s="2270"/>
      <c r="AI15" s="2270"/>
      <c r="AJ15" s="2271"/>
    </row>
    <row r="16" spans="1:36" ht="15.75" thickBot="1">
      <c r="A16" s="2673"/>
      <c r="B16" s="2692" t="s">
        <v>1907</v>
      </c>
      <c r="C16" s="3317"/>
      <c r="D16" s="3317"/>
      <c r="E16" s="3317"/>
      <c r="F16" s="3317">
        <v>1</v>
      </c>
      <c r="G16" s="3317">
        <v>1</v>
      </c>
      <c r="H16" s="3317">
        <v>1</v>
      </c>
      <c r="I16" s="3317">
        <v>1</v>
      </c>
      <c r="J16" s="3318">
        <v>1</v>
      </c>
      <c r="K16" s="823"/>
      <c r="L16" s="1585"/>
      <c r="M16" s="1585"/>
      <c r="N16" s="1585"/>
      <c r="O16" s="1585"/>
      <c r="P16" s="1585"/>
      <c r="Q16" s="823"/>
      <c r="R16" s="888">
        <v>15</v>
      </c>
      <c r="S16" s="889"/>
      <c r="T16" s="2728">
        <f t="shared" si="0"/>
        <v>0</v>
      </c>
      <c r="U16" s="889"/>
      <c r="V16" s="2728">
        <f t="shared" si="1"/>
        <v>0</v>
      </c>
      <c r="W16" s="892"/>
      <c r="X16" s="892"/>
      <c r="Y16" s="892"/>
      <c r="Z16" s="892"/>
      <c r="AA16" s="892"/>
      <c r="AB16" s="892"/>
      <c r="AC16" s="893"/>
      <c r="AD16" s="2270"/>
      <c r="AE16" s="2270"/>
      <c r="AF16" s="2270"/>
      <c r="AG16" s="2270"/>
      <c r="AH16" s="2270"/>
      <c r="AI16" s="2270"/>
      <c r="AJ16" s="2271"/>
    </row>
    <row r="17" spans="1:37">
      <c r="A17" s="2700" t="s">
        <v>3155</v>
      </c>
      <c r="B17" s="2693" t="s">
        <v>3156</v>
      </c>
      <c r="C17" s="3319">
        <f>ROUND(IF(OR(E2="工业",E2="公共服务"),1,IF(AND(E18=0,E19=0),1,IF(AND(E18=J24,E19=G19),0.8,IF(E19=0,1+E17*(-0.2),1+E17*G17*(-0.2))))),4)</f>
        <v>1</v>
      </c>
      <c r="D17" s="2694" t="s">
        <v>3157</v>
      </c>
      <c r="E17" s="2701">
        <f>ROUND(G18/I18,2)</f>
        <v>0</v>
      </c>
      <c r="F17" s="2694" t="s">
        <v>3160</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3158</v>
      </c>
      <c r="E18" s="2923"/>
      <c r="F18" s="2696" t="s">
        <v>3161</v>
      </c>
      <c r="G18" s="2699">
        <f>ROUND(1-(1/(POWER(1+G24,E18))),4)</f>
        <v>0</v>
      </c>
      <c r="H18" s="2696" t="s">
        <v>3163</v>
      </c>
      <c r="I18" s="2699">
        <f>ROUND(1-(1/(POWER(1+G24,J24))),4)</f>
        <v>0.91279999999999994</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3159</v>
      </c>
      <c r="E19" s="3320"/>
      <c r="F19" s="2708" t="s">
        <v>3162</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60" t="s">
        <v>3164</v>
      </c>
      <c r="B20" s="70" t="s">
        <v>1912</v>
      </c>
      <c r="C20" s="3321">
        <f>ROUND(IF(F21="与级别开发程度一致",0,(G21-E21)/C21),0)</f>
        <v>0</v>
      </c>
      <c r="D20" s="2710" t="s">
        <v>1916</v>
      </c>
      <c r="E20" s="2711"/>
      <c r="F20" s="4866" t="s">
        <v>1913</v>
      </c>
      <c r="G20" s="4867"/>
      <c r="H20" s="2697"/>
      <c r="I20" s="2697"/>
      <c r="J20" s="2698"/>
      <c r="K20" s="1635"/>
      <c r="L20" s="1635"/>
      <c r="M20" s="1635"/>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61"/>
      <c r="B21" s="1748" t="s">
        <v>1915</v>
      </c>
      <c r="C21" s="3322">
        <f>IF(E3="M4科研用地",SUMPRODUCT((修正!A2:A7=E3)*(修正!B1:M1=G2)*(修正!B2:M7)),SUMPRODUCT((修正!A2:A7=E2)*(修正!B1:M1=G2)*(修正!B2:M7)))</f>
        <v>1</v>
      </c>
      <c r="D21" s="87" t="str">
        <f>IF(OR(G2="八级",G2="九级",G2="十级",G2="十一级",G2="十二级"),"五通一平","七通一平")</f>
        <v>五通一平</v>
      </c>
      <c r="E21" s="1740">
        <f>SUMPRODUCT((修正!B1:M1=G2)*(修正!B17:M17))</f>
        <v>185</v>
      </c>
      <c r="F21" s="1741" t="s">
        <v>3866</v>
      </c>
      <c r="G21" s="1742">
        <f>SUM(H21:O21)</f>
        <v>0</v>
      </c>
      <c r="H21" s="1749">
        <f>SUMPRODUCT((七通一平=H20)*(修正!B1:M1=G2)*(修正!B8:M16))</f>
        <v>0</v>
      </c>
      <c r="I21" s="1749">
        <f>SUMPRODUCT((七通一平=I20)*(修正!B1:M1=G2)*(修正!B8:M16))</f>
        <v>0</v>
      </c>
      <c r="J21" s="1750">
        <f>SUMPRODUCT((七通一平=J20)*(修正!B1:M1=G2)*(修正!B8:M16))</f>
        <v>0</v>
      </c>
      <c r="K21" s="1749">
        <f>SUMPRODUCT((七通一平=K20)*(修正!B1:M1=G2)*(修正!B8:M16))</f>
        <v>0</v>
      </c>
      <c r="L21" s="1749">
        <f>SUMPRODUCT((七通一平=L20)*(修正!B1:M1=G2)*(修正!B8:M16))</f>
        <v>0</v>
      </c>
      <c r="M21" s="1749">
        <f>SUMPRODUCT((七通一平=M20)*(修正!B1:M1=G2)*(修正!B8:M16))</f>
        <v>0</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1918</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1919</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42" t="s">
        <v>1920</v>
      </c>
      <c r="E23" s="556">
        <v>44197</v>
      </c>
      <c r="F23" s="1642" t="s">
        <v>1921</v>
      </c>
      <c r="G23" s="557">
        <f>'数据-取费表'!B2</f>
        <v>46041</v>
      </c>
      <c r="H23" s="2712" t="s">
        <v>3867</v>
      </c>
      <c r="I23" s="2713" t="str">
        <f>IF(H23="季度增幅（自定义）",SUMIF(N25:N28,E2,O25:O28),"")</f>
        <v/>
      </c>
      <c r="J23" s="2805" t="s">
        <v>3873</v>
      </c>
      <c r="K23" s="829"/>
      <c r="L23" s="1643" t="s">
        <v>1922</v>
      </c>
      <c r="M23" s="978">
        <f>ROUND(SUMIF(地价!B2:G2,E2,地价!B16:G16),0)</f>
        <v>318</v>
      </c>
      <c r="N23" s="1644" t="s">
        <v>1923</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1924</v>
      </c>
      <c r="C24" s="559">
        <f>ROUND(POWER(1+G24,J24-I24)*(POWER(1+G24,I24)-1)/(POWER(1+G24,J24)-1),4)</f>
        <v>0.9143</v>
      </c>
      <c r="D24" s="1648" t="s">
        <v>1925</v>
      </c>
      <c r="E24" s="983">
        <f>存贷款利率!E28/100</f>
        <v>4.3499999999999997E-2</v>
      </c>
      <c r="F24" s="1648" t="s">
        <v>1917</v>
      </c>
      <c r="G24" s="561">
        <f>SUMIF(M30:Q30,E2,M33:Q33)</f>
        <v>0.05</v>
      </c>
      <c r="H24" s="1648" t="s">
        <v>1926</v>
      </c>
      <c r="I24" s="562">
        <f>SUMIF('数据-取费表'!C6:C15,E2,'数据-取费表'!F6:F15)/COUNTIF('数据-取费表'!C6:C15,E2)</f>
        <v>36.880000000000003</v>
      </c>
      <c r="J24" s="563">
        <f>IF(E2="住宅",70,IF(E2="商业",40,50))</f>
        <v>50</v>
      </c>
      <c r="K24" s="829"/>
      <c r="L24" s="1649" t="s">
        <v>1927</v>
      </c>
      <c r="M24" s="979">
        <f>ROUND(SUMPRODUCT((地价!A4:A16=YEAR(G23)&amp;"-"&amp;ROUNDUP(MONTH(G23)/3,0))*(地价!B2:G2=E2)*(地价!B4:G16)),0)</f>
        <v>0</v>
      </c>
      <c r="N24" s="1650" t="s">
        <v>1928</v>
      </c>
      <c r="O24" s="1651" t="s">
        <v>1929</v>
      </c>
      <c r="P24" s="1652" t="s">
        <v>1930</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3868</v>
      </c>
      <c r="C25" s="564">
        <f>IF(B25="容积率修正",IF(G3&lt;10,D26,J26),C27)</f>
        <v>1</v>
      </c>
      <c r="D25" s="1655"/>
      <c r="E25" s="1655"/>
      <c r="F25" s="1655"/>
      <c r="G25" s="1655"/>
      <c r="H25" s="1655"/>
      <c r="I25" s="1655"/>
      <c r="J25" s="1656"/>
      <c r="K25" s="829"/>
      <c r="L25" s="2269"/>
      <c r="M25" s="2269"/>
      <c r="N25" s="1657" t="s">
        <v>1931</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1932</v>
      </c>
      <c r="B26" s="1658" t="s">
        <v>1933</v>
      </c>
      <c r="C26" s="2714" t="s">
        <v>3165</v>
      </c>
      <c r="D26" s="3325">
        <f>IF(E26=G26,F26,IF(G3&lt;10,ROUND(F26+(H26-F26)*(G3-E26)/(G26-E26),4),"——"))</f>
        <v>1</v>
      </c>
      <c r="E26" s="3325">
        <f>ROUNDDOWN(G3,1)</f>
        <v>1</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25">
        <f>ROUNDUP(G3,1)</f>
        <v>1</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4" t="s">
        <v>3166</v>
      </c>
      <c r="J26" s="3281" t="str">
        <f>IF(G3&gt;=10,D115,"——")</f>
        <v>——</v>
      </c>
      <c r="K26" s="829"/>
      <c r="L26" s="2269"/>
      <c r="M26" s="2269"/>
      <c r="N26" s="1657" t="s">
        <v>1934</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1935</v>
      </c>
      <c r="B27" s="1659" t="s">
        <v>1936</v>
      </c>
      <c r="C27" s="3326">
        <f>ROUND(IF(I3&lt;6,SUMPRODUCT((B106:B110=I3)*(C105:N105=G2)*(C106:N110)),SUMIF(C105:N105,G2,C112:N112)),4)</f>
        <v>0</v>
      </c>
      <c r="D27" s="1634"/>
      <c r="E27" s="1634"/>
      <c r="F27" s="1660"/>
      <c r="G27" s="1661"/>
      <c r="H27" s="1662"/>
      <c r="I27" s="1663"/>
      <c r="J27" s="1664"/>
      <c r="K27" s="823"/>
      <c r="L27" s="1585"/>
      <c r="M27" s="1585"/>
      <c r="N27" s="1657" t="s">
        <v>1937</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1938</v>
      </c>
      <c r="C28" s="555">
        <f>SUMIF(A47:A101,E2,B47:B101)</f>
        <v>1.0192000000000001</v>
      </c>
      <c r="D28" s="1640"/>
      <c r="E28" s="1665"/>
      <c r="F28" s="1665"/>
      <c r="G28" s="1665"/>
      <c r="H28" s="1665"/>
      <c r="I28" s="1665"/>
      <c r="J28" s="1666"/>
      <c r="K28" s="829"/>
      <c r="L28" s="2269"/>
      <c r="M28" s="2269"/>
      <c r="N28" s="1667" t="s">
        <v>1939</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1940</v>
      </c>
      <c r="C29" s="560"/>
      <c r="D29" s="1612"/>
      <c r="E29" s="1612"/>
      <c r="F29" s="1669"/>
      <c r="G29" s="1612"/>
      <c r="H29" s="1612"/>
      <c r="I29" s="1612"/>
      <c r="J29" s="1613"/>
      <c r="K29" s="823"/>
      <c r="L29" s="1585"/>
      <c r="M29" s="1585"/>
      <c r="N29" s="2266" t="s">
        <v>1941</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1942</v>
      </c>
      <c r="C30" s="3330">
        <f>IF(B25="容积率修正",E33+SUM(I37:I42),SUM(V2:V16)+SUM(I37:I42))</f>
        <v>1844</v>
      </c>
      <c r="D30" s="4473" t="s">
        <v>3853</v>
      </c>
      <c r="E30" s="1634"/>
      <c r="F30" s="1671"/>
      <c r="G30" s="1634"/>
      <c r="H30" s="1634"/>
      <c r="I30" s="1634"/>
      <c r="J30" s="1672"/>
      <c r="K30" s="823"/>
      <c r="L30" s="2719" t="s">
        <v>1854</v>
      </c>
      <c r="M30" s="2720" t="s">
        <v>1908</v>
      </c>
      <c r="N30" s="2720" t="s">
        <v>1909</v>
      </c>
      <c r="O30" s="2720" t="s">
        <v>1910</v>
      </c>
      <c r="P30" s="2720" t="s">
        <v>1911</v>
      </c>
      <c r="Q30" s="2723" t="s">
        <v>3170</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1943</v>
      </c>
      <c r="C31" s="3327">
        <f>E34+SUM(I37:I42)</f>
        <v>0</v>
      </c>
      <c r="D31" s="1674"/>
      <c r="E31" s="1675"/>
      <c r="F31" s="1676"/>
      <c r="G31" s="1675"/>
      <c r="H31" s="1675"/>
      <c r="I31" s="1675"/>
      <c r="J31" s="1677"/>
      <c r="K31" s="823"/>
      <c r="L31" s="2721" t="s">
        <v>1914</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1944</v>
      </c>
      <c r="C32" s="1680" t="s">
        <v>1945</v>
      </c>
      <c r="D32" s="1680" t="s">
        <v>1946</v>
      </c>
      <c r="E32" s="1681" t="s">
        <v>1947</v>
      </c>
      <c r="F32" s="1682"/>
      <c r="G32" s="1625"/>
      <c r="H32" s="1625"/>
      <c r="I32" s="1625"/>
      <c r="J32" s="1626"/>
      <c r="K32" s="823"/>
      <c r="L32" s="2722" t="s">
        <v>1917</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1948</v>
      </c>
      <c r="C33" s="3330">
        <f>ROUND(C5*C22*C23*C24*C25*C28,0)</f>
        <v>1168</v>
      </c>
      <c r="D33" s="3333">
        <f>'数据-汇总表'!D19</f>
        <v>15789.4</v>
      </c>
      <c r="E33" s="3335">
        <f>ROUND(C33*D33/10000,0)</f>
        <v>1844</v>
      </c>
      <c r="F33" s="2715" t="s">
        <v>3168</v>
      </c>
      <c r="G33" s="1685"/>
      <c r="H33" s="1685"/>
      <c r="I33" s="1685"/>
      <c r="J33" s="1686"/>
      <c r="K33" s="823"/>
      <c r="L33" s="2718" t="s">
        <v>3171</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1949</v>
      </c>
      <c r="C34" s="3331">
        <f>ROUND(IF(E2="工业",C33*M42,IF(B25="楼层修正",SUM(V2:V16)*M41*10000/D34,C33*M41)),0)</f>
        <v>175</v>
      </c>
      <c r="D34" s="3334"/>
      <c r="E34" s="3335">
        <f>ROUND(IF(B25="楼层修正",SUM(V2:V16)*M40,C34*D34/10000),0)</f>
        <v>0</v>
      </c>
      <c r="F34" s="1689" t="s">
        <v>1950</v>
      </c>
      <c r="G34" s="1690"/>
      <c r="H34" s="1690"/>
      <c r="I34" s="1690"/>
      <c r="J34" s="1691"/>
      <c r="K34" s="823"/>
      <c r="L34" s="2718" t="s">
        <v>3172</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1951</v>
      </c>
      <c r="C35" s="2716" t="s">
        <v>3169</v>
      </c>
      <c r="D35" s="1625"/>
      <c r="E35" s="1694"/>
      <c r="F35" s="1694"/>
      <c r="G35" s="1623" t="s">
        <v>1952</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1945</v>
      </c>
      <c r="D36" s="304" t="s">
        <v>1946</v>
      </c>
      <c r="E36" s="304" t="s">
        <v>1947</v>
      </c>
      <c r="F36" s="230" t="s">
        <v>1953</v>
      </c>
      <c r="G36" s="1697" t="s">
        <v>1945</v>
      </c>
      <c r="H36" s="1697" t="s">
        <v>1946</v>
      </c>
      <c r="I36" s="1697" t="s">
        <v>1947</v>
      </c>
      <c r="J36" s="143"/>
      <c r="K36" s="2725" t="s">
        <v>3173</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64"/>
      <c r="B37" s="1698" t="s">
        <v>1954</v>
      </c>
      <c r="C37" s="3330">
        <f>ROUND(D5*C22*C23*C24*C28*F37,0)</f>
        <v>584</v>
      </c>
      <c r="D37" s="3333"/>
      <c r="E37" s="3332">
        <f>ROUND(C37*D37/10000,0)</f>
        <v>0</v>
      </c>
      <c r="F37" s="3297">
        <f>SUMIF(修正!A59:A70,G2,修正!B59:B70)</f>
        <v>0.5</v>
      </c>
      <c r="G37" s="3332">
        <f>ROUND(IF(E2="工业",C37*$M$42,C37*$M$41),0)</f>
        <v>88</v>
      </c>
      <c r="H37" s="3297">
        <f>D37</f>
        <v>0</v>
      </c>
      <c r="I37" s="3332">
        <f>ROUND(G37*H37/10000,0)</f>
        <v>0</v>
      </c>
      <c r="J37" s="2436"/>
      <c r="K37" s="2726" t="s">
        <v>3174</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65"/>
      <c r="B38" s="1629" t="s">
        <v>1955</v>
      </c>
      <c r="C38" s="3330">
        <f>ROUND(D5*C22*C23*C24*C28*F38,0)</f>
        <v>234</v>
      </c>
      <c r="D38" s="3333"/>
      <c r="E38" s="3332">
        <f t="shared" ref="E38:E42" si="4">ROUND(C38*D38/10000,0)</f>
        <v>0</v>
      </c>
      <c r="F38" s="3297">
        <f>SUMIF(修正!A59:A70,G2,修正!C59:C70)</f>
        <v>0.2</v>
      </c>
      <c r="G38" s="3332">
        <f>ROUND(IF(E2="工业",C38*$M$42,C38*$M$41),0)</f>
        <v>35</v>
      </c>
      <c r="H38" s="3297">
        <f t="shared" ref="H38:H42" si="5">D38</f>
        <v>0</v>
      </c>
      <c r="I38" s="3332">
        <f t="shared" ref="I38:I42" si="6">ROUND(G38*H38/10000,0)</f>
        <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65"/>
      <c r="B39" s="1629" t="s">
        <v>3167</v>
      </c>
      <c r="C39" s="3330">
        <f>ROUND(D5*C22*C23*C24*C28*F39,0)</f>
        <v>234</v>
      </c>
      <c r="D39" s="3333"/>
      <c r="E39" s="3332">
        <f t="shared" si="4"/>
        <v>0</v>
      </c>
      <c r="F39" s="3297">
        <f>SUMIF(修正!A59:A70,G2,修正!D59:D70)</f>
        <v>0.2</v>
      </c>
      <c r="G39" s="3332">
        <f>ROUND(IF(E2="工业",C39*$M$42,C39*$M$41),0)</f>
        <v>35</v>
      </c>
      <c r="H39" s="3297">
        <f t="shared" si="5"/>
        <v>0</v>
      </c>
      <c r="I39" s="3332">
        <f t="shared" si="6"/>
        <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1956</v>
      </c>
      <c r="C40" s="3332">
        <f>ROUND(D5*C22*C23*C24*C28*F40,0)</f>
        <v>234</v>
      </c>
      <c r="D40" s="3333"/>
      <c r="E40" s="3332">
        <f t="shared" si="4"/>
        <v>0</v>
      </c>
      <c r="F40" s="3328">
        <f>SUMIF(修正!A59:A70,G2,修正!E59:E70)</f>
        <v>0.2</v>
      </c>
      <c r="G40" s="3332">
        <f>ROUND(IF(E2="工业",C40*$M$42,C40*$M$41),0)</f>
        <v>35</v>
      </c>
      <c r="H40" s="3297">
        <f t="shared" si="5"/>
        <v>0</v>
      </c>
      <c r="I40" s="3332">
        <f t="shared" si="6"/>
        <v>0</v>
      </c>
      <c r="J40" s="1699"/>
      <c r="L40" s="1701" t="s">
        <v>1957</v>
      </c>
      <c r="M40" s="1702"/>
      <c r="Z40" s="824"/>
      <c r="AA40" s="824"/>
      <c r="AB40" s="824"/>
      <c r="AC40" s="824"/>
      <c r="AD40" s="824"/>
      <c r="AE40" s="824"/>
      <c r="AF40" s="824"/>
      <c r="AG40" s="824"/>
      <c r="AH40" s="824"/>
      <c r="AI40" s="824"/>
      <c r="AJ40" s="824"/>
    </row>
    <row r="41" spans="1:37" s="823" customFormat="1">
      <c r="A41" s="1700"/>
      <c r="B41" s="1629" t="s">
        <v>1958</v>
      </c>
      <c r="C41" s="3332">
        <f>ROUND(D5*C22*C23*C44*C28*F41,0)</f>
        <v>0</v>
      </c>
      <c r="D41" s="3333"/>
      <c r="E41" s="3332">
        <f t="shared" si="4"/>
        <v>0</v>
      </c>
      <c r="F41" s="3328">
        <f>SUMIF(修正!A59:A70,G2,修正!F59:F70)</f>
        <v>0.2</v>
      </c>
      <c r="G41" s="3332">
        <f>ROUND(IF(E2="工业",C41*$M$42,C41*$M$41),0)</f>
        <v>0</v>
      </c>
      <c r="H41" s="3297">
        <f t="shared" si="5"/>
        <v>0</v>
      </c>
      <c r="I41" s="3332">
        <f t="shared" si="6"/>
        <v>0</v>
      </c>
      <c r="J41" s="1699"/>
      <c r="L41" s="2727" t="s">
        <v>3175</v>
      </c>
      <c r="M41" s="1703">
        <v>0.25</v>
      </c>
      <c r="Z41" s="824"/>
      <c r="AA41" s="824"/>
      <c r="AB41" s="824"/>
      <c r="AC41" s="824"/>
      <c r="AD41" s="824"/>
      <c r="AE41" s="824"/>
      <c r="AF41" s="824"/>
      <c r="AG41" s="824"/>
      <c r="AH41" s="824"/>
      <c r="AI41" s="824"/>
      <c r="AJ41" s="824"/>
    </row>
    <row r="42" spans="1:37" s="823" customFormat="1" ht="13.5" thickBot="1">
      <c r="A42" s="1687"/>
      <c r="B42" s="1704" t="s">
        <v>1959</v>
      </c>
      <c r="C42" s="3331">
        <f>ROUND(D5*C22*C23*C44*C28*F42,0)</f>
        <v>0</v>
      </c>
      <c r="D42" s="3334"/>
      <c r="E42" s="3331">
        <f t="shared" si="4"/>
        <v>0</v>
      </c>
      <c r="F42" s="3336">
        <f>SUMIF(修正!A59:A70,G2,修正!G59:G70)</f>
        <v>0.1</v>
      </c>
      <c r="G42" s="3331">
        <f>ROUND(IF(E2="工业",C42*$M$42,C42*$M$41),0)</f>
        <v>0</v>
      </c>
      <c r="H42" s="3329">
        <f t="shared" si="5"/>
        <v>0</v>
      </c>
      <c r="I42" s="3331">
        <f t="shared" si="6"/>
        <v>0</v>
      </c>
      <c r="J42" s="1705"/>
      <c r="L42" s="1706" t="s">
        <v>1911</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2038</v>
      </c>
      <c r="C44" s="230">
        <f>ROUND(POWER(1+E44,H44-G44)*(POWER(1+E44,G44)-1)/(POWER(1+E44,H44)-1),4)</f>
        <v>0</v>
      </c>
      <c r="D44" s="73" t="s">
        <v>1917</v>
      </c>
      <c r="E44" s="1738">
        <f>G24</f>
        <v>0.05</v>
      </c>
      <c r="F44" s="73" t="s">
        <v>1926</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1960</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1961</v>
      </c>
      <c r="B48" s="1712">
        <f>1+E50</f>
        <v>1</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1962</v>
      </c>
      <c r="B49" s="998" t="s">
        <v>1963</v>
      </c>
      <c r="C49" s="998" t="s">
        <v>1964</v>
      </c>
      <c r="D49" s="998" t="s">
        <v>1965</v>
      </c>
      <c r="E49" s="542" t="s">
        <v>1966</v>
      </c>
      <c r="F49" s="1716" t="s">
        <v>1967</v>
      </c>
      <c r="G49" s="998" t="s">
        <v>308</v>
      </c>
      <c r="H49" s="1717" t="s">
        <v>1968</v>
      </c>
      <c r="I49" s="998" t="s">
        <v>1969</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1970</v>
      </c>
      <c r="B50" s="1718" t="str">
        <f>估价对象房地状况!C4</f>
        <v>估价对象位于XX商圈，周边商业氛围成熟，人流量大，商业繁华度好</v>
      </c>
      <c r="C50" s="1632"/>
      <c r="D50" s="775">
        <f t="shared" ref="D50:D58" si="7">SUMIF($J$49:$N$49,C50,J50:N50)</f>
        <v>0</v>
      </c>
      <c r="E50" s="543">
        <f>ROUND(SUM(D50:D58),4)</f>
        <v>0</v>
      </c>
      <c r="F50" s="1436" t="str">
        <f>IF(E2="商业",SUMIF(L1:L12,G2,N1:N12),"——")</f>
        <v>——</v>
      </c>
      <c r="G50" s="773"/>
      <c r="H50" s="776" t="str">
        <f t="shared" ref="H50:H58" si="8">IFERROR(ROUNDDOWN($F$50*I50/2,4),"——")</f>
        <v>——</v>
      </c>
      <c r="I50" s="2734">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15" t="s">
        <v>1971</v>
      </c>
      <c r="B51" s="1719" t="str">
        <f>估价对象房地状况!C18</f>
        <v>估价对象周边道路状况、公共交通通达情况、停车便捷程度，综合评价交通便捷度较好</v>
      </c>
      <c r="C51" s="1632"/>
      <c r="D51" s="775">
        <f t="shared" si="7"/>
        <v>0</v>
      </c>
      <c r="E51" s="544"/>
      <c r="F51" s="1436"/>
      <c r="G51" s="773"/>
      <c r="H51" s="776" t="str">
        <f t="shared" si="8"/>
        <v>——</v>
      </c>
      <c r="I51" s="2734">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6" t="s">
        <v>3177</v>
      </c>
      <c r="B52" s="1719">
        <f>估价对象房地状况!C19</f>
        <v>0</v>
      </c>
      <c r="C52" s="1632"/>
      <c r="D52" s="775">
        <f t="shared" si="7"/>
        <v>0</v>
      </c>
      <c r="E52" s="544"/>
      <c r="F52" s="1436"/>
      <c r="G52" s="773"/>
      <c r="H52" s="776" t="str">
        <f t="shared" si="8"/>
        <v>——</v>
      </c>
      <c r="I52" s="2734">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5" t="s">
        <v>1972</v>
      </c>
      <c r="B53" s="1720" t="s">
        <v>1973</v>
      </c>
      <c r="C53" s="1632"/>
      <c r="D53" s="775">
        <f t="shared" si="7"/>
        <v>0</v>
      </c>
      <c r="E53" s="544"/>
      <c r="F53" s="1436"/>
      <c r="G53" s="773"/>
      <c r="H53" s="776" t="str">
        <f t="shared" si="8"/>
        <v>——</v>
      </c>
      <c r="I53" s="2734">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5" t="s">
        <v>1974</v>
      </c>
      <c r="B54" s="1719">
        <f>估价对象房地状况!C24</f>
        <v>0</v>
      </c>
      <c r="C54" s="1632"/>
      <c r="D54" s="775">
        <f t="shared" si="7"/>
        <v>0</v>
      </c>
      <c r="E54" s="544"/>
      <c r="F54" s="1436"/>
      <c r="G54" s="773"/>
      <c r="H54" s="776" t="str">
        <f t="shared" si="8"/>
        <v>——</v>
      </c>
      <c r="I54" s="2734">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5" t="s">
        <v>1975</v>
      </c>
      <c r="B55" s="1721" t="s">
        <v>1976</v>
      </c>
      <c r="C55" s="1632"/>
      <c r="D55" s="775">
        <f t="shared" si="7"/>
        <v>0</v>
      </c>
      <c r="E55" s="544"/>
      <c r="F55" s="1436"/>
      <c r="G55" s="773"/>
      <c r="H55" s="776" t="str">
        <f t="shared" si="8"/>
        <v>——</v>
      </c>
      <c r="I55" s="2734">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22" t="s">
        <v>1977</v>
      </c>
      <c r="B56" s="976" t="str">
        <f>估价对象房地状况!C21</f>
        <v>估价对象所在区域公共配套设施齐备情况</v>
      </c>
      <c r="C56" s="1632"/>
      <c r="D56" s="775">
        <f t="shared" si="7"/>
        <v>0</v>
      </c>
      <c r="E56" s="544"/>
      <c r="F56" s="1436"/>
      <c r="G56" s="773"/>
      <c r="H56" s="776" t="str">
        <f t="shared" si="8"/>
        <v>——</v>
      </c>
      <c r="I56" s="2734">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22" t="s">
        <v>1978</v>
      </c>
      <c r="B57" s="1719" t="str">
        <f>估价对象房地状况!C22</f>
        <v>估价对象所在区域基础设施水平</v>
      </c>
      <c r="C57" s="1632"/>
      <c r="D57" s="775">
        <f t="shared" si="7"/>
        <v>0</v>
      </c>
      <c r="E57" s="544"/>
      <c r="F57" s="1436"/>
      <c r="G57" s="773"/>
      <c r="H57" s="776" t="str">
        <f t="shared" si="8"/>
        <v>——</v>
      </c>
      <c r="I57" s="2734">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23" t="s">
        <v>1979</v>
      </c>
      <c r="B58" s="1724" t="str">
        <f>估价对象房地状况!C20</f>
        <v>区域自然环境：；人文环境；综合评价环境状况一般</v>
      </c>
      <c r="C58" s="1632"/>
      <c r="D58" s="775">
        <f t="shared" si="7"/>
        <v>0</v>
      </c>
      <c r="E58" s="545"/>
      <c r="F58" s="1436"/>
      <c r="G58" s="773"/>
      <c r="H58" s="776" t="str">
        <f t="shared" si="8"/>
        <v>——</v>
      </c>
      <c r="I58" s="2735">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1" t="s">
        <v>1980</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1962</v>
      </c>
      <c r="B60" s="998"/>
      <c r="C60" s="998" t="s">
        <v>1964</v>
      </c>
      <c r="D60" s="998" t="s">
        <v>1965</v>
      </c>
      <c r="E60" s="542" t="s">
        <v>1966</v>
      </c>
      <c r="F60" s="1716" t="s">
        <v>1981</v>
      </c>
      <c r="G60" s="998" t="s">
        <v>308</v>
      </c>
      <c r="H60" s="1717" t="s">
        <v>1968</v>
      </c>
      <c r="I60" s="998" t="s">
        <v>1969</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1982</v>
      </c>
      <c r="B61" s="1718" t="str">
        <f>估价对象房地状况!C17</f>
        <v>估价对象位于XX商圈，周边办公楼项目较多，入驻率高，办公集聚程度较好</v>
      </c>
      <c r="C61" s="1632"/>
      <c r="D61" s="775">
        <f t="shared" ref="D61:D69" si="12">SUMIF($J$60:$N$60,C61,J61:N61)</f>
        <v>0</v>
      </c>
      <c r="E61" s="543">
        <f>ROUND(SUM(D61:D69),4)</f>
        <v>0</v>
      </c>
      <c r="F61" s="1436" t="str">
        <f>IF(E2="办公",SUMIF(L1:L12,G2,N1:N12),"——")</f>
        <v>——</v>
      </c>
      <c r="G61" s="773"/>
      <c r="H61" s="776" t="str">
        <f t="shared" ref="H61:H69" si="13">IFERROR(ROUNDDOWN($F$61*I61/2,4),"——")</f>
        <v>——</v>
      </c>
      <c r="I61" s="2734">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15" t="s">
        <v>1971</v>
      </c>
      <c r="B62" s="1719" t="str">
        <f>估价对象房地状况!C18</f>
        <v>估价对象周边道路状况、公共交通通达情况、停车便捷程度，综合评价交通便捷度较好</v>
      </c>
      <c r="C62" s="1632"/>
      <c r="D62" s="775">
        <f t="shared" si="12"/>
        <v>0</v>
      </c>
      <c r="E62" s="544"/>
      <c r="F62" s="1436"/>
      <c r="G62" s="773"/>
      <c r="H62" s="776" t="str">
        <f t="shared" si="13"/>
        <v>——</v>
      </c>
      <c r="I62" s="2734">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6" t="s">
        <v>3177</v>
      </c>
      <c r="B63" s="1719">
        <f>估价对象房地状况!C19</f>
        <v>0</v>
      </c>
      <c r="C63" s="1632"/>
      <c r="D63" s="775">
        <f t="shared" si="12"/>
        <v>0</v>
      </c>
      <c r="E63" s="544"/>
      <c r="F63" s="1436"/>
      <c r="G63" s="773"/>
      <c r="H63" s="776" t="str">
        <f t="shared" si="13"/>
        <v>——</v>
      </c>
      <c r="I63" s="2734">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5" t="s">
        <v>1972</v>
      </c>
      <c r="B64" s="1720" t="s">
        <v>1973</v>
      </c>
      <c r="C64" s="1632"/>
      <c r="D64" s="775">
        <f t="shared" si="12"/>
        <v>0</v>
      </c>
      <c r="E64" s="544"/>
      <c r="F64" s="1436"/>
      <c r="G64" s="773"/>
      <c r="H64" s="776" t="str">
        <f t="shared" si="13"/>
        <v>——</v>
      </c>
      <c r="I64" s="2734">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5" t="s">
        <v>1974</v>
      </c>
      <c r="B65" s="1719">
        <f>估价对象房地状况!C24</f>
        <v>0</v>
      </c>
      <c r="C65" s="1632"/>
      <c r="D65" s="775">
        <f t="shared" si="12"/>
        <v>0</v>
      </c>
      <c r="E65" s="544"/>
      <c r="F65" s="1436"/>
      <c r="G65" s="773"/>
      <c r="H65" s="776" t="str">
        <f t="shared" si="13"/>
        <v>——</v>
      </c>
      <c r="I65" s="2734">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5" t="s">
        <v>1975</v>
      </c>
      <c r="B66" s="1721" t="s">
        <v>1976</v>
      </c>
      <c r="C66" s="1632"/>
      <c r="D66" s="775">
        <f t="shared" si="12"/>
        <v>0</v>
      </c>
      <c r="E66" s="544"/>
      <c r="F66" s="1436"/>
      <c r="G66" s="773"/>
      <c r="H66" s="776" t="str">
        <f t="shared" si="13"/>
        <v>——</v>
      </c>
      <c r="I66" s="2734">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15" t="s">
        <v>1977</v>
      </c>
      <c r="B67" s="976" t="str">
        <f>估价对象房地状况!C21</f>
        <v>估价对象所在区域公共配套设施齐备情况</v>
      </c>
      <c r="C67" s="1632"/>
      <c r="D67" s="775">
        <f t="shared" si="12"/>
        <v>0</v>
      </c>
      <c r="E67" s="544"/>
      <c r="F67" s="1436"/>
      <c r="G67" s="773"/>
      <c r="H67" s="776" t="str">
        <f t="shared" si="13"/>
        <v>——</v>
      </c>
      <c r="I67" s="2734">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15" t="s">
        <v>1978</v>
      </c>
      <c r="B68" s="976" t="str">
        <f>估价对象房地状况!C22</f>
        <v>估价对象所在区域基础设施水平</v>
      </c>
      <c r="C68" s="1632"/>
      <c r="D68" s="775">
        <f t="shared" si="12"/>
        <v>0</v>
      </c>
      <c r="E68" s="544"/>
      <c r="F68" s="1436"/>
      <c r="G68" s="773"/>
      <c r="H68" s="776" t="str">
        <f t="shared" si="13"/>
        <v>——</v>
      </c>
      <c r="I68" s="2734">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23" t="s">
        <v>1979</v>
      </c>
      <c r="B69" s="1725" t="str">
        <f>估价对象房地状况!C20</f>
        <v>区域自然环境：；人文环境；综合评价环境状况一般</v>
      </c>
      <c r="C69" s="1632"/>
      <c r="D69" s="775">
        <f t="shared" si="12"/>
        <v>0</v>
      </c>
      <c r="E69" s="545"/>
      <c r="F69" s="1436"/>
      <c r="G69" s="773"/>
      <c r="H69" s="776" t="str">
        <f t="shared" si="13"/>
        <v>——</v>
      </c>
      <c r="I69" s="2735">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1" t="s">
        <v>1983</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1962</v>
      </c>
      <c r="B71" s="998"/>
      <c r="C71" s="998" t="s">
        <v>1964</v>
      </c>
      <c r="D71" s="998" t="s">
        <v>1965</v>
      </c>
      <c r="E71" s="542" t="s">
        <v>1966</v>
      </c>
      <c r="F71" s="1716" t="s">
        <v>1981</v>
      </c>
      <c r="G71" s="998" t="s">
        <v>308</v>
      </c>
      <c r="H71" s="1717" t="s">
        <v>1968</v>
      </c>
      <c r="I71" s="998" t="s">
        <v>1969</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1984</v>
      </c>
      <c r="B72" s="1718" t="str">
        <f>估价对象房地状况!C15</f>
        <v>估价对象周边居住用地比例、居住小区规模和社区发展完善程度，综合评价居住社区成熟度一般</v>
      </c>
      <c r="C72" s="1632"/>
      <c r="D72" s="775">
        <f t="shared" ref="D72:D80" si="17">SUMIF($J$71:$N$71,C72,J72:N72)</f>
        <v>0</v>
      </c>
      <c r="E72" s="543">
        <f>ROUND(SUM(D72:D80),4)</f>
        <v>0</v>
      </c>
      <c r="F72" s="1436" t="str">
        <f>IF(E2="住宅",SUMIF(L1:L12,G2,N1:N12),"——")</f>
        <v>——</v>
      </c>
      <c r="G72" s="773"/>
      <c r="H72" s="776" t="str">
        <f t="shared" ref="H72:H80" si="18">IFERROR(ROUNDDOWN($F$72*I72/2,4),"——")</f>
        <v>——</v>
      </c>
      <c r="I72" s="2734">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15" t="s">
        <v>1971</v>
      </c>
      <c r="B73" s="1719" t="str">
        <f>估价对象房地状况!C18</f>
        <v>估价对象周边道路状况、公共交通通达情况、停车便捷程度，综合评价交通便捷度较好</v>
      </c>
      <c r="C73" s="1632"/>
      <c r="D73" s="775">
        <f t="shared" si="17"/>
        <v>0</v>
      </c>
      <c r="E73" s="546"/>
      <c r="F73" s="1436"/>
      <c r="G73" s="773"/>
      <c r="H73" s="776" t="str">
        <f t="shared" si="18"/>
        <v>——</v>
      </c>
      <c r="I73" s="2734">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5" customFormat="1" ht="36">
      <c r="A74" s="2736" t="s">
        <v>3177</v>
      </c>
      <c r="B74" s="1719">
        <f>估价对象房地状况!C19</f>
        <v>0</v>
      </c>
      <c r="C74" s="1632"/>
      <c r="D74" s="775">
        <f t="shared" si="17"/>
        <v>0</v>
      </c>
      <c r="E74" s="546"/>
      <c r="F74" s="1436"/>
      <c r="G74" s="773"/>
      <c r="H74" s="776" t="str">
        <f t="shared" si="18"/>
        <v>——</v>
      </c>
      <c r="I74" s="2734">
        <v>0.1</v>
      </c>
      <c r="J74" s="774">
        <f t="shared" si="19"/>
        <v>0</v>
      </c>
      <c r="K74" s="774">
        <f t="shared" si="20"/>
        <v>0</v>
      </c>
      <c r="L74" s="774">
        <v>0</v>
      </c>
      <c r="M74" s="774">
        <f t="shared" si="21"/>
        <v>0</v>
      </c>
      <c r="N74" s="774">
        <f t="shared" si="21"/>
        <v>0</v>
      </c>
      <c r="O74" s="823"/>
      <c r="P74" s="823"/>
      <c r="Q74" s="823"/>
      <c r="AA74" s="1726"/>
      <c r="AB74" s="824"/>
      <c r="AC74" s="824"/>
      <c r="AD74" s="824"/>
      <c r="AE74" s="824"/>
      <c r="AF74" s="824"/>
      <c r="AG74" s="824"/>
      <c r="AH74" s="1726"/>
      <c r="AI74" s="1726"/>
      <c r="AJ74" s="1726"/>
      <c r="AK74" s="1726"/>
    </row>
    <row r="75" spans="1:37" ht="14.25">
      <c r="A75" s="1715" t="s">
        <v>1985</v>
      </c>
      <c r="B75" s="1719">
        <f>估价对象房地状况!C24</f>
        <v>0</v>
      </c>
      <c r="C75" s="1632"/>
      <c r="D75" s="775">
        <f t="shared" si="17"/>
        <v>0</v>
      </c>
      <c r="E75" s="546"/>
      <c r="F75" s="1436"/>
      <c r="G75" s="773"/>
      <c r="H75" s="776" t="str">
        <f t="shared" si="18"/>
        <v>——</v>
      </c>
      <c r="I75" s="2734">
        <v>0.05</v>
      </c>
      <c r="J75" s="774">
        <f t="shared" si="19"/>
        <v>0</v>
      </c>
      <c r="K75" s="774">
        <f t="shared" si="20"/>
        <v>0</v>
      </c>
      <c r="L75" s="774">
        <v>0</v>
      </c>
      <c r="M75" s="774">
        <f t="shared" si="21"/>
        <v>0</v>
      </c>
      <c r="N75" s="774">
        <f t="shared" si="21"/>
        <v>0</v>
      </c>
      <c r="O75" s="823"/>
      <c r="P75" s="823"/>
      <c r="Q75" s="1585"/>
      <c r="Z75" s="1586"/>
      <c r="AA75" s="1641"/>
      <c r="AG75" s="825"/>
      <c r="AK75" s="1641"/>
    </row>
    <row r="76" spans="1:37" ht="25.5">
      <c r="A76" s="1715" t="s">
        <v>1977</v>
      </c>
      <c r="B76" s="976" t="str">
        <f>估价对象房地状况!C21</f>
        <v>估价对象所在区域公共配套设施齐备情况</v>
      </c>
      <c r="C76" s="1632"/>
      <c r="D76" s="775">
        <f t="shared" si="17"/>
        <v>0</v>
      </c>
      <c r="E76" s="546"/>
      <c r="F76" s="1436"/>
      <c r="G76" s="773"/>
      <c r="H76" s="776" t="str">
        <f t="shared" si="18"/>
        <v>——</v>
      </c>
      <c r="I76" s="2734">
        <v>0.08</v>
      </c>
      <c r="J76" s="774">
        <f t="shared" si="19"/>
        <v>0</v>
      </c>
      <c r="K76" s="774">
        <f t="shared" si="20"/>
        <v>0</v>
      </c>
      <c r="L76" s="774">
        <v>0</v>
      </c>
      <c r="M76" s="774">
        <f t="shared" si="21"/>
        <v>0</v>
      </c>
      <c r="N76" s="774">
        <f t="shared" si="21"/>
        <v>0</v>
      </c>
      <c r="O76" s="823"/>
      <c r="P76" s="823"/>
      <c r="Z76" s="1586"/>
      <c r="AA76" s="1641"/>
      <c r="AG76" s="825"/>
      <c r="AK76" s="1641"/>
    </row>
    <row r="77" spans="1:37" ht="25.5">
      <c r="A77" s="1715" t="s">
        <v>1978</v>
      </c>
      <c r="B77" s="976" t="str">
        <f>估价对象房地状况!C22</f>
        <v>估价对象所在区域基础设施水平</v>
      </c>
      <c r="C77" s="1632"/>
      <c r="D77" s="775">
        <f t="shared" si="17"/>
        <v>0</v>
      </c>
      <c r="E77" s="546"/>
      <c r="F77" s="1436"/>
      <c r="G77" s="773"/>
      <c r="H77" s="776" t="str">
        <f t="shared" si="18"/>
        <v>——</v>
      </c>
      <c r="I77" s="2734">
        <v>0.09</v>
      </c>
      <c r="J77" s="774">
        <f t="shared" si="19"/>
        <v>0</v>
      </c>
      <c r="K77" s="774">
        <f t="shared" si="20"/>
        <v>0</v>
      </c>
      <c r="L77" s="774">
        <v>0</v>
      </c>
      <c r="M77" s="774">
        <f t="shared" si="21"/>
        <v>0</v>
      </c>
      <c r="N77" s="774">
        <f t="shared" si="21"/>
        <v>0</v>
      </c>
      <c r="O77" s="823"/>
      <c r="P77" s="823"/>
      <c r="Z77" s="1586"/>
      <c r="AA77" s="1641"/>
      <c r="AG77" s="825"/>
      <c r="AK77" s="1641"/>
    </row>
    <row r="78" spans="1:37" ht="24">
      <c r="A78" s="1715" t="s">
        <v>1975</v>
      </c>
      <c r="B78" s="1721" t="s">
        <v>1976</v>
      </c>
      <c r="C78" s="1632"/>
      <c r="D78" s="775">
        <f t="shared" si="17"/>
        <v>0</v>
      </c>
      <c r="E78" s="546"/>
      <c r="F78" s="1436"/>
      <c r="G78" s="773"/>
      <c r="H78" s="776" t="str">
        <f t="shared" si="18"/>
        <v>——</v>
      </c>
      <c r="I78" s="2734">
        <v>0.05</v>
      </c>
      <c r="J78" s="774">
        <f t="shared" si="19"/>
        <v>0</v>
      </c>
      <c r="K78" s="774">
        <f t="shared" si="20"/>
        <v>0</v>
      </c>
      <c r="L78" s="774">
        <v>0</v>
      </c>
      <c r="M78" s="774">
        <f t="shared" si="21"/>
        <v>0</v>
      </c>
      <c r="N78" s="774">
        <f t="shared" si="21"/>
        <v>0</v>
      </c>
      <c r="O78" s="1585"/>
      <c r="P78" s="1585"/>
      <c r="Z78" s="1586"/>
      <c r="AA78" s="1641"/>
      <c r="AG78" s="825"/>
      <c r="AK78" s="1641"/>
    </row>
    <row r="79" spans="1:37" ht="25.5">
      <c r="A79" s="1715" t="s">
        <v>1979</v>
      </c>
      <c r="B79" s="1718" t="str">
        <f>估价对象房地状况!C20</f>
        <v>区域自然环境：；人文环境；综合评价环境状况一般</v>
      </c>
      <c r="C79" s="1632"/>
      <c r="D79" s="775">
        <f t="shared" si="17"/>
        <v>0</v>
      </c>
      <c r="E79" s="546"/>
      <c r="F79" s="1436"/>
      <c r="G79" s="773"/>
      <c r="H79" s="776" t="str">
        <f t="shared" si="18"/>
        <v>——</v>
      </c>
      <c r="I79" s="2734">
        <v>0.12</v>
      </c>
      <c r="J79" s="774">
        <f t="shared" si="19"/>
        <v>0</v>
      </c>
      <c r="K79" s="774">
        <f t="shared" si="20"/>
        <v>0</v>
      </c>
      <c r="L79" s="774">
        <v>0</v>
      </c>
      <c r="M79" s="774">
        <f t="shared" si="21"/>
        <v>0</v>
      </c>
      <c r="N79" s="774">
        <f t="shared" si="21"/>
        <v>0</v>
      </c>
      <c r="Z79" s="1586"/>
      <c r="AA79" s="1641"/>
      <c r="AG79" s="825"/>
      <c r="AK79" s="1641"/>
    </row>
    <row r="80" spans="1:37" ht="24.75" thickBot="1">
      <c r="A80" s="1723" t="s">
        <v>1986</v>
      </c>
      <c r="B80" s="1727"/>
      <c r="C80" s="1632"/>
      <c r="D80" s="775">
        <f t="shared" si="17"/>
        <v>0</v>
      </c>
      <c r="E80" s="547"/>
      <c r="F80" s="1436"/>
      <c r="G80" s="773"/>
      <c r="H80" s="776" t="str">
        <f t="shared" si="18"/>
        <v>——</v>
      </c>
      <c r="I80" s="2735">
        <v>0.05</v>
      </c>
      <c r="J80" s="774">
        <f t="shared" si="19"/>
        <v>0</v>
      </c>
      <c r="K80" s="774">
        <f t="shared" si="20"/>
        <v>0</v>
      </c>
      <c r="L80" s="774">
        <v>0</v>
      </c>
      <c r="M80" s="774">
        <f t="shared" si="21"/>
        <v>0</v>
      </c>
      <c r="N80" s="774">
        <f t="shared" si="21"/>
        <v>0</v>
      </c>
      <c r="Z80" s="1586"/>
      <c r="AA80" s="1641"/>
      <c r="AG80" s="825"/>
      <c r="AK80" s="1641"/>
    </row>
    <row r="81" spans="1:37" ht="15">
      <c r="A81" s="1711" t="s">
        <v>1987</v>
      </c>
      <c r="B81" s="1712">
        <f>1+E83</f>
        <v>1.0192000000000001</v>
      </c>
      <c r="C81" s="540"/>
      <c r="D81" s="540"/>
      <c r="E81" s="541"/>
      <c r="F81" s="1714"/>
      <c r="G81" s="3"/>
      <c r="H81" s="3"/>
      <c r="I81" s="3"/>
      <c r="J81" s="4"/>
      <c r="K81" s="4"/>
      <c r="L81" s="4"/>
      <c r="M81" s="4"/>
      <c r="N81" s="4"/>
      <c r="Z81" s="1586"/>
      <c r="AA81" s="1641"/>
      <c r="AG81" s="825"/>
      <c r="AK81" s="1641"/>
    </row>
    <row r="82" spans="1:37" ht="24.75">
      <c r="A82" s="1715" t="s">
        <v>1962</v>
      </c>
      <c r="B82" s="998"/>
      <c r="C82" s="998" t="s">
        <v>1964</v>
      </c>
      <c r="D82" s="998" t="s">
        <v>1965</v>
      </c>
      <c r="E82" s="542" t="s">
        <v>1966</v>
      </c>
      <c r="F82" s="1716" t="s">
        <v>1981</v>
      </c>
      <c r="G82" s="998" t="s">
        <v>308</v>
      </c>
      <c r="H82" s="1717" t="s">
        <v>1968</v>
      </c>
      <c r="I82" s="998" t="s">
        <v>1969</v>
      </c>
      <c r="J82" s="403" t="s">
        <v>1639</v>
      </c>
      <c r="K82" s="403" t="s">
        <v>1640</v>
      </c>
      <c r="L82" s="403" t="s">
        <v>1641</v>
      </c>
      <c r="M82" s="403" t="s">
        <v>1642</v>
      </c>
      <c r="N82" s="403" t="s">
        <v>1643</v>
      </c>
      <c r="Z82" s="1586"/>
      <c r="AA82" s="1641"/>
      <c r="AG82" s="825"/>
      <c r="AK82" s="1641"/>
    </row>
    <row r="83" spans="1:37" ht="38.25">
      <c r="A83" s="1715" t="s">
        <v>1988</v>
      </c>
      <c r="B83" s="1719" t="str">
        <f>估价对象房地状况!G15</f>
        <v>估价对象位于XX开发区，园区建设成熟度XX，产业集聚程度XX</v>
      </c>
      <c r="C83" s="1632" t="s">
        <v>3664</v>
      </c>
      <c r="D83" s="775">
        <f t="shared" ref="D83:D90" si="22">SUMIF($J$82:$N$82,C83,J83:N83)</f>
        <v>6.4999999999999997E-3</v>
      </c>
      <c r="E83" s="543">
        <f>ROUND(SUM(D83:D90),4)</f>
        <v>1.9199999999999998E-2</v>
      </c>
      <c r="F83" s="1436">
        <f>IF(E2="工业",SUMIF(L1:L12,G2,N1:N12),"——")</f>
        <v>0.05</v>
      </c>
      <c r="G83" s="773">
        <f>H83</f>
        <v>6.4999999999999997E-3</v>
      </c>
      <c r="H83" s="776">
        <f t="shared" ref="H83:H90" si="23">IFERROR(ROUNDDOWN($F$83*I83/2,4),"——")</f>
        <v>6.4999999999999997E-3</v>
      </c>
      <c r="I83" s="2734">
        <v>0.26</v>
      </c>
      <c r="J83" s="774">
        <f t="shared" ref="J83:J90" si="24">K83+$G83</f>
        <v>1.2999999999999999E-2</v>
      </c>
      <c r="K83" s="774">
        <f t="shared" ref="K83:K90" si="25">$L83+$G83</f>
        <v>6.4999999999999997E-3</v>
      </c>
      <c r="L83" s="774">
        <v>0</v>
      </c>
      <c r="M83" s="774">
        <f t="shared" ref="M83:N90" si="26">L83-$G83</f>
        <v>-6.4999999999999997E-3</v>
      </c>
      <c r="N83" s="774">
        <f t="shared" si="26"/>
        <v>-1.2999999999999999E-2</v>
      </c>
      <c r="Z83" s="1586"/>
      <c r="AA83" s="1641"/>
      <c r="AG83" s="825"/>
      <c r="AK83" s="1641"/>
    </row>
    <row r="84" spans="1:37" ht="38.25">
      <c r="A84" s="1715" t="s">
        <v>1971</v>
      </c>
      <c r="B84" s="1719" t="str">
        <f>估价对象房地状况!G16</f>
        <v>估价对象周边道路状况、公共交通通达情况、停车便捷程度，综合评价交通便捷度较好</v>
      </c>
      <c r="C84" s="1632" t="s">
        <v>3664</v>
      </c>
      <c r="D84" s="775">
        <f t="shared" si="22"/>
        <v>7.4999999999999997E-3</v>
      </c>
      <c r="E84" s="546"/>
      <c r="F84" s="1436"/>
      <c r="G84" s="773">
        <f t="shared" ref="G84:G90" si="27">H84</f>
        <v>7.4999999999999997E-3</v>
      </c>
      <c r="H84" s="776">
        <f t="shared" si="23"/>
        <v>7.4999999999999997E-3</v>
      </c>
      <c r="I84" s="2734">
        <v>0.3</v>
      </c>
      <c r="J84" s="774">
        <f t="shared" si="24"/>
        <v>1.4999999999999999E-2</v>
      </c>
      <c r="K84" s="774">
        <f t="shared" si="25"/>
        <v>7.4999999999999997E-3</v>
      </c>
      <c r="L84" s="774">
        <v>0</v>
      </c>
      <c r="M84" s="774">
        <f t="shared" si="26"/>
        <v>-7.4999999999999997E-3</v>
      </c>
      <c r="N84" s="774">
        <f t="shared" si="26"/>
        <v>-1.4999999999999999E-2</v>
      </c>
      <c r="Z84" s="1586"/>
      <c r="AA84" s="1641"/>
      <c r="AG84" s="825"/>
      <c r="AK84" s="1641"/>
    </row>
    <row r="85" spans="1:37" ht="36">
      <c r="A85" s="2736" t="s">
        <v>3178</v>
      </c>
      <c r="B85" s="1719">
        <f>估价对象房地状况!G17</f>
        <v>0</v>
      </c>
      <c r="C85" s="1632" t="s">
        <v>3664</v>
      </c>
      <c r="D85" s="775">
        <f t="shared" si="22"/>
        <v>2.5000000000000001E-3</v>
      </c>
      <c r="E85" s="546"/>
      <c r="F85" s="1436"/>
      <c r="G85" s="773">
        <f t="shared" si="27"/>
        <v>2.5000000000000001E-3</v>
      </c>
      <c r="H85" s="776">
        <f t="shared" si="23"/>
        <v>2.5000000000000001E-3</v>
      </c>
      <c r="I85" s="2734">
        <v>0.1</v>
      </c>
      <c r="J85" s="774">
        <f t="shared" si="24"/>
        <v>5.0000000000000001E-3</v>
      </c>
      <c r="K85" s="774">
        <f t="shared" si="25"/>
        <v>2.5000000000000001E-3</v>
      </c>
      <c r="L85" s="774">
        <v>0</v>
      </c>
      <c r="M85" s="774">
        <f t="shared" si="26"/>
        <v>-2.5000000000000001E-3</v>
      </c>
      <c r="N85" s="774">
        <f t="shared" si="26"/>
        <v>-5.0000000000000001E-3</v>
      </c>
      <c r="Z85" s="1586"/>
      <c r="AA85" s="1641"/>
      <c r="AG85" s="825"/>
      <c r="AK85" s="1641"/>
    </row>
    <row r="86" spans="1:37" ht="14.25">
      <c r="A86" s="1715" t="s">
        <v>1985</v>
      </c>
      <c r="B86" s="1719">
        <f>估价对象房地状况!G22</f>
        <v>0</v>
      </c>
      <c r="C86" s="1632" t="s">
        <v>3663</v>
      </c>
      <c r="D86" s="775">
        <f t="shared" si="22"/>
        <v>0</v>
      </c>
      <c r="E86" s="546"/>
      <c r="F86" s="1436"/>
      <c r="G86" s="773">
        <f t="shared" si="27"/>
        <v>1.1999999999999999E-3</v>
      </c>
      <c r="H86" s="776">
        <f t="shared" si="23"/>
        <v>1.1999999999999999E-3</v>
      </c>
      <c r="I86" s="2734">
        <v>0.05</v>
      </c>
      <c r="J86" s="774">
        <f t="shared" si="24"/>
        <v>2.3999999999999998E-3</v>
      </c>
      <c r="K86" s="774">
        <f t="shared" si="25"/>
        <v>1.1999999999999999E-3</v>
      </c>
      <c r="L86" s="774">
        <v>0</v>
      </c>
      <c r="M86" s="774">
        <f t="shared" si="26"/>
        <v>-1.1999999999999999E-3</v>
      </c>
      <c r="N86" s="774">
        <f t="shared" si="26"/>
        <v>-2.3999999999999998E-3</v>
      </c>
      <c r="Z86" s="1586"/>
      <c r="AA86" s="1641"/>
      <c r="AG86" s="825"/>
      <c r="AK86" s="1641"/>
    </row>
    <row r="87" spans="1:37" ht="25.5">
      <c r="A87" s="1715" t="s">
        <v>1977</v>
      </c>
      <c r="B87" s="976" t="str">
        <f>估价对象房地状况!G19</f>
        <v>估价对象所在区域公共配套设施齐备情况</v>
      </c>
      <c r="C87" s="1632" t="s">
        <v>3663</v>
      </c>
      <c r="D87" s="775">
        <f t="shared" si="22"/>
        <v>0</v>
      </c>
      <c r="E87" s="546"/>
      <c r="F87" s="1436"/>
      <c r="G87" s="773">
        <f t="shared" si="27"/>
        <v>1.5E-3</v>
      </c>
      <c r="H87" s="776">
        <f t="shared" si="23"/>
        <v>1.5E-3</v>
      </c>
      <c r="I87" s="2734">
        <v>0.06</v>
      </c>
      <c r="J87" s="774">
        <f t="shared" si="24"/>
        <v>3.0000000000000001E-3</v>
      </c>
      <c r="K87" s="774">
        <f t="shared" si="25"/>
        <v>1.5E-3</v>
      </c>
      <c r="L87" s="774">
        <v>0</v>
      </c>
      <c r="M87" s="774">
        <f t="shared" si="26"/>
        <v>-1.5E-3</v>
      </c>
      <c r="N87" s="774">
        <f t="shared" si="26"/>
        <v>-3.0000000000000001E-3</v>
      </c>
    </row>
    <row r="88" spans="1:37" ht="25.5">
      <c r="A88" s="1715" t="s">
        <v>1978</v>
      </c>
      <c r="B88" s="976" t="str">
        <f>估价对象房地状况!G20</f>
        <v>估价对象所在区域基础设施水平</v>
      </c>
      <c r="C88" s="1632" t="s">
        <v>3663</v>
      </c>
      <c r="D88" s="775">
        <f t="shared" si="22"/>
        <v>0</v>
      </c>
      <c r="E88" s="546"/>
      <c r="F88" s="1436"/>
      <c r="G88" s="773">
        <f t="shared" si="27"/>
        <v>3.0000000000000001E-3</v>
      </c>
      <c r="H88" s="776">
        <f t="shared" si="23"/>
        <v>3.0000000000000001E-3</v>
      </c>
      <c r="I88" s="2734">
        <v>0.12</v>
      </c>
      <c r="J88" s="774">
        <f t="shared" si="24"/>
        <v>6.0000000000000001E-3</v>
      </c>
      <c r="K88" s="774">
        <f t="shared" si="25"/>
        <v>3.0000000000000001E-3</v>
      </c>
      <c r="L88" s="774">
        <v>0</v>
      </c>
      <c r="M88" s="774">
        <f t="shared" si="26"/>
        <v>-3.0000000000000001E-3</v>
      </c>
      <c r="N88" s="774">
        <f t="shared" si="26"/>
        <v>-6.0000000000000001E-3</v>
      </c>
    </row>
    <row r="89" spans="1:37" ht="24">
      <c r="A89" s="1715" t="s">
        <v>1975</v>
      </c>
      <c r="B89" s="1721" t="s">
        <v>1989</v>
      </c>
      <c r="C89" s="1632" t="s">
        <v>3664</v>
      </c>
      <c r="D89" s="775">
        <f t="shared" si="22"/>
        <v>1.5E-3</v>
      </c>
      <c r="E89" s="546"/>
      <c r="F89" s="1436"/>
      <c r="G89" s="773">
        <f t="shared" si="27"/>
        <v>1.5E-3</v>
      </c>
      <c r="H89" s="776">
        <f t="shared" si="23"/>
        <v>1.5E-3</v>
      </c>
      <c r="I89" s="2734">
        <v>0.06</v>
      </c>
      <c r="J89" s="774">
        <f t="shared" si="24"/>
        <v>3.0000000000000001E-3</v>
      </c>
      <c r="K89" s="774">
        <f t="shared" si="25"/>
        <v>1.5E-3</v>
      </c>
      <c r="L89" s="774">
        <v>0</v>
      </c>
      <c r="M89" s="774">
        <f t="shared" si="26"/>
        <v>-1.5E-3</v>
      </c>
      <c r="N89" s="774">
        <f t="shared" si="26"/>
        <v>-3.0000000000000001E-3</v>
      </c>
    </row>
    <row r="90" spans="1:37" ht="39" thickBot="1">
      <c r="A90" s="1723" t="s">
        <v>1990</v>
      </c>
      <c r="B90" s="1728" t="str">
        <f>估价对象房地状况!G18</f>
        <v>该园区内是否有污染型企业，绿化情况，卫生条件，整体环境状况判断</v>
      </c>
      <c r="C90" s="1632" t="s">
        <v>3664</v>
      </c>
      <c r="D90" s="775">
        <f t="shared" si="22"/>
        <v>1.1999999999999999E-3</v>
      </c>
      <c r="E90" s="547"/>
      <c r="F90" s="1436"/>
      <c r="G90" s="773">
        <f t="shared" si="27"/>
        <v>1.1999999999999999E-3</v>
      </c>
      <c r="H90" s="776">
        <f t="shared" si="23"/>
        <v>1.1999999999999999E-3</v>
      </c>
      <c r="I90" s="2735">
        <v>0.05</v>
      </c>
      <c r="J90" s="774">
        <f t="shared" si="24"/>
        <v>2.3999999999999998E-3</v>
      </c>
      <c r="K90" s="774">
        <f t="shared" si="25"/>
        <v>1.1999999999999999E-3</v>
      </c>
      <c r="L90" s="774">
        <v>0</v>
      </c>
      <c r="M90" s="774">
        <f t="shared" si="26"/>
        <v>-1.1999999999999999E-3</v>
      </c>
      <c r="N90" s="774">
        <f t="shared" si="26"/>
        <v>-2.3999999999999998E-3</v>
      </c>
    </row>
    <row r="91" spans="1:37" ht="15">
      <c r="A91" s="2744" t="s">
        <v>2522</v>
      </c>
      <c r="B91" s="2745">
        <f>1+E93</f>
        <v>1</v>
      </c>
      <c r="C91" s="2738"/>
      <c r="D91" s="2739"/>
      <c r="E91" s="1436"/>
      <c r="F91" s="1436"/>
      <c r="G91" s="2740"/>
      <c r="H91" s="2741"/>
      <c r="I91" s="2742"/>
      <c r="J91" s="2743"/>
      <c r="K91" s="2743"/>
      <c r="L91" s="2743"/>
      <c r="M91" s="2743"/>
      <c r="N91" s="2743"/>
    </row>
    <row r="92" spans="1:37" ht="24.75">
      <c r="A92" s="2746" t="s">
        <v>3179</v>
      </c>
      <c r="B92" s="2733"/>
      <c r="C92" s="2733" t="s">
        <v>3188</v>
      </c>
      <c r="D92" s="2733" t="s">
        <v>3189</v>
      </c>
      <c r="E92" s="2717" t="s">
        <v>3190</v>
      </c>
      <c r="F92" s="2748" t="s">
        <v>3191</v>
      </c>
      <c r="G92" s="2733" t="s">
        <v>3192</v>
      </c>
      <c r="H92" s="2755" t="s">
        <v>3195</v>
      </c>
      <c r="I92" s="2733" t="s">
        <v>3196</v>
      </c>
      <c r="J92" s="2756" t="s">
        <v>3197</v>
      </c>
      <c r="K92" s="2756" t="s">
        <v>3198</v>
      </c>
      <c r="L92" s="2756" t="s">
        <v>3199</v>
      </c>
      <c r="M92" s="2756" t="s">
        <v>3200</v>
      </c>
      <c r="N92" s="2756" t="s">
        <v>3201</v>
      </c>
    </row>
    <row r="93" spans="1:37" ht="24">
      <c r="A93" s="2736" t="s">
        <v>3180</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8">K93+$G93</f>
        <v>0</v>
      </c>
      <c r="K93" s="2714">
        <f t="shared" ref="K93:K101" si="29">$L93+$G93</f>
        <v>0</v>
      </c>
      <c r="L93" s="2714">
        <v>0</v>
      </c>
      <c r="M93" s="2714">
        <f t="shared" ref="M93:N101" si="30">L93-$G93</f>
        <v>0</v>
      </c>
      <c r="N93" s="2714">
        <f t="shared" si="30"/>
        <v>0</v>
      </c>
    </row>
    <row r="94" spans="1:37" ht="38.25">
      <c r="A94" s="2746" t="s">
        <v>3181</v>
      </c>
      <c r="B94" s="2737" t="str">
        <f>估价对象房地状况!C18</f>
        <v>估价对象周边道路状况、公共交通通达情况、停车便捷程度，综合评价交通便捷度较好</v>
      </c>
      <c r="C94" s="1632"/>
      <c r="D94" s="2733">
        <f t="shared" ref="D94:D101" si="31">SUMIF($J$60:$N$60,C94,J94:N94)</f>
        <v>0</v>
      </c>
      <c r="E94" s="2750"/>
      <c r="F94" s="1436"/>
      <c r="G94" s="2740"/>
      <c r="H94" s="2788" t="str">
        <f>IFERROR(ROUNDDOWN($F$93*I94/2,4),"——")</f>
        <v>——</v>
      </c>
      <c r="I94" s="2734">
        <v>0.26</v>
      </c>
      <c r="J94" s="2714">
        <f t="shared" si="28"/>
        <v>0</v>
      </c>
      <c r="K94" s="2714">
        <f t="shared" si="29"/>
        <v>0</v>
      </c>
      <c r="L94" s="2714">
        <v>0</v>
      </c>
      <c r="M94" s="2714">
        <f t="shared" si="30"/>
        <v>0</v>
      </c>
      <c r="N94" s="2714">
        <f t="shared" si="30"/>
        <v>0</v>
      </c>
    </row>
    <row r="95" spans="1:37" ht="36">
      <c r="A95" s="2736" t="s">
        <v>3177</v>
      </c>
      <c r="B95" s="2737">
        <f>估价对象房地状况!C19</f>
        <v>0</v>
      </c>
      <c r="C95" s="1632"/>
      <c r="D95" s="2733">
        <f t="shared" si="31"/>
        <v>0</v>
      </c>
      <c r="E95" s="2750"/>
      <c r="F95" s="1436"/>
      <c r="G95" s="2740"/>
      <c r="H95" s="2788" t="str">
        <f t="shared" ref="H95:H101" si="32">IFERROR(ROUNDDOWN($F$93*I95/2,4),"——")</f>
        <v>——</v>
      </c>
      <c r="I95" s="2734">
        <v>0.11</v>
      </c>
      <c r="J95" s="2714">
        <f t="shared" si="28"/>
        <v>0</v>
      </c>
      <c r="K95" s="2714">
        <f t="shared" si="29"/>
        <v>0</v>
      </c>
      <c r="L95" s="2714">
        <v>0</v>
      </c>
      <c r="M95" s="2714">
        <f t="shared" si="30"/>
        <v>0</v>
      </c>
      <c r="N95" s="2714">
        <f t="shared" si="30"/>
        <v>0</v>
      </c>
    </row>
    <row r="96" spans="1:37" ht="36.75">
      <c r="A96" s="2746" t="s">
        <v>3182</v>
      </c>
      <c r="B96" s="2752" t="s">
        <v>3193</v>
      </c>
      <c r="C96" s="1632"/>
      <c r="D96" s="2733">
        <f t="shared" si="31"/>
        <v>0</v>
      </c>
      <c r="E96" s="2750"/>
      <c r="F96" s="1436"/>
      <c r="G96" s="2740"/>
      <c r="H96" s="2788" t="str">
        <f t="shared" si="32"/>
        <v>——</v>
      </c>
      <c r="I96" s="2734">
        <v>0.05</v>
      </c>
      <c r="J96" s="2714">
        <f t="shared" si="28"/>
        <v>0</v>
      </c>
      <c r="K96" s="2714">
        <f t="shared" si="29"/>
        <v>0</v>
      </c>
      <c r="L96" s="2714">
        <v>0</v>
      </c>
      <c r="M96" s="2714">
        <f t="shared" si="30"/>
        <v>0</v>
      </c>
      <c r="N96" s="2714">
        <f t="shared" si="30"/>
        <v>0</v>
      </c>
    </row>
    <row r="97" spans="1:14" ht="24">
      <c r="A97" s="2746" t="s">
        <v>3183</v>
      </c>
      <c r="B97" s="2737">
        <f>估价对象房地状况!C24</f>
        <v>0</v>
      </c>
      <c r="C97" s="1632"/>
      <c r="D97" s="2733">
        <f t="shared" si="31"/>
        <v>0</v>
      </c>
      <c r="E97" s="2750"/>
      <c r="F97" s="1436"/>
      <c r="G97" s="2740"/>
      <c r="H97" s="2788" t="str">
        <f t="shared" si="32"/>
        <v>——</v>
      </c>
      <c r="I97" s="2734">
        <v>0.05</v>
      </c>
      <c r="J97" s="2714">
        <f t="shared" si="28"/>
        <v>0</v>
      </c>
      <c r="K97" s="2714">
        <f t="shared" si="29"/>
        <v>0</v>
      </c>
      <c r="L97" s="2714">
        <v>0</v>
      </c>
      <c r="M97" s="2714">
        <f t="shared" si="30"/>
        <v>0</v>
      </c>
      <c r="N97" s="2714">
        <f t="shared" si="30"/>
        <v>0</v>
      </c>
    </row>
    <row r="98" spans="1:14" ht="24">
      <c r="A98" s="2746" t="s">
        <v>3184</v>
      </c>
      <c r="B98" s="2753" t="s">
        <v>3194</v>
      </c>
      <c r="C98" s="1632"/>
      <c r="D98" s="2733">
        <f t="shared" si="31"/>
        <v>0</v>
      </c>
      <c r="E98" s="2750"/>
      <c r="F98" s="1436"/>
      <c r="G98" s="2740"/>
      <c r="H98" s="2788" t="str">
        <f t="shared" si="32"/>
        <v>——</v>
      </c>
      <c r="I98" s="2734">
        <v>0.06</v>
      </c>
      <c r="J98" s="2714">
        <f t="shared" si="28"/>
        <v>0</v>
      </c>
      <c r="K98" s="2714">
        <f t="shared" si="29"/>
        <v>0</v>
      </c>
      <c r="L98" s="2714">
        <v>0</v>
      </c>
      <c r="M98" s="2714">
        <f t="shared" si="30"/>
        <v>0</v>
      </c>
      <c r="N98" s="2714">
        <f t="shared" si="30"/>
        <v>0</v>
      </c>
    </row>
    <row r="99" spans="1:14" ht="25.5">
      <c r="A99" s="2746" t="s">
        <v>3185</v>
      </c>
      <c r="B99" s="2737" t="str">
        <f>估价对象房地状况!C21</f>
        <v>估价对象所在区域公共配套设施齐备情况</v>
      </c>
      <c r="C99" s="1632"/>
      <c r="D99" s="2733">
        <f t="shared" si="31"/>
        <v>0</v>
      </c>
      <c r="E99" s="2750"/>
      <c r="F99" s="1436"/>
      <c r="G99" s="2740"/>
      <c r="H99" s="2788" t="str">
        <f t="shared" si="32"/>
        <v>——</v>
      </c>
      <c r="I99" s="2734">
        <v>0.06</v>
      </c>
      <c r="J99" s="2714">
        <f t="shared" si="28"/>
        <v>0</v>
      </c>
      <c r="K99" s="2714">
        <f t="shared" si="29"/>
        <v>0</v>
      </c>
      <c r="L99" s="2714">
        <v>0</v>
      </c>
      <c r="M99" s="2714">
        <f t="shared" si="30"/>
        <v>0</v>
      </c>
      <c r="N99" s="2714">
        <f t="shared" si="30"/>
        <v>0</v>
      </c>
    </row>
    <row r="100" spans="1:14" ht="25.5">
      <c r="A100" s="2746" t="s">
        <v>3186</v>
      </c>
      <c r="B100" s="2737" t="str">
        <f>估价对象房地状况!C22</f>
        <v>估价对象所在区域基础设施水平</v>
      </c>
      <c r="C100" s="1632"/>
      <c r="D100" s="2733">
        <f t="shared" si="31"/>
        <v>0</v>
      </c>
      <c r="E100" s="2750"/>
      <c r="F100" s="1436"/>
      <c r="G100" s="2740"/>
      <c r="H100" s="2788" t="str">
        <f t="shared" si="32"/>
        <v>——</v>
      </c>
      <c r="I100" s="2734">
        <v>0.09</v>
      </c>
      <c r="J100" s="2714">
        <f t="shared" si="28"/>
        <v>0</v>
      </c>
      <c r="K100" s="2714">
        <f t="shared" si="29"/>
        <v>0</v>
      </c>
      <c r="L100" s="2714">
        <v>0</v>
      </c>
      <c r="M100" s="2714">
        <f t="shared" si="30"/>
        <v>0</v>
      </c>
      <c r="N100" s="2714">
        <f t="shared" si="30"/>
        <v>0</v>
      </c>
    </row>
    <row r="101" spans="1:14" ht="26.25" thickBot="1">
      <c r="A101" s="2747" t="s">
        <v>3187</v>
      </c>
      <c r="B101" s="2754" t="str">
        <f>估价对象房地状况!C20</f>
        <v>区域自然环境：；人文环境；综合评价环境状况一般</v>
      </c>
      <c r="C101" s="1632"/>
      <c r="D101" s="2733">
        <f t="shared" si="31"/>
        <v>0</v>
      </c>
      <c r="E101" s="2751"/>
      <c r="F101" s="1436"/>
      <c r="G101" s="2740"/>
      <c r="H101" s="2788" t="str">
        <f t="shared" si="32"/>
        <v>——</v>
      </c>
      <c r="I101" s="2735">
        <v>7.0000000000000007E-2</v>
      </c>
      <c r="J101" s="2714">
        <f t="shared" si="28"/>
        <v>0</v>
      </c>
      <c r="K101" s="2714">
        <f t="shared" si="29"/>
        <v>0</v>
      </c>
      <c r="L101" s="2714">
        <v>0</v>
      </c>
      <c r="M101" s="2714">
        <f t="shared" si="30"/>
        <v>0</v>
      </c>
      <c r="N101" s="2714">
        <f t="shared" si="30"/>
        <v>0</v>
      </c>
    </row>
    <row r="103" spans="1:14">
      <c r="A103" s="4862" t="s">
        <v>3202</v>
      </c>
      <c r="B103" s="4862"/>
      <c r="C103" s="4862"/>
      <c r="D103" s="4862"/>
      <c r="E103" s="4862"/>
      <c r="F103" s="4862"/>
      <c r="G103" s="4862"/>
      <c r="H103" s="4862"/>
      <c r="I103" s="4862"/>
      <c r="J103" s="4862"/>
      <c r="K103" s="2757"/>
      <c r="L103" s="2757"/>
      <c r="M103" s="2757"/>
      <c r="N103" s="2757"/>
    </row>
    <row r="104" spans="1:14">
      <c r="A104" s="4863" t="s">
        <v>3203</v>
      </c>
      <c r="B104" s="4863" t="s">
        <v>3204</v>
      </c>
      <c r="C104" s="2758" t="s">
        <v>3205</v>
      </c>
      <c r="D104" s="2759"/>
      <c r="E104" s="2759"/>
      <c r="F104" s="2759"/>
      <c r="G104" s="2759"/>
      <c r="H104" s="2759"/>
      <c r="I104" s="2759"/>
      <c r="J104" s="2760"/>
      <c r="K104" s="2761"/>
      <c r="L104" s="2761"/>
      <c r="M104" s="2761"/>
      <c r="N104" s="2761"/>
    </row>
    <row r="105" spans="1:14">
      <c r="A105" s="4863"/>
      <c r="B105" s="4863"/>
      <c r="C105" s="2762" t="s">
        <v>3206</v>
      </c>
      <c r="D105" s="2762" t="s">
        <v>3207</v>
      </c>
      <c r="E105" s="2762" t="s">
        <v>3208</v>
      </c>
      <c r="F105" s="2762" t="s">
        <v>3209</v>
      </c>
      <c r="G105" s="2762" t="s">
        <v>3210</v>
      </c>
      <c r="H105" s="2762" t="s">
        <v>3211</v>
      </c>
      <c r="I105" s="2762" t="s">
        <v>3212</v>
      </c>
      <c r="J105" s="2762" t="s">
        <v>3213</v>
      </c>
      <c r="K105" s="2762" t="s">
        <v>3214</v>
      </c>
      <c r="L105" s="2762" t="s">
        <v>3215</v>
      </c>
      <c r="M105" s="2762" t="s">
        <v>3216</v>
      </c>
      <c r="N105" s="2762" t="s">
        <v>3217</v>
      </c>
    </row>
    <row r="106" spans="1:14">
      <c r="A106" s="4853" t="s">
        <v>3218</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54"/>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54"/>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54"/>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54"/>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54"/>
      <c r="B111" s="2762" t="s">
        <v>3176</v>
      </c>
      <c r="C111" s="2763">
        <f>$I$3</f>
        <v>0</v>
      </c>
      <c r="D111" s="2763">
        <f t="shared" ref="D111:M111" si="33">$I$3</f>
        <v>0</v>
      </c>
      <c r="E111" s="2763">
        <f t="shared" si="33"/>
        <v>0</v>
      </c>
      <c r="F111" s="2763">
        <f t="shared" si="33"/>
        <v>0</v>
      </c>
      <c r="G111" s="2763">
        <f t="shared" si="33"/>
        <v>0</v>
      </c>
      <c r="H111" s="2763">
        <f t="shared" si="33"/>
        <v>0</v>
      </c>
      <c r="I111" s="2763">
        <f t="shared" si="33"/>
        <v>0</v>
      </c>
      <c r="J111" s="2763">
        <f t="shared" si="33"/>
        <v>0</v>
      </c>
      <c r="K111" s="2763">
        <f t="shared" si="33"/>
        <v>0</v>
      </c>
      <c r="L111" s="2763">
        <f t="shared" si="33"/>
        <v>0</v>
      </c>
      <c r="M111" s="2763">
        <f t="shared" si="33"/>
        <v>0</v>
      </c>
      <c r="N111" s="2763">
        <f>$I$3</f>
        <v>0</v>
      </c>
    </row>
    <row r="112" spans="1:14">
      <c r="A112" s="4855"/>
      <c r="B112" s="2762">
        <v>6</v>
      </c>
      <c r="C112" s="2755">
        <f>(-0.5556*(C111^2)-0.2719*C111+8944)*(10^(-4))</f>
        <v>0.89440000000000008</v>
      </c>
      <c r="D112" s="2755">
        <f>(-0.5556*(D111^2)-0.2719*D111+8944)*(10^(-4))</f>
        <v>0.89440000000000008</v>
      </c>
      <c r="E112" s="2755">
        <f>(-0.7912*(E111^2)-11.3794*E111+8482)*(10^(-4))</f>
        <v>0.84820000000000007</v>
      </c>
      <c r="F112" s="2755">
        <f t="shared" ref="F112:I112" si="34">(-0.7912*(F111^2)-11.3794*F111+8482)*(10^(-4))</f>
        <v>0.84820000000000007</v>
      </c>
      <c r="G112" s="2755">
        <f t="shared" si="34"/>
        <v>0.84820000000000007</v>
      </c>
      <c r="H112" s="2755">
        <f t="shared" si="34"/>
        <v>0.84820000000000007</v>
      </c>
      <c r="I112" s="2755">
        <f t="shared" si="34"/>
        <v>0.84820000000000007</v>
      </c>
      <c r="J112" s="2755">
        <f>(-0.989*(J111^2)-63.78*J111+7771)*(10^(-4))</f>
        <v>0.77710000000000001</v>
      </c>
      <c r="K112" s="2755">
        <f t="shared" ref="K112:N112" si="35">(-0.989*(K111^2)-63.78*K111+7771)*(10^(-4))</f>
        <v>0.77710000000000001</v>
      </c>
      <c r="L112" s="2755">
        <f t="shared" si="35"/>
        <v>0.77710000000000001</v>
      </c>
      <c r="M112" s="2755">
        <f t="shared" si="35"/>
        <v>0.77710000000000001</v>
      </c>
      <c r="N112" s="2755">
        <f t="shared" si="35"/>
        <v>0.77710000000000001</v>
      </c>
    </row>
    <row r="113" spans="1:14">
      <c r="A113" s="4856" t="s">
        <v>3219</v>
      </c>
      <c r="B113" s="4856"/>
      <c r="C113" s="4856"/>
      <c r="D113" s="4856"/>
      <c r="E113" s="4856"/>
      <c r="F113" s="4856"/>
      <c r="G113" s="4856"/>
      <c r="H113" s="4856"/>
      <c r="I113" s="4856"/>
      <c r="J113" s="4856"/>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3220</v>
      </c>
      <c r="B116" s="2783">
        <f>G3</f>
        <v>1</v>
      </c>
      <c r="C116" s="2767" t="s">
        <v>3221</v>
      </c>
      <c r="D116" s="2768">
        <f>SUMPRODUCT((A118:A122=F116)*(B117:M117=H116)*B118:M122)</f>
        <v>0.57150000000000001</v>
      </c>
      <c r="E116" s="1588" t="s">
        <v>3222</v>
      </c>
      <c r="F116" s="2769" t="str">
        <f>E2</f>
        <v>工业</v>
      </c>
      <c r="G116" s="1588" t="s">
        <v>3223</v>
      </c>
      <c r="H116" s="2769" t="str">
        <f>G2</f>
        <v>八级</v>
      </c>
      <c r="I116" s="1588"/>
      <c r="J116" s="2770"/>
      <c r="K116" s="2770"/>
      <c r="L116" s="2770"/>
      <c r="M116" s="2770"/>
      <c r="N116" s="2765"/>
    </row>
    <row r="117" spans="1:14">
      <c r="A117" s="2771"/>
      <c r="B117" s="2772" t="s">
        <v>3224</v>
      </c>
      <c r="C117" s="2772" t="s">
        <v>3225</v>
      </c>
      <c r="D117" s="2772" t="s">
        <v>3226</v>
      </c>
      <c r="E117" s="2773" t="s">
        <v>3227</v>
      </c>
      <c r="F117" s="2773" t="s">
        <v>3228</v>
      </c>
      <c r="G117" s="2773" t="s">
        <v>3229</v>
      </c>
      <c r="H117" s="2774" t="s">
        <v>3230</v>
      </c>
      <c r="I117" s="2774" t="s">
        <v>3231</v>
      </c>
      <c r="J117" s="2775" t="s">
        <v>3232</v>
      </c>
      <c r="K117" s="2775" t="s">
        <v>3233</v>
      </c>
      <c r="L117" s="2775" t="s">
        <v>3234</v>
      </c>
      <c r="M117" s="2776" t="s">
        <v>3235</v>
      </c>
      <c r="N117" s="2765"/>
    </row>
    <row r="118" spans="1:14">
      <c r="A118" s="2777" t="s">
        <v>3236</v>
      </c>
      <c r="B118" s="2755">
        <f>ROUND(0.9968-0.011*B116,4)</f>
        <v>0.98580000000000001</v>
      </c>
      <c r="C118" s="2755">
        <f>B118</f>
        <v>0.98580000000000001</v>
      </c>
      <c r="D118" s="2755">
        <f>ROUND(0.949-0.014*B116,4)</f>
        <v>0.93500000000000005</v>
      </c>
      <c r="E118" s="2755">
        <f>D118</f>
        <v>0.93500000000000005</v>
      </c>
      <c r="F118" s="2755">
        <f>E118</f>
        <v>0.93500000000000005</v>
      </c>
      <c r="G118" s="2755">
        <f>F118</f>
        <v>0.93500000000000005</v>
      </c>
      <c r="H118" s="2755">
        <f>G118</f>
        <v>0.93500000000000005</v>
      </c>
      <c r="I118" s="2755">
        <f>ROUND(0.8486-0.018*B116,4)</f>
        <v>0.8306</v>
      </c>
      <c r="J118" s="2755">
        <f t="shared" ref="J118:M122" si="36">I118</f>
        <v>0.8306</v>
      </c>
      <c r="K118" s="2755">
        <f t="shared" si="36"/>
        <v>0.8306</v>
      </c>
      <c r="L118" s="2755">
        <f t="shared" si="36"/>
        <v>0.8306</v>
      </c>
      <c r="M118" s="2778">
        <f t="shared" si="36"/>
        <v>0.8306</v>
      </c>
      <c r="N118" s="2765"/>
    </row>
    <row r="119" spans="1:14">
      <c r="A119" s="2777" t="s">
        <v>3237</v>
      </c>
      <c r="B119" s="2755">
        <f>ROUND(0.993-0.0112*B116,4)</f>
        <v>0.98180000000000001</v>
      </c>
      <c r="C119" s="2755">
        <f>B119</f>
        <v>0.98180000000000001</v>
      </c>
      <c r="D119" s="2755">
        <f>ROUND(0.9415-0.0142*B116,4)</f>
        <v>0.92730000000000001</v>
      </c>
      <c r="E119" s="2755">
        <f t="shared" ref="E119:H120" si="37">D119</f>
        <v>0.92730000000000001</v>
      </c>
      <c r="F119" s="2755">
        <f t="shared" si="37"/>
        <v>0.92730000000000001</v>
      </c>
      <c r="G119" s="2755">
        <f t="shared" si="37"/>
        <v>0.92730000000000001</v>
      </c>
      <c r="H119" s="2755">
        <f t="shared" si="37"/>
        <v>0.92730000000000001</v>
      </c>
      <c r="I119" s="2755">
        <f>ROUND(0.838-0.0182*B116,4)</f>
        <v>0.81979999999999997</v>
      </c>
      <c r="J119" s="2755">
        <f t="shared" si="36"/>
        <v>0.81979999999999997</v>
      </c>
      <c r="K119" s="2755">
        <f t="shared" si="36"/>
        <v>0.81979999999999997</v>
      </c>
      <c r="L119" s="2755">
        <f t="shared" si="36"/>
        <v>0.81979999999999997</v>
      </c>
      <c r="M119" s="2778">
        <f t="shared" si="36"/>
        <v>0.81979999999999997</v>
      </c>
      <c r="N119" s="2765"/>
    </row>
    <row r="120" spans="1:14">
      <c r="A120" s="2777" t="s">
        <v>3238</v>
      </c>
      <c r="B120" s="2755">
        <f>ROUND(0.9448-0.0115*B116,4)</f>
        <v>0.93330000000000002</v>
      </c>
      <c r="C120" s="2755">
        <f>B120</f>
        <v>0.93330000000000002</v>
      </c>
      <c r="D120" s="2755">
        <f>ROUND(0.937-0.0145*B116,4)</f>
        <v>0.92249999999999999</v>
      </c>
      <c r="E120" s="2755">
        <f t="shared" si="37"/>
        <v>0.92249999999999999</v>
      </c>
      <c r="F120" s="2755">
        <f t="shared" si="37"/>
        <v>0.92249999999999999</v>
      </c>
      <c r="G120" s="2755">
        <f t="shared" si="37"/>
        <v>0.92249999999999999</v>
      </c>
      <c r="H120" s="2755">
        <f t="shared" si="37"/>
        <v>0.92249999999999999</v>
      </c>
      <c r="I120" s="2755">
        <f>ROUND(0.7965-0.0185*B116,4)</f>
        <v>0.77800000000000002</v>
      </c>
      <c r="J120" s="2755">
        <f t="shared" si="36"/>
        <v>0.77800000000000002</v>
      </c>
      <c r="K120" s="2755">
        <f t="shared" si="36"/>
        <v>0.77800000000000002</v>
      </c>
      <c r="L120" s="2755">
        <f t="shared" si="36"/>
        <v>0.77800000000000002</v>
      </c>
      <c r="M120" s="2778">
        <f t="shared" si="36"/>
        <v>0.77800000000000002</v>
      </c>
      <c r="N120" s="2765"/>
    </row>
    <row r="121" spans="1:14" ht="13.5" thickBot="1">
      <c r="A121" s="2779" t="s">
        <v>3239</v>
      </c>
      <c r="B121" s="2780">
        <f>ROUND(0.7836-0.012*B116,4)</f>
        <v>0.77159999999999995</v>
      </c>
      <c r="C121" s="2780">
        <f>B121</f>
        <v>0.77159999999999995</v>
      </c>
      <c r="D121" s="2780">
        <f>ROUND(0.753-0.015*B116,4)</f>
        <v>0.73799999999999999</v>
      </c>
      <c r="E121" s="2780">
        <f>D121</f>
        <v>0.73799999999999999</v>
      </c>
      <c r="F121" s="2780">
        <f>E121</f>
        <v>0.73799999999999999</v>
      </c>
      <c r="G121" s="2780">
        <f>ROUND(0.6612-0.018*B116,4)</f>
        <v>0.64319999999999999</v>
      </c>
      <c r="H121" s="2780">
        <f>G121</f>
        <v>0.64319999999999999</v>
      </c>
      <c r="I121" s="2780">
        <f>ROUND(0.5905-0.019*B116,4)</f>
        <v>0.57150000000000001</v>
      </c>
      <c r="J121" s="2780">
        <f t="shared" si="36"/>
        <v>0.57150000000000001</v>
      </c>
      <c r="K121" s="2780">
        <f t="shared" si="36"/>
        <v>0.57150000000000001</v>
      </c>
      <c r="L121" s="2780">
        <f t="shared" si="36"/>
        <v>0.57150000000000001</v>
      </c>
      <c r="M121" s="2781">
        <f t="shared" si="36"/>
        <v>0.57150000000000001</v>
      </c>
      <c r="N121" s="2765"/>
    </row>
    <row r="122" spans="1:14">
      <c r="A122" s="2782" t="s">
        <v>2522</v>
      </c>
      <c r="B122" s="2755">
        <f>ROUND(0.9404-0.0106*B116,4)</f>
        <v>0.92979999999999996</v>
      </c>
      <c r="C122" s="2755">
        <f>B122</f>
        <v>0.92979999999999996</v>
      </c>
      <c r="D122" s="2755">
        <f>ROUND(0.8955-0.0135*B116,4)</f>
        <v>0.88200000000000001</v>
      </c>
      <c r="E122" s="2755">
        <f t="shared" ref="E122:H122" si="38">D122</f>
        <v>0.88200000000000001</v>
      </c>
      <c r="F122" s="2755">
        <f t="shared" si="38"/>
        <v>0.88200000000000001</v>
      </c>
      <c r="G122" s="2755">
        <f t="shared" si="38"/>
        <v>0.88200000000000001</v>
      </c>
      <c r="H122" s="2755">
        <f t="shared" si="38"/>
        <v>0.88200000000000001</v>
      </c>
      <c r="I122" s="2755">
        <f>ROUND(0.7632-0.0166*B116,4)</f>
        <v>0.74660000000000004</v>
      </c>
      <c r="J122" s="2755">
        <f t="shared" si="36"/>
        <v>0.74660000000000004</v>
      </c>
      <c r="K122" s="2755">
        <f t="shared" si="36"/>
        <v>0.74660000000000004</v>
      </c>
      <c r="L122" s="2755">
        <f t="shared" si="36"/>
        <v>0.74660000000000004</v>
      </c>
      <c r="M122" s="2778">
        <f t="shared" si="36"/>
        <v>0.74660000000000004</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3567</v>
      </c>
      <c r="B1" s="868"/>
      <c r="C1" s="869"/>
      <c r="D1" s="867"/>
      <c r="E1" s="2283"/>
      <c r="F1" s="2283"/>
      <c r="G1" s="2153"/>
      <c r="H1" s="2283"/>
      <c r="I1" s="2283"/>
      <c r="J1" s="2283"/>
      <c r="K1" s="2284">
        <f>MATCH(C1,'数据-取费表'!A6:A16,0)+5</f>
        <v>7</v>
      </c>
    </row>
    <row r="2" spans="1:33" ht="18" customHeight="1">
      <c r="A2" s="101" t="s">
        <v>1437</v>
      </c>
      <c r="B2" s="2851">
        <f ca="1">C34</f>
        <v>-3231</v>
      </c>
      <c r="C2" s="176" t="s">
        <v>1540</v>
      </c>
      <c r="D2" s="176"/>
      <c r="E2" s="2283"/>
      <c r="F2" s="2283"/>
      <c r="G2" s="2283"/>
      <c r="H2" s="2283"/>
      <c r="I2" s="2283"/>
      <c r="J2" s="2283"/>
      <c r="K2" s="2283"/>
    </row>
    <row r="3" spans="1:33" ht="18" customHeight="1">
      <c r="A3" s="103" t="s">
        <v>1439</v>
      </c>
      <c r="B3" s="2851">
        <f ca="1">ROUND(B2*10000/IF(C1="",'数据-汇总表'!E3,INDIRECT("'数据-取费表'!K"&amp;$K$1)),0)</f>
        <v>-2925</v>
      </c>
      <c r="C3" s="176" t="s">
        <v>1541</v>
      </c>
      <c r="D3" s="176"/>
      <c r="E3" s="2283"/>
      <c r="F3" s="2283"/>
      <c r="G3" s="2283"/>
      <c r="H3" s="2283"/>
      <c r="I3" s="2283"/>
      <c r="J3" s="2283"/>
      <c r="K3" s="2283"/>
    </row>
    <row r="4" spans="1:33" ht="18" customHeight="1">
      <c r="A4" s="3864" t="s">
        <v>3682</v>
      </c>
      <c r="B4" s="2850">
        <f ca="1">ROUND(B2*10000/IF(C1="",'数据-汇总表'!D3,INDIRECT("'数据-取费表'!R"&amp;$K$1)),0)</f>
        <v>-2046</v>
      </c>
      <c r="C4" s="1474" t="s">
        <v>3684</v>
      </c>
      <c r="D4" s="176"/>
      <c r="E4" s="2283"/>
      <c r="F4" s="2283"/>
      <c r="G4" s="2283"/>
      <c r="H4" s="2283"/>
      <c r="I4" s="2283"/>
      <c r="J4" s="2283"/>
      <c r="K4" s="2283"/>
    </row>
    <row r="5" spans="1:33" ht="18" customHeight="1" thickBot="1">
      <c r="A5" s="99"/>
      <c r="B5" s="3873">
        <f ca="1">ROUND(B2/(IF(C1="",'数据-汇总表'!D3,INDIRECT("'数据-取费表'!R"&amp;$K$1))/666.67),0)</f>
        <v>-136</v>
      </c>
      <c r="C5" s="3867" t="s">
        <v>3683</v>
      </c>
      <c r="D5" s="176"/>
      <c r="E5" s="2283"/>
      <c r="F5" s="2283"/>
      <c r="G5" s="2283"/>
      <c r="H5" s="2283"/>
      <c r="I5" s="2283"/>
      <c r="J5" s="2283"/>
      <c r="K5" s="2283"/>
    </row>
    <row r="6" spans="1:33" s="572" customFormat="1" ht="16.5" customHeight="1">
      <c r="A6" s="2999" t="s">
        <v>3571</v>
      </c>
      <c r="B6" s="2998"/>
      <c r="C6" s="4846" t="s">
        <v>3407</v>
      </c>
      <c r="D6" s="4846"/>
      <c r="E6" s="4846"/>
      <c r="F6" s="4846"/>
      <c r="G6" s="4846"/>
      <c r="H6" s="4846"/>
      <c r="I6" s="4846"/>
      <c r="J6" s="4846"/>
      <c r="K6" s="4847"/>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68" t="s">
        <v>3572</v>
      </c>
      <c r="B11" s="4869"/>
      <c r="C11" s="4869"/>
      <c r="D11" s="4869"/>
      <c r="E11" s="4869"/>
      <c r="F11" s="4869"/>
      <c r="G11" s="4869"/>
      <c r="H11" s="4869"/>
      <c r="I11" s="4869"/>
      <c r="J11" s="4869"/>
      <c r="K11" s="4870"/>
    </row>
    <row r="12" spans="1:33" s="580" customFormat="1" ht="13.5" customHeight="1">
      <c r="A12" s="3679" t="s">
        <v>3561</v>
      </c>
      <c r="B12" s="3023" t="s">
        <v>1548</v>
      </c>
      <c r="C12" s="3024" t="s">
        <v>1549</v>
      </c>
      <c r="D12" s="1278" t="s">
        <v>1550</v>
      </c>
      <c r="E12" s="1278" t="s">
        <v>1551</v>
      </c>
      <c r="F12" s="1278" t="s">
        <v>1552</v>
      </c>
      <c r="G12" s="3836" t="s">
        <v>3431</v>
      </c>
      <c r="H12" s="3837"/>
      <c r="I12" s="3837"/>
      <c r="J12" s="3837"/>
      <c r="K12" s="3838"/>
    </row>
    <row r="13" spans="1:33" s="580" customFormat="1" ht="13.5" customHeight="1">
      <c r="A13" s="3673">
        <v>1</v>
      </c>
      <c r="B13" s="3026" t="s">
        <v>3573</v>
      </c>
      <c r="C13" s="3010">
        <f>SUM(C10:K10)</f>
        <v>0</v>
      </c>
      <c r="D13" s="3672"/>
      <c r="E13" s="3672"/>
      <c r="F13" s="3694"/>
      <c r="G13" s="3825"/>
      <c r="H13" s="3824"/>
      <c r="I13" s="3824"/>
      <c r="J13" s="3824"/>
      <c r="K13" s="3839"/>
    </row>
    <row r="14" spans="1:33" s="580" customFormat="1" ht="13.5" customHeight="1">
      <c r="A14" s="3673">
        <v>2</v>
      </c>
      <c r="B14" s="3027" t="s">
        <v>3676</v>
      </c>
      <c r="C14" s="3010">
        <v>0</v>
      </c>
      <c r="D14" s="3027"/>
      <c r="E14" s="3027"/>
      <c r="F14" s="2927">
        <v>0</v>
      </c>
      <c r="G14" s="4042" t="s">
        <v>3727</v>
      </c>
      <c r="H14" s="3824"/>
      <c r="I14" s="3824"/>
      <c r="J14" s="3824"/>
      <c r="K14" s="3839"/>
    </row>
    <row r="15" spans="1:33" s="582" customFormat="1" ht="13.5" customHeight="1">
      <c r="A15" s="3673">
        <v>3</v>
      </c>
      <c r="B15" s="589" t="s">
        <v>3646</v>
      </c>
      <c r="C15" s="2862">
        <f ca="1">C32-C33</f>
        <v>3231</v>
      </c>
      <c r="D15" s="589"/>
      <c r="E15" s="178"/>
      <c r="F15" s="3695"/>
      <c r="G15" s="3826" t="s">
        <v>3591</v>
      </c>
      <c r="H15" s="585"/>
      <c r="I15" s="585"/>
      <c r="J15" s="585"/>
      <c r="K15" s="586"/>
    </row>
    <row r="16" spans="1:33" s="582" customFormat="1" ht="13.5" customHeight="1">
      <c r="A16" s="3840" t="s">
        <v>3641</v>
      </c>
      <c r="B16" s="3699" t="s">
        <v>3574</v>
      </c>
      <c r="C16" s="3700">
        <f ca="1">SUM(C17:C22)</f>
        <v>3675</v>
      </c>
      <c r="D16" s="3699"/>
      <c r="E16" s="3699"/>
      <c r="F16" s="3701"/>
      <c r="G16" s="2973"/>
      <c r="H16" s="3824"/>
      <c r="I16" s="3824"/>
      <c r="J16" s="3824"/>
      <c r="K16" s="3839"/>
    </row>
    <row r="17" spans="1:33" s="582" customFormat="1" ht="13.5" customHeight="1">
      <c r="A17" s="3841" t="s">
        <v>3592</v>
      </c>
      <c r="B17" s="3685" t="s">
        <v>3579</v>
      </c>
      <c r="C17" s="2828">
        <f ca="1">IF(C1="",'数据-取费表'!M16,INDIRECT("'数据-取费表'!M"&amp;$K$1)+INDIRECT("'数据-取费表'!ap"&amp;$K$1))</f>
        <v>3040</v>
      </c>
      <c r="D17" s="3702"/>
      <c r="E17" s="3703"/>
      <c r="F17" s="3715"/>
      <c r="G17" s="3827"/>
      <c r="H17" s="3824"/>
      <c r="I17" s="3824"/>
      <c r="J17" s="3824"/>
      <c r="K17" s="3839"/>
    </row>
    <row r="18" spans="1:33" s="582" customFormat="1" ht="13.5" customHeight="1">
      <c r="A18" s="3841" t="s">
        <v>3580</v>
      </c>
      <c r="B18" s="3686" t="s">
        <v>3581</v>
      </c>
      <c r="C18" s="2828">
        <f ca="1">ROUND(C17*F18,0)</f>
        <v>182</v>
      </c>
      <c r="D18" s="3699"/>
      <c r="E18" s="3699"/>
      <c r="F18" s="3716">
        <f>'数据-取费表'!B33</f>
        <v>0.06</v>
      </c>
      <c r="G18" s="2973"/>
      <c r="H18" s="3824"/>
      <c r="I18" s="3824"/>
      <c r="J18" s="3824"/>
      <c r="K18" s="3839"/>
    </row>
    <row r="19" spans="1:33" s="582" customFormat="1" ht="13.5" customHeight="1">
      <c r="A19" s="3841" t="s">
        <v>3593</v>
      </c>
      <c r="B19" s="3687" t="s">
        <v>3549</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3594</v>
      </c>
      <c r="B20" s="3687" t="s">
        <v>3602</v>
      </c>
      <c r="C20" s="2828">
        <f ca="1">ROUND(D20*E20/10000,0)</f>
        <v>331</v>
      </c>
      <c r="D20" s="3697">
        <f ca="1">IF(C1="",'数据-汇总表'!E3,INDIRECT("'数据-取费表'!K"&amp;$K$1)+INDIRECT("'数据-取费表'!S"&amp;$K$1))</f>
        <v>11046.05</v>
      </c>
      <c r="E20" s="3698">
        <f>'数据-取费表'!B35</f>
        <v>300</v>
      </c>
      <c r="F20" s="3697"/>
      <c r="G20" s="2824"/>
      <c r="H20" s="3824"/>
      <c r="I20" s="3824"/>
      <c r="J20" s="585"/>
      <c r="K20" s="586"/>
    </row>
    <row r="21" spans="1:33" s="582" customFormat="1" ht="13.5" customHeight="1">
      <c r="A21" s="3841" t="s">
        <v>3595</v>
      </c>
      <c r="B21" s="3688" t="s">
        <v>3552</v>
      </c>
      <c r="C21" s="2828">
        <f ca="1">ROUND(C17*F21,0)</f>
        <v>61</v>
      </c>
      <c r="D21" s="3704"/>
      <c r="E21" s="3704"/>
      <c r="F21" s="3716">
        <f>'数据-取费表'!B36</f>
        <v>0.02</v>
      </c>
      <c r="G21" s="2824"/>
      <c r="H21" s="3675"/>
      <c r="I21" s="3675"/>
      <c r="J21" s="3675"/>
      <c r="K21" s="3842"/>
    </row>
    <row r="22" spans="1:33" s="582" customFormat="1" ht="13.5" customHeight="1">
      <c r="A22" s="3841" t="s">
        <v>3596</v>
      </c>
      <c r="B22" s="3688" t="s">
        <v>3603</v>
      </c>
      <c r="C22" s="2828">
        <f ca="1">ROUND(C17*F22,0)</f>
        <v>61</v>
      </c>
      <c r="D22" s="3704"/>
      <c r="E22" s="3704"/>
      <c r="F22" s="3716">
        <f>'数据-取费表'!B37</f>
        <v>0.02</v>
      </c>
      <c r="G22" s="2824"/>
      <c r="H22" s="3675"/>
      <c r="I22" s="3675"/>
      <c r="J22" s="3675"/>
      <c r="K22" s="3842"/>
    </row>
    <row r="23" spans="1:33" s="583" customFormat="1" ht="13.5" customHeight="1">
      <c r="A23" s="3840" t="s">
        <v>3642</v>
      </c>
      <c r="B23" s="3699" t="s">
        <v>3538</v>
      </c>
      <c r="C23" s="2833">
        <f ca="1">ROUND(C16*F23,0)</f>
        <v>74</v>
      </c>
      <c r="D23" s="3705"/>
      <c r="E23" s="3705"/>
      <c r="F23" s="3717">
        <f>'数据-取费表'!B38</f>
        <v>0.02</v>
      </c>
      <c r="G23" s="2970" t="s">
        <v>3575</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3643</v>
      </c>
      <c r="B24" s="3699" t="s">
        <v>3582</v>
      </c>
      <c r="C24" s="2833" t="str">
        <f>F24&amp;"V建"</f>
        <v>0.02V建</v>
      </c>
      <c r="D24" s="3705"/>
      <c r="E24" s="3705"/>
      <c r="F24" s="3717">
        <f>'数据-取费表'!B39</f>
        <v>0.02</v>
      </c>
      <c r="G24" s="2970" t="s">
        <v>3576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3644</v>
      </c>
      <c r="B25" s="3699" t="s">
        <v>3456</v>
      </c>
      <c r="C25" s="3706" t="str">
        <f ca="1">C26&amp;"+"&amp;C27&amp;"V建"</f>
        <v>117+0.0004V建</v>
      </c>
      <c r="D25" s="3707"/>
      <c r="E25" s="3707"/>
      <c r="F25" s="3716">
        <f ca="1">'数据-取费表'!B41</f>
        <v>3.1300000000000001E-2</v>
      </c>
      <c r="G25" s="3828" t="s">
        <v>3583</v>
      </c>
      <c r="H25" s="3829"/>
      <c r="I25" s="3829"/>
      <c r="J25" s="3829"/>
      <c r="K25" s="3843"/>
    </row>
    <row r="26" spans="1:33" s="583" customFormat="1" ht="13.5" customHeight="1">
      <c r="A26" s="3841" t="s">
        <v>3584</v>
      </c>
      <c r="B26" s="3688" t="s">
        <v>3607</v>
      </c>
      <c r="C26" s="3706">
        <f ca="1">ROUND(IF('数据-取费表'!B20&lt;=1,(C16+C23)*F25*'数据-取费表'!B20/2,(C23+C16)*(POWER((1+F25),'数据-取费表'!B20/2)-1)),0)</f>
        <v>117</v>
      </c>
      <c r="D26" s="3707"/>
      <c r="E26" s="3707"/>
      <c r="F26" s="3697"/>
      <c r="G26" s="3828" t="s">
        <v>3585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3586</v>
      </c>
      <c r="B27" s="3688" t="s">
        <v>3608</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3587</v>
      </c>
      <c r="B28" s="3699" t="s">
        <v>3604</v>
      </c>
      <c r="C28" s="2996" t="str">
        <f ca="1">C29&amp;"+"&amp;C30&amp;"V建"</f>
        <v>187+0.001V建</v>
      </c>
      <c r="D28" s="1109"/>
      <c r="E28" s="1109"/>
      <c r="F28" s="3718">
        <f ca="1">IF(C1="",'数据-取费表'!Q16,INDIRECT("'数据-取费表'!q"&amp;$K$1))</f>
        <v>0.05</v>
      </c>
      <c r="G28" s="4871" t="s">
        <v>3588</v>
      </c>
      <c r="H28" s="3824"/>
      <c r="I28" s="3824"/>
      <c r="J28" s="3824"/>
      <c r="K28" s="3839"/>
    </row>
    <row r="29" spans="1:33" s="582" customFormat="1" ht="13.5" customHeight="1">
      <c r="A29" s="3841" t="s">
        <v>3600</v>
      </c>
      <c r="B29" s="3688" t="s">
        <v>3605</v>
      </c>
      <c r="C29" s="2997">
        <f ca="1">ROUND((C16+C23)*F28,0)</f>
        <v>187</v>
      </c>
      <c r="D29" s="1109"/>
      <c r="E29" s="1109"/>
      <c r="F29" s="3077"/>
      <c r="G29" s="4871"/>
      <c r="H29" s="3831"/>
      <c r="I29" s="3831"/>
      <c r="J29" s="3831"/>
      <c r="K29" s="3844"/>
    </row>
    <row r="30" spans="1:33" s="590" customFormat="1" ht="13.5" customHeight="1">
      <c r="A30" s="3841" t="s">
        <v>3601</v>
      </c>
      <c r="B30" s="3688" t="s">
        <v>3606</v>
      </c>
      <c r="C30" s="2828">
        <f ca="1">ROUND(F24*F28,4)</f>
        <v>1E-3</v>
      </c>
      <c r="D30" s="3709"/>
      <c r="E30" s="3707"/>
      <c r="F30" s="3697"/>
      <c r="G30" s="3832"/>
      <c r="H30" s="585"/>
      <c r="I30" s="585"/>
      <c r="J30" s="585"/>
      <c r="K30" s="586"/>
    </row>
    <row r="31" spans="1:33" s="590" customFormat="1" ht="13.5" customHeight="1">
      <c r="A31" s="3840" t="s">
        <v>3597</v>
      </c>
      <c r="B31" s="3699" t="s">
        <v>3609</v>
      </c>
      <c r="C31" s="2828">
        <v>0</v>
      </c>
      <c r="D31" s="3710"/>
      <c r="E31" s="3711"/>
      <c r="F31" s="3697"/>
      <c r="G31" s="3833" t="s">
        <v>3577</v>
      </c>
      <c r="H31" s="585"/>
      <c r="I31" s="585"/>
      <c r="J31" s="585"/>
      <c r="K31" s="586"/>
    </row>
    <row r="32" spans="1:33" s="582" customFormat="1" ht="13.5" customHeight="1">
      <c r="A32" s="3840" t="s">
        <v>3598</v>
      </c>
      <c r="B32" s="3699" t="s">
        <v>3645</v>
      </c>
      <c r="C32" s="3700">
        <f ca="1">ROUND((C16+C23+C26+C29)/(1-F24-C27-C30),0)</f>
        <v>4142</v>
      </c>
      <c r="D32" s="3710"/>
      <c r="E32" s="3711"/>
      <c r="F32" s="3697"/>
      <c r="G32" s="3834" t="s">
        <v>3578</v>
      </c>
      <c r="H32" s="3835"/>
      <c r="I32" s="3835"/>
      <c r="J32" s="3835"/>
      <c r="K32" s="3845"/>
    </row>
    <row r="33" spans="1:11" s="181" customFormat="1" ht="13.5" customHeight="1">
      <c r="A33" s="3840" t="s">
        <v>3599</v>
      </c>
      <c r="B33" s="3712" t="s">
        <v>3589</v>
      </c>
      <c r="C33" s="3713">
        <f ca="1">ROUND(C32*(1-F33),0)</f>
        <v>911</v>
      </c>
      <c r="D33" s="3714"/>
      <c r="E33" s="3676"/>
      <c r="F33" s="3717">
        <f>IF('数据-取费表'!B24=0,'数据-取费表'!N16,1)</f>
        <v>0.78</v>
      </c>
      <c r="G33" s="3826" t="s">
        <v>3590</v>
      </c>
      <c r="H33" s="3831"/>
      <c r="I33" s="3831"/>
      <c r="J33" s="3831"/>
      <c r="K33" s="3844"/>
    </row>
    <row r="34" spans="1:11" s="580" customFormat="1" ht="15.75" thickBot="1">
      <c r="A34" s="3846">
        <v>4</v>
      </c>
      <c r="B34" s="3847" t="s">
        <v>3647</v>
      </c>
      <c r="C34" s="3848">
        <f ca="1">C13-C15</f>
        <v>-3231</v>
      </c>
      <c r="D34" s="3847"/>
      <c r="E34" s="3847"/>
      <c r="F34" s="3849"/>
      <c r="G34" s="3850" t="s">
        <v>3675</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0"/>
      <c r="C2" s="4480"/>
      <c r="D2" s="4480"/>
      <c r="E2" s="4480"/>
    </row>
    <row r="3" spans="1:5" ht="18">
      <c r="A3" s="4481" t="str">
        <f>IF(项目基本情况!B9="房地产市场价值","估价结果一览表（市场价值不需“结果表-1”）","估价结果一览表")</f>
        <v>估价结果一览表</v>
      </c>
      <c r="B3" s="4481"/>
      <c r="C3" s="4481"/>
      <c r="D3" s="4481"/>
      <c r="E3" s="4481"/>
    </row>
    <row r="4" spans="1:5" ht="19.5" thickBot="1">
      <c r="A4" s="1138"/>
      <c r="B4" s="4479" t="s">
        <v>904</v>
      </c>
      <c r="C4" s="4479"/>
      <c r="D4" s="4479"/>
      <c r="E4" s="1138"/>
    </row>
    <row r="5" spans="1:5" ht="16.5" thickTop="1">
      <c r="A5" s="1136"/>
      <c r="B5" s="4477" t="s">
        <v>896</v>
      </c>
      <c r="C5" s="1139" t="s">
        <v>897</v>
      </c>
      <c r="D5" s="603">
        <f ca="1">结果表!H101</f>
        <v>5525</v>
      </c>
      <c r="E5" s="1136"/>
    </row>
    <row r="6" spans="1:5" ht="15.75">
      <c r="A6" s="1136"/>
      <c r="B6" s="4477"/>
      <c r="C6" s="1139" t="s">
        <v>898</v>
      </c>
      <c r="D6" s="603" t="str">
        <f ca="1">NUMBERSTRING(INT(D5*10000),2)&amp;"元整"</f>
        <v>伍仟伍佰贰拾伍万元整</v>
      </c>
      <c r="E6" s="1136"/>
    </row>
    <row r="7" spans="1:5" ht="15.75">
      <c r="A7" s="1136"/>
      <c r="B7" s="4482"/>
      <c r="C7" s="1140" t="s">
        <v>899</v>
      </c>
      <c r="D7" s="604">
        <f ca="1">结果表!H102</f>
        <v>5002</v>
      </c>
      <c r="E7" s="1136"/>
    </row>
    <row r="8" spans="1:5" ht="15.75">
      <c r="A8" s="1136"/>
      <c r="B8" s="4483" t="str">
        <f>结果表!E103</f>
        <v>2.估价师知悉的法定优先受偿款</v>
      </c>
      <c r="C8" s="1141" t="s">
        <v>900</v>
      </c>
      <c r="D8" s="604">
        <f>结果表!H103</f>
        <v>0</v>
      </c>
      <c r="E8" s="1136"/>
    </row>
    <row r="9" spans="1:5" ht="15.75">
      <c r="A9" s="1136"/>
      <c r="B9" s="4485"/>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76" t="str">
        <f>结果表!E107</f>
        <v>3.房地产抵押价值</v>
      </c>
      <c r="C13" s="1144" t="s">
        <v>897</v>
      </c>
      <c r="D13" s="606">
        <f ca="1">结果表!H107</f>
        <v>5525</v>
      </c>
      <c r="E13" s="1136"/>
    </row>
    <row r="14" spans="1:5" ht="15.75">
      <c r="A14" s="1136"/>
      <c r="B14" s="4477"/>
      <c r="C14" s="1139" t="s">
        <v>898</v>
      </c>
      <c r="D14" s="603" t="str">
        <f ca="1">NUMBERSTRING(INT(D13*10000),2)&amp;"元整"</f>
        <v>伍仟伍佰贰拾伍万元整</v>
      </c>
      <c r="E14" s="1136"/>
    </row>
    <row r="15" spans="1:5" ht="15">
      <c r="A15" s="1136"/>
      <c r="B15" s="4482"/>
      <c r="C15" s="1140" t="s">
        <v>908</v>
      </c>
      <c r="D15" s="611">
        <f ca="1">结果表!H108</f>
        <v>5002</v>
      </c>
      <c r="E15" s="1136"/>
    </row>
    <row r="16" spans="1:5" ht="15">
      <c r="A16" s="1136"/>
      <c r="B16" s="4483" t="str">
        <f>结果表!E109</f>
        <v>——</v>
      </c>
      <c r="C16" s="1144" t="s">
        <v>909</v>
      </c>
      <c r="D16" s="1145" t="str">
        <f>结果表!H109</f>
        <v>——</v>
      </c>
      <c r="E16" s="1136"/>
    </row>
    <row r="17" spans="1:5" ht="15.75">
      <c r="A17" s="1136"/>
      <c r="B17" s="4484"/>
      <c r="C17" s="1139" t="s">
        <v>910</v>
      </c>
      <c r="D17" s="603" t="e">
        <f>NUMBERSTRING(INT(D16*10000),2)&amp;"元整"</f>
        <v>#VALUE!</v>
      </c>
      <c r="E17" s="1136"/>
    </row>
    <row r="18" spans="1:5" ht="15">
      <c r="A18" s="1136"/>
      <c r="B18" s="4485"/>
      <c r="C18" s="1140" t="s">
        <v>899</v>
      </c>
      <c r="D18" s="611" t="str">
        <f>结果表!H110</f>
        <v>——</v>
      </c>
      <c r="E18" s="1136"/>
    </row>
    <row r="19" spans="1:5" ht="15.75">
      <c r="A19" s="1136"/>
      <c r="B19" s="4476" t="str">
        <f>结果表!E111</f>
        <v>——</v>
      </c>
      <c r="C19" s="1144" t="s">
        <v>897</v>
      </c>
      <c r="D19" s="604" t="str">
        <f>结果表!H111</f>
        <v>——</v>
      </c>
      <c r="E19" s="1136"/>
    </row>
    <row r="20" spans="1:5" ht="15.75">
      <c r="A20" s="1136"/>
      <c r="B20" s="4477"/>
      <c r="C20" s="1139" t="s">
        <v>910</v>
      </c>
      <c r="D20" s="603" t="e">
        <f>NUMBERSTRING(INT(D19*10000),2)&amp;"元整"</f>
        <v>#VALUE!</v>
      </c>
      <c r="E20" s="1136"/>
    </row>
    <row r="21" spans="1:5" ht="15.75" thickBot="1">
      <c r="A21" s="1136"/>
      <c r="B21" s="4478"/>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3568</v>
      </c>
      <c r="B1" s="3692"/>
      <c r="C1" s="3211"/>
      <c r="D1" s="98"/>
      <c r="E1" s="98"/>
      <c r="F1" s="98"/>
      <c r="G1" s="830">
        <f>MATCH(C1,'数据-取费表'!A6:A16,0)+5</f>
        <v>7</v>
      </c>
    </row>
    <row r="2" spans="1:7" s="100" customFormat="1" ht="15.75">
      <c r="A2" s="101" t="s">
        <v>1437</v>
      </c>
      <c r="B2" s="2850">
        <f ca="1">C34</f>
        <v>746</v>
      </c>
      <c r="C2" s="99" t="s">
        <v>1438</v>
      </c>
      <c r="D2" s="99"/>
      <c r="E2" s="2837"/>
      <c r="F2" s="99"/>
      <c r="G2" s="99"/>
    </row>
    <row r="3" spans="1:7" s="100" customFormat="1" ht="15.75">
      <c r="A3" s="103" t="s">
        <v>1439</v>
      </c>
      <c r="B3" s="2851">
        <f ca="1">ROUND(B2*10000/(IF(C1="",'数据-汇总表'!E3,INDIRECT("'数据-取费表'!k"&amp;$G$1))),0)</f>
        <v>675</v>
      </c>
      <c r="C3" s="99" t="s">
        <v>1440</v>
      </c>
      <c r="D3" s="99"/>
      <c r="E3" s="2837"/>
      <c r="F3" s="99"/>
      <c r="G3" s="99"/>
    </row>
    <row r="4" spans="1:7" s="100" customFormat="1" ht="15.75">
      <c r="A4" s="3864" t="s">
        <v>3682</v>
      </c>
      <c r="B4" s="2850">
        <f ca="1">ROUND(B2*10000/'数据-汇总表'!D3,0)</f>
        <v>472</v>
      </c>
      <c r="C4" s="101" t="s">
        <v>3684</v>
      </c>
      <c r="D4" s="99"/>
      <c r="E4" s="2837"/>
      <c r="F4" s="99"/>
      <c r="G4" s="99"/>
    </row>
    <row r="5" spans="1:7" s="100" customFormat="1" ht="16.5" thickBot="1">
      <c r="A5" s="99"/>
      <c r="B5" s="3873">
        <f ca="1">ROUND(B2/('数据-汇总表'!D3/666.67),0)</f>
        <v>31</v>
      </c>
      <c r="C5" s="3858" t="s">
        <v>3683</v>
      </c>
      <c r="D5" s="99"/>
      <c r="E5" s="2837"/>
      <c r="F5" s="99"/>
      <c r="G5" s="99"/>
    </row>
    <row r="6" spans="1:7" s="100" customFormat="1" ht="15.75">
      <c r="A6" s="3738" t="s">
        <v>3352</v>
      </c>
      <c r="B6" s="3739" t="s">
        <v>3353</v>
      </c>
      <c r="C6" s="3740" t="s">
        <v>3354</v>
      </c>
      <c r="D6" s="3741" t="s">
        <v>3360</v>
      </c>
      <c r="E6" s="3742" t="s">
        <v>3361</v>
      </c>
      <c r="F6" s="3742" t="s">
        <v>3362</v>
      </c>
      <c r="G6" s="3743" t="s">
        <v>3355</v>
      </c>
    </row>
    <row r="7" spans="1:7" s="108" customFormat="1" ht="15.75">
      <c r="A7" s="3744" t="s">
        <v>3351</v>
      </c>
      <c r="B7" s="2830" t="s">
        <v>3627</v>
      </c>
      <c r="C7" s="2853">
        <f>IF(G7="征收国有地",C8,IF(G7="征收集体地",C11,C17))</f>
        <v>0</v>
      </c>
      <c r="D7" s="3725"/>
      <c r="E7" s="3725"/>
      <c r="F7" s="3725"/>
      <c r="G7" s="3806"/>
    </row>
    <row r="8" spans="1:7" s="114" customFormat="1">
      <c r="A8" s="3745" t="s">
        <v>3651</v>
      </c>
      <c r="B8" s="3733" t="s">
        <v>3622</v>
      </c>
      <c r="C8" s="2890">
        <f>C9+C10</f>
        <v>0</v>
      </c>
      <c r="D8" s="3690"/>
      <c r="E8" s="3690"/>
      <c r="F8" s="3690"/>
      <c r="G8" s="3723"/>
    </row>
    <row r="9" spans="1:7" s="114" customFormat="1">
      <c r="A9" s="2911" t="s">
        <v>1457</v>
      </c>
      <c r="B9" s="3731" t="s">
        <v>3610</v>
      </c>
      <c r="C9" s="3887">
        <f>ROUND(D9*E9/10000,0)</f>
        <v>0</v>
      </c>
      <c r="D9" s="3721"/>
      <c r="E9" s="3721"/>
      <c r="F9" s="3690"/>
      <c r="G9" s="3746"/>
    </row>
    <row r="10" spans="1:7" s="114" customFormat="1">
      <c r="A10" s="2911" t="s">
        <v>1460</v>
      </c>
      <c r="B10" s="3731" t="s">
        <v>3611</v>
      </c>
      <c r="C10" s="3887">
        <f>ROUND(D10*E10/10000,0)</f>
        <v>0</v>
      </c>
      <c r="D10" s="3721"/>
      <c r="E10" s="3721"/>
      <c r="F10" s="3690"/>
      <c r="G10" s="3746"/>
    </row>
    <row r="11" spans="1:7" s="114" customFormat="1" ht="13.5">
      <c r="A11" s="3691" t="s">
        <v>3633</v>
      </c>
      <c r="B11" s="3801" t="s">
        <v>3623</v>
      </c>
      <c r="C11" s="141">
        <f>C12+C15+C16</f>
        <v>0</v>
      </c>
      <c r="D11" s="3690"/>
      <c r="E11" s="3690"/>
      <c r="F11" s="3690"/>
      <c r="G11" s="3746"/>
    </row>
    <row r="12" spans="1:7" s="114" customFormat="1">
      <c r="A12" s="2911" t="s">
        <v>1457</v>
      </c>
      <c r="B12" s="3731" t="s">
        <v>3612</v>
      </c>
      <c r="C12" s="3731">
        <f>C13+C14</f>
        <v>0</v>
      </c>
      <c r="D12" s="1092"/>
      <c r="E12" s="1092"/>
      <c r="F12" s="3690"/>
      <c r="G12" s="3747" t="s">
        <v>3613</v>
      </c>
    </row>
    <row r="13" spans="1:7" s="114" customFormat="1">
      <c r="A13" s="3802" t="s">
        <v>3635</v>
      </c>
      <c r="B13" s="3803" t="s">
        <v>3634</v>
      </c>
      <c r="C13" s="3887">
        <f>ROUND(D13*E13/10000,0)</f>
        <v>0</v>
      </c>
      <c r="D13" s="3721"/>
      <c r="E13" s="3721"/>
      <c r="F13" s="3690"/>
      <c r="G13" s="3748" t="s">
        <v>3715</v>
      </c>
    </row>
    <row r="14" spans="1:7" s="114" customFormat="1">
      <c r="A14" s="3802" t="s">
        <v>3637</v>
      </c>
      <c r="B14" s="3803" t="s">
        <v>3636</v>
      </c>
      <c r="C14" s="3721">
        <v>0</v>
      </c>
      <c r="D14" s="1092"/>
      <c r="E14" s="1092"/>
      <c r="F14" s="3690"/>
      <c r="G14" s="3748"/>
    </row>
    <row r="15" spans="1:7" s="114" customFormat="1">
      <c r="A15" s="2911" t="s">
        <v>1460</v>
      </c>
      <c r="B15" s="3731" t="s">
        <v>3614</v>
      </c>
      <c r="C15" s="3887">
        <f t="shared" ref="C15" si="0">ROUND(D15*E15/10000,0)</f>
        <v>0</v>
      </c>
      <c r="D15" s="3721"/>
      <c r="E15" s="3721"/>
      <c r="F15" s="3690"/>
      <c r="G15" s="3748" t="s">
        <v>3615</v>
      </c>
    </row>
    <row r="16" spans="1:7" s="114" customFormat="1">
      <c r="A16" s="2911" t="s">
        <v>3626</v>
      </c>
      <c r="B16" s="3734" t="s">
        <v>3616</v>
      </c>
      <c r="C16" s="3887">
        <f>C13*F16</f>
        <v>0</v>
      </c>
      <c r="D16" s="3721"/>
      <c r="E16" s="3721"/>
      <c r="F16" s="3888">
        <v>0.25</v>
      </c>
      <c r="G16" s="3816" t="s">
        <v>3617</v>
      </c>
    </row>
    <row r="17" spans="1:9" s="114" customFormat="1" ht="13.5">
      <c r="A17" s="3691" t="s">
        <v>337</v>
      </c>
      <c r="B17" s="3733" t="s">
        <v>3624</v>
      </c>
      <c r="C17" s="2849">
        <f>C18+C19</f>
        <v>0</v>
      </c>
      <c r="D17" s="3808"/>
      <c r="E17" s="3809"/>
      <c r="F17" s="2881"/>
      <c r="G17" s="3817"/>
    </row>
    <row r="18" spans="1:9" s="114" customFormat="1">
      <c r="A18" s="3689" t="s">
        <v>347</v>
      </c>
      <c r="B18" s="3734" t="s">
        <v>1448</v>
      </c>
      <c r="C18" s="3433"/>
      <c r="D18" s="3810"/>
      <c r="E18" s="3809"/>
      <c r="F18" s="2880"/>
      <c r="G18" s="3889" t="s">
        <v>3716</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3652</v>
      </c>
      <c r="B20" s="2830" t="s">
        <v>3625</v>
      </c>
      <c r="C20" s="2862">
        <f ca="1">C21+C24+C25</f>
        <v>773</v>
      </c>
      <c r="D20" s="3811"/>
      <c r="E20" s="3812"/>
      <c r="F20" s="2885"/>
      <c r="G20" s="3818"/>
    </row>
    <row r="21" spans="1:9" s="123" customFormat="1" ht="15">
      <c r="A21" s="3749" t="s">
        <v>3648</v>
      </c>
      <c r="B21" s="3726" t="s">
        <v>3344</v>
      </c>
      <c r="C21" s="2890">
        <f ca="1">IF(G21="已包含在土地购买价格中","0",IF(C1="",'数据-取费表'!B29,IF(G22="全部缴纳",C22+C23,H22)))</f>
        <v>221</v>
      </c>
      <c r="D21" s="3813"/>
      <c r="E21" s="3814"/>
      <c r="F21" s="3722"/>
      <c r="G21" s="1476"/>
    </row>
    <row r="22" spans="1:9" s="114" customFormat="1">
      <c r="A22" s="2832" t="s">
        <v>3631</v>
      </c>
      <c r="B22" s="3727" t="s">
        <v>1453</v>
      </c>
      <c r="C22" s="2889">
        <f ca="1">ROUND(D22*E22/10000,0)</f>
        <v>0</v>
      </c>
      <c r="D22" s="3719">
        <f ca="1">IF(C1="",'数据-汇总表'!E5,IF(INDIRECT("'数据-取费表'!c"&amp;$G$1)="住宅",INDIRECT("'数据-取费表'!k"&amp;$G$1),0))</f>
        <v>0</v>
      </c>
      <c r="E22" s="3719">
        <f>'数据-取费表'!B27</f>
        <v>0</v>
      </c>
      <c r="F22" s="2881"/>
      <c r="G22" s="1477"/>
      <c r="H22" s="838"/>
      <c r="I22" s="1478" t="s">
        <v>1454</v>
      </c>
    </row>
    <row r="23" spans="1:9" s="114" customFormat="1">
      <c r="A23" s="2832" t="s">
        <v>3632</v>
      </c>
      <c r="B23" s="3727" t="s">
        <v>1455</v>
      </c>
      <c r="C23" s="2889">
        <f ca="1">ROUND(D23*E23/10000,0)</f>
        <v>221</v>
      </c>
      <c r="D23" s="3719">
        <f ca="1">IF(C1="",'数据-汇总表'!E6,IF(INDIRECT("'数据-取费表'!c"&amp;$G$1)="住宅",INDIRECT("'数据-取费表'!s"&amp;$G$1),INDIRECT("'数据-取费表'!k"&amp;$G$1)+INDIRECT("'数据-取费表'!s"&amp;$G$1)))</f>
        <v>11046.05</v>
      </c>
      <c r="E23" s="3719">
        <f>'数据-取费表'!B28</f>
        <v>200</v>
      </c>
      <c r="F23" s="2881"/>
      <c r="G23" s="3819"/>
    </row>
    <row r="24" spans="1:9" s="114" customFormat="1" ht="13.5">
      <c r="A24" s="3691" t="s">
        <v>3633</v>
      </c>
      <c r="B24" s="3728" t="s">
        <v>3649</v>
      </c>
      <c r="C24" s="2890">
        <f ca="1">IF(G24="已包含在土地取得成本中","0",ROUND(D24*E24/10000,0))</f>
        <v>221</v>
      </c>
      <c r="D24" s="3720">
        <f ca="1">D22+D23</f>
        <v>11046.05</v>
      </c>
      <c r="E24" s="3720">
        <f>'数据-取费表'!B31</f>
        <v>200</v>
      </c>
      <c r="F24" s="3729"/>
      <c r="G24" s="1476"/>
    </row>
    <row r="25" spans="1:9" s="114" customFormat="1" ht="13.5">
      <c r="A25" s="3691" t="s">
        <v>337</v>
      </c>
      <c r="B25" s="3728" t="s">
        <v>3650</v>
      </c>
      <c r="C25" s="2890">
        <f ca="1">ROUND(E25*D25/10000,0)</f>
        <v>331</v>
      </c>
      <c r="D25" s="3720">
        <f ca="1">D24</f>
        <v>11046.05</v>
      </c>
      <c r="E25" s="3720">
        <f>'数据-取费表'!B35</f>
        <v>300</v>
      </c>
      <c r="F25" s="3722"/>
      <c r="G25" s="3820"/>
    </row>
    <row r="26" spans="1:9" s="108" customFormat="1" ht="15.75">
      <c r="A26" s="3744" t="s">
        <v>3653</v>
      </c>
      <c r="B26" s="2830" t="s">
        <v>3654</v>
      </c>
      <c r="C26" s="2850">
        <f>C27+C28</f>
        <v>0</v>
      </c>
      <c r="D26" s="3815"/>
      <c r="E26" s="3815"/>
      <c r="F26" s="3722"/>
      <c r="G26" s="3821"/>
    </row>
    <row r="27" spans="1:9" s="114" customFormat="1">
      <c r="A27" s="3745" t="s">
        <v>3651</v>
      </c>
      <c r="B27" s="3730" t="s">
        <v>3618</v>
      </c>
      <c r="C27" s="2890">
        <f>ROUND(E27*D27/10000,0)</f>
        <v>0</v>
      </c>
      <c r="D27" s="3732"/>
      <c r="E27" s="3754">
        <v>25</v>
      </c>
      <c r="F27" s="3722"/>
      <c r="G27" s="3816" t="s">
        <v>3619</v>
      </c>
    </row>
    <row r="28" spans="1:9" s="114" customFormat="1">
      <c r="A28" s="3750" t="s">
        <v>3633</v>
      </c>
      <c r="B28" s="3730" t="s">
        <v>3620</v>
      </c>
      <c r="C28" s="2890">
        <f>ROUND(E28*D28/10000,0)</f>
        <v>0</v>
      </c>
      <c r="D28" s="3732"/>
      <c r="E28" s="3754">
        <v>60.1</v>
      </c>
      <c r="F28" s="3722"/>
      <c r="G28" s="3816" t="s">
        <v>3621</v>
      </c>
    </row>
    <row r="29" spans="1:9" s="2861" customFormat="1" ht="15.75">
      <c r="A29" s="3744" t="s">
        <v>3655</v>
      </c>
      <c r="B29" s="2830" t="s">
        <v>3656</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3657</v>
      </c>
      <c r="B30" s="2830" t="s">
        <v>3658</v>
      </c>
      <c r="C30" s="2868">
        <f ca="1">ROUND((C7+C20+C26)*F30,0)</f>
        <v>39</v>
      </c>
      <c r="D30" s="2866"/>
      <c r="E30" s="303"/>
      <c r="F30" s="3735">
        <f ca="1">IF(C1="",'数据-取费表'!Q16,INDIRECT("'数据-取费表'!q"&amp;$G$1))</f>
        <v>0.05</v>
      </c>
      <c r="G30" s="3822"/>
    </row>
    <row r="31" spans="1:9" s="114" customFormat="1" ht="15.75">
      <c r="A31" s="2831" t="s">
        <v>3638</v>
      </c>
      <c r="B31" s="2830" t="s">
        <v>3630</v>
      </c>
      <c r="C31" s="2853">
        <f ca="1">C7+C20+C29+C30</f>
        <v>812</v>
      </c>
      <c r="D31" s="2843"/>
      <c r="E31" s="2843"/>
      <c r="F31" s="2842"/>
      <c r="G31" s="2844" t="s">
        <v>3661</v>
      </c>
    </row>
    <row r="32" spans="1:9" s="114" customFormat="1" ht="15.75">
      <c r="A32" s="2831" t="s">
        <v>3629</v>
      </c>
      <c r="B32" s="2830" t="s">
        <v>3628</v>
      </c>
      <c r="C32" s="3805">
        <f ca="1">ROUND(C31*F32,0)</f>
        <v>81</v>
      </c>
      <c r="D32" s="135"/>
      <c r="E32" s="136"/>
      <c r="F32" s="3736">
        <v>0.1</v>
      </c>
      <c r="G32" s="3823"/>
    </row>
    <row r="33" spans="1:7" s="114" customFormat="1" ht="15.75">
      <c r="A33" s="3804">
        <v>8</v>
      </c>
      <c r="B33" s="2830" t="s">
        <v>3640</v>
      </c>
      <c r="C33" s="2853">
        <f ca="1">C31+C32</f>
        <v>893</v>
      </c>
      <c r="D33" s="2843"/>
      <c r="E33" s="2843"/>
      <c r="F33" s="3737"/>
      <c r="G33" s="2844" t="s">
        <v>3660</v>
      </c>
    </row>
    <row r="34" spans="1:7" s="123" customFormat="1" ht="16.5" thickBot="1">
      <c r="A34" s="3751">
        <v>9</v>
      </c>
      <c r="B34" s="3752" t="s">
        <v>3639</v>
      </c>
      <c r="C34" s="2853">
        <f ca="1">ROUND(C33*F34,0)</f>
        <v>746</v>
      </c>
      <c r="D34" s="3753"/>
      <c r="E34" s="3753"/>
      <c r="F34" s="3807">
        <f>'数据-取费表'!AS16</f>
        <v>0.83499999999999996</v>
      </c>
      <c r="G34" s="2844" t="s">
        <v>3662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2504</v>
      </c>
      <c r="B1" s="2481" t="s">
        <v>2505</v>
      </c>
      <c r="C1" s="2481" t="s">
        <v>2506</v>
      </c>
      <c r="D1" s="2481" t="s">
        <v>2507</v>
      </c>
      <c r="E1" s="2481" t="s">
        <v>2508</v>
      </c>
      <c r="F1" s="2481" t="s">
        <v>2509</v>
      </c>
      <c r="G1" s="2481" t="s">
        <v>2510</v>
      </c>
      <c r="H1" s="2481" t="s">
        <v>2511</v>
      </c>
      <c r="I1" s="2481" t="s">
        <v>2512</v>
      </c>
      <c r="J1" s="2481" t="s">
        <v>2513</v>
      </c>
      <c r="K1" s="2481" t="s">
        <v>2514</v>
      </c>
      <c r="L1" s="2481" t="s">
        <v>2515</v>
      </c>
      <c r="M1" s="2482" t="s">
        <v>2516</v>
      </c>
    </row>
    <row r="2" spans="1:13" ht="19.5" customHeight="1">
      <c r="A2" s="2484" t="s">
        <v>2517</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2518</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2519</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2520</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2521</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2522</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2523</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2524</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2525</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2526</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2527</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2528</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2529</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2530</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2531</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2532</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2533</v>
      </c>
      <c r="B18" s="2493"/>
      <c r="C18" s="2494"/>
      <c r="D18" s="2494"/>
      <c r="E18" s="2493"/>
      <c r="F18" s="2494"/>
      <c r="G18" s="2494"/>
    </row>
    <row r="19" spans="1:13" ht="19.5" customHeight="1" thickBot="1">
      <c r="A19" s="2492" t="s">
        <v>2534</v>
      </c>
      <c r="B19" s="2496" t="s">
        <v>2535</v>
      </c>
      <c r="C19" s="2496" t="s">
        <v>2536</v>
      </c>
      <c r="D19" s="2497"/>
      <c r="E19" s="2492" t="s">
        <v>2537</v>
      </c>
      <c r="F19" s="2498"/>
      <c r="G19" s="2498"/>
    </row>
    <row r="20" spans="1:13" ht="19.5" customHeight="1">
      <c r="A20" s="4882" t="s">
        <v>2517</v>
      </c>
      <c r="B20" s="4872" t="s">
        <v>2538</v>
      </c>
      <c r="C20" s="2816" t="s">
        <v>2349</v>
      </c>
      <c r="D20" s="2816"/>
      <c r="E20" s="3500">
        <v>1</v>
      </c>
      <c r="F20" s="2501" t="s">
        <v>2350</v>
      </c>
      <c r="G20" s="2501"/>
    </row>
    <row r="21" spans="1:13" ht="19.5" customHeight="1">
      <c r="A21" s="4883"/>
      <c r="B21" s="4873"/>
      <c r="C21" s="2809" t="s">
        <v>2351</v>
      </c>
      <c r="D21" s="2809"/>
      <c r="E21" s="3501">
        <v>1</v>
      </c>
      <c r="F21" s="2501" t="s">
        <v>2352</v>
      </c>
      <c r="G21" s="2501"/>
    </row>
    <row r="22" spans="1:13" ht="19.5" customHeight="1">
      <c r="A22" s="4883"/>
      <c r="B22" s="4873"/>
      <c r="C22" s="2809" t="s">
        <v>2353</v>
      </c>
      <c r="D22" s="2809"/>
      <c r="E22" s="3501">
        <v>0.9</v>
      </c>
      <c r="F22" s="2501" t="s">
        <v>2354</v>
      </c>
      <c r="G22" s="2501"/>
    </row>
    <row r="23" spans="1:13" ht="19.5" customHeight="1">
      <c r="A23" s="4883"/>
      <c r="B23" s="4873"/>
      <c r="C23" s="2809" t="s">
        <v>2355</v>
      </c>
      <c r="D23" s="2809"/>
      <c r="E23" s="3501">
        <v>0.9</v>
      </c>
      <c r="F23" s="2501" t="s">
        <v>2356</v>
      </c>
      <c r="G23" s="2501"/>
    </row>
    <row r="24" spans="1:13" ht="19.5" customHeight="1">
      <c r="A24" s="4883"/>
      <c r="B24" s="4873"/>
      <c r="C24" s="2809" t="s">
        <v>2357</v>
      </c>
      <c r="D24" s="2809"/>
      <c r="E24" s="3501">
        <v>0.8</v>
      </c>
      <c r="F24" s="2501" t="s">
        <v>2358</v>
      </c>
      <c r="G24" s="2501"/>
    </row>
    <row r="25" spans="1:13" ht="19.5" customHeight="1">
      <c r="A25" s="4883"/>
      <c r="B25" s="4873"/>
      <c r="C25" s="2809" t="s">
        <v>2359</v>
      </c>
      <c r="D25" s="2809"/>
      <c r="E25" s="3501">
        <v>0.8</v>
      </c>
      <c r="F25" s="2501"/>
      <c r="G25" s="2501"/>
    </row>
    <row r="26" spans="1:13" ht="19.5" customHeight="1">
      <c r="A26" s="4883"/>
      <c r="B26" s="4873"/>
      <c r="C26" s="2812" t="s">
        <v>3299</v>
      </c>
      <c r="D26" s="2812"/>
      <c r="E26" s="3501">
        <v>0.43</v>
      </c>
      <c r="F26" s="2501"/>
      <c r="G26" s="2501"/>
    </row>
    <row r="27" spans="1:13" ht="19.5" customHeight="1" thickBot="1">
      <c r="A27" s="4884"/>
      <c r="B27" s="4874"/>
      <c r="C27" s="2813" t="s">
        <v>3300</v>
      </c>
      <c r="D27" s="2813"/>
      <c r="E27" s="3502">
        <f>E26*0.9</f>
        <v>0.38700000000000001</v>
      </c>
      <c r="F27" s="2501" t="s">
        <v>2360</v>
      </c>
      <c r="G27" s="2501"/>
    </row>
    <row r="28" spans="1:13" ht="19.5" customHeight="1" thickBot="1">
      <c r="A28" s="2811" t="s">
        <v>2539</v>
      </c>
      <c r="B28" s="2810" t="s">
        <v>2538</v>
      </c>
      <c r="C28" s="2814" t="s">
        <v>2540</v>
      </c>
      <c r="D28" s="2815"/>
      <c r="E28" s="3503">
        <v>1</v>
      </c>
      <c r="F28" s="2501" t="s">
        <v>2361</v>
      </c>
      <c r="G28" s="2501"/>
    </row>
    <row r="29" spans="1:13" ht="19.5" customHeight="1">
      <c r="A29" s="4875" t="s">
        <v>2541</v>
      </c>
      <c r="B29" s="4878" t="s">
        <v>2522</v>
      </c>
      <c r="C29" s="2499" t="s">
        <v>2362</v>
      </c>
      <c r="D29" s="2500"/>
      <c r="E29" s="3500">
        <v>1</v>
      </c>
      <c r="F29" s="2501" t="s">
        <v>2363</v>
      </c>
      <c r="G29" s="2501"/>
    </row>
    <row r="30" spans="1:13" ht="19.5" customHeight="1">
      <c r="A30" s="4876"/>
      <c r="B30" s="4879"/>
      <c r="C30" s="2502" t="s">
        <v>2364</v>
      </c>
      <c r="D30" s="2503"/>
      <c r="E30" s="3501">
        <v>1</v>
      </c>
      <c r="F30" s="2501" t="s">
        <v>2365</v>
      </c>
      <c r="G30" s="2501"/>
    </row>
    <row r="31" spans="1:13" ht="19.5" customHeight="1">
      <c r="A31" s="4876"/>
      <c r="B31" s="4879"/>
      <c r="C31" s="2502" t="s">
        <v>2366</v>
      </c>
      <c r="D31" s="2503"/>
      <c r="E31" s="3501">
        <v>0.8</v>
      </c>
      <c r="F31" s="2501" t="s">
        <v>2367</v>
      </c>
      <c r="G31" s="2501"/>
    </row>
    <row r="32" spans="1:13" ht="19.5" customHeight="1">
      <c r="A32" s="4876"/>
      <c r="B32" s="4879"/>
      <c r="C32" s="2502" t="s">
        <v>2368</v>
      </c>
      <c r="D32" s="2503"/>
      <c r="E32" s="3501">
        <v>0.8</v>
      </c>
      <c r="F32" s="2501" t="s">
        <v>2369</v>
      </c>
      <c r="G32" s="2501"/>
    </row>
    <row r="33" spans="1:7" ht="19.5" customHeight="1">
      <c r="A33" s="4876"/>
      <c r="B33" s="4879"/>
      <c r="C33" s="2502" t="s">
        <v>2370</v>
      </c>
      <c r="D33" s="2503"/>
      <c r="E33" s="3501">
        <v>0.8</v>
      </c>
      <c r="F33" s="2501" t="s">
        <v>2371</v>
      </c>
      <c r="G33" s="2501"/>
    </row>
    <row r="34" spans="1:7" ht="19.5" customHeight="1">
      <c r="A34" s="4876"/>
      <c r="B34" s="4879"/>
      <c r="C34" s="2502" t="s">
        <v>2372</v>
      </c>
      <c r="D34" s="2503"/>
      <c r="E34" s="3501">
        <v>0.7</v>
      </c>
      <c r="F34" s="2501" t="s">
        <v>2373</v>
      </c>
      <c r="G34" s="2501"/>
    </row>
    <row r="35" spans="1:7" ht="19.5" customHeight="1">
      <c r="A35" s="4876"/>
      <c r="B35" s="4879"/>
      <c r="C35" s="2502" t="s">
        <v>2374</v>
      </c>
      <c r="D35" s="2503"/>
      <c r="E35" s="3501">
        <v>0.8</v>
      </c>
      <c r="F35" s="2501" t="s">
        <v>2375</v>
      </c>
      <c r="G35" s="2501"/>
    </row>
    <row r="36" spans="1:7" ht="19.5" customHeight="1">
      <c r="A36" s="4876"/>
      <c r="B36" s="4879"/>
      <c r="C36" s="2502" t="s">
        <v>2376</v>
      </c>
      <c r="D36" s="2503"/>
      <c r="E36" s="3501">
        <v>0.6</v>
      </c>
      <c r="F36" s="2501" t="s">
        <v>2377</v>
      </c>
      <c r="G36" s="2501"/>
    </row>
    <row r="37" spans="1:7" ht="19.5" customHeight="1">
      <c r="A37" s="4876"/>
      <c r="B37" s="4879"/>
      <c r="C37" s="2502" t="s">
        <v>2378</v>
      </c>
      <c r="D37" s="2503"/>
      <c r="E37" s="3501">
        <v>0.2</v>
      </c>
      <c r="F37" s="2501" t="s">
        <v>2379</v>
      </c>
      <c r="G37" s="2501"/>
    </row>
    <row r="38" spans="1:7" ht="19.5" customHeight="1">
      <c r="A38" s="4876"/>
      <c r="B38" s="4879"/>
      <c r="C38" s="2502" t="s">
        <v>2380</v>
      </c>
      <c r="D38" s="2503"/>
      <c r="E38" s="3501">
        <v>0.2</v>
      </c>
      <c r="F38" s="2501" t="s">
        <v>2381</v>
      </c>
      <c r="G38" s="2501"/>
    </row>
    <row r="39" spans="1:7" ht="19.5" customHeight="1">
      <c r="A39" s="4876"/>
      <c r="B39" s="4880" t="s">
        <v>2542</v>
      </c>
      <c r="C39" s="2502" t="s">
        <v>2382</v>
      </c>
      <c r="D39" s="2503"/>
      <c r="E39" s="3501">
        <v>0.6</v>
      </c>
      <c r="F39" s="2501" t="s">
        <v>2383</v>
      </c>
      <c r="G39" s="2501"/>
    </row>
    <row r="40" spans="1:7" ht="19.5" customHeight="1">
      <c r="A40" s="4876"/>
      <c r="B40" s="4879"/>
      <c r="C40" s="2502" t="s">
        <v>2384</v>
      </c>
      <c r="D40" s="2503"/>
      <c r="E40" s="3501">
        <v>0.6</v>
      </c>
      <c r="F40" s="2501" t="s">
        <v>2385</v>
      </c>
      <c r="G40" s="2501"/>
    </row>
    <row r="41" spans="1:7" ht="19.5" customHeight="1" thickBot="1">
      <c r="A41" s="4877"/>
      <c r="B41" s="4881"/>
      <c r="C41" s="2504" t="s">
        <v>2386</v>
      </c>
      <c r="D41" s="2505"/>
      <c r="E41" s="3502">
        <v>0.6</v>
      </c>
      <c r="F41" s="2501" t="s">
        <v>2387</v>
      </c>
      <c r="G41" s="2501"/>
    </row>
    <row r="42" spans="1:7" ht="19.5" customHeight="1" thickBot="1">
      <c r="A42" s="2506" t="s">
        <v>2519</v>
      </c>
      <c r="B42" s="2507" t="s">
        <v>2519</v>
      </c>
      <c r="C42" s="2508" t="s">
        <v>2543</v>
      </c>
      <c r="D42" s="2509"/>
      <c r="E42" s="3504">
        <v>1</v>
      </c>
      <c r="F42" s="2501" t="s">
        <v>2388</v>
      </c>
      <c r="G42" s="2501"/>
    </row>
    <row r="43" spans="1:7" ht="19.5" customHeight="1">
      <c r="A43" s="4882" t="s">
        <v>2520</v>
      </c>
      <c r="B43" s="4878" t="s">
        <v>2544</v>
      </c>
      <c r="C43" s="2499" t="s">
        <v>2389</v>
      </c>
      <c r="D43" s="2500"/>
      <c r="E43" s="3500">
        <v>1</v>
      </c>
      <c r="F43" s="2501" t="s">
        <v>2390</v>
      </c>
      <c r="G43" s="2501"/>
    </row>
    <row r="44" spans="1:7" ht="19.5" customHeight="1">
      <c r="A44" s="4883"/>
      <c r="B44" s="4879"/>
      <c r="C44" s="2502" t="s">
        <v>2391</v>
      </c>
      <c r="D44" s="2503"/>
      <c r="E44" s="3501">
        <v>1</v>
      </c>
      <c r="F44" s="2501" t="s">
        <v>2392</v>
      </c>
      <c r="G44" s="2501"/>
    </row>
    <row r="45" spans="1:7" ht="19.5" customHeight="1">
      <c r="A45" s="4883"/>
      <c r="B45" s="4885"/>
      <c r="C45" s="2502" t="s">
        <v>2393</v>
      </c>
      <c r="D45" s="2503"/>
      <c r="E45" s="3501">
        <v>1.5</v>
      </c>
      <c r="F45" s="2501" t="s">
        <v>2394</v>
      </c>
      <c r="G45" s="2501"/>
    </row>
    <row r="46" spans="1:7" ht="19.5" customHeight="1">
      <c r="A46" s="4883"/>
      <c r="B46" s="2510" t="s">
        <v>2545</v>
      </c>
      <c r="C46" s="2502" t="s">
        <v>2546</v>
      </c>
      <c r="D46" s="2503"/>
      <c r="E46" s="3501">
        <v>2</v>
      </c>
      <c r="F46" s="2501" t="s">
        <v>2395</v>
      </c>
      <c r="G46" s="2501"/>
    </row>
    <row r="47" spans="1:7" ht="19.5" customHeight="1">
      <c r="A47" s="4883"/>
      <c r="B47" s="4880" t="s">
        <v>2547</v>
      </c>
      <c r="C47" s="2502" t="s">
        <v>2396</v>
      </c>
      <c r="D47" s="2503"/>
      <c r="E47" s="3501">
        <v>1</v>
      </c>
      <c r="F47" s="2501" t="s">
        <v>2397</v>
      </c>
      <c r="G47" s="2501"/>
    </row>
    <row r="48" spans="1:7" ht="19.5" customHeight="1">
      <c r="A48" s="4883"/>
      <c r="B48" s="4879"/>
      <c r="C48" s="2502" t="s">
        <v>2398</v>
      </c>
      <c r="D48" s="2503"/>
      <c r="E48" s="3501">
        <v>1</v>
      </c>
      <c r="F48" s="2501" t="s">
        <v>2399</v>
      </c>
      <c r="G48" s="2501"/>
    </row>
    <row r="49" spans="1:7" ht="19.5" customHeight="1">
      <c r="A49" s="4883"/>
      <c r="B49" s="4879"/>
      <c r="C49" s="2502" t="s">
        <v>2400</v>
      </c>
      <c r="D49" s="2503"/>
      <c r="E49" s="3501">
        <v>1</v>
      </c>
      <c r="F49" s="2501" t="s">
        <v>2401</v>
      </c>
      <c r="G49" s="2501"/>
    </row>
    <row r="50" spans="1:7" ht="19.5" customHeight="1">
      <c r="A50" s="4883"/>
      <c r="B50" s="4879"/>
      <c r="C50" s="2502" t="s">
        <v>2402</v>
      </c>
      <c r="D50" s="2503"/>
      <c r="E50" s="3501">
        <v>1</v>
      </c>
      <c r="F50" s="2501" t="s">
        <v>2403</v>
      </c>
      <c r="G50" s="2501"/>
    </row>
    <row r="51" spans="1:7" ht="19.5" customHeight="1">
      <c r="A51" s="4883"/>
      <c r="B51" s="4879"/>
      <c r="C51" s="2502" t="s">
        <v>2404</v>
      </c>
      <c r="D51" s="2503"/>
      <c r="E51" s="3501">
        <v>1</v>
      </c>
      <c r="F51" s="2501" t="s">
        <v>2405</v>
      </c>
      <c r="G51" s="2501"/>
    </row>
    <row r="52" spans="1:7" ht="19.5" customHeight="1">
      <c r="A52" s="4883"/>
      <c r="B52" s="4879"/>
      <c r="C52" s="2502" t="s">
        <v>2406</v>
      </c>
      <c r="D52" s="2503"/>
      <c r="E52" s="3501">
        <v>1</v>
      </c>
      <c r="F52" s="2501" t="s">
        <v>2407</v>
      </c>
      <c r="G52" s="2501"/>
    </row>
    <row r="53" spans="1:7" ht="19.5" customHeight="1" thickBot="1">
      <c r="A53" s="4884"/>
      <c r="B53" s="4881"/>
      <c r="C53" s="2504" t="s">
        <v>2408</v>
      </c>
      <c r="D53" s="2505"/>
      <c r="E53" s="3502">
        <v>1</v>
      </c>
      <c r="F53" s="2501" t="s">
        <v>2409</v>
      </c>
      <c r="G53" s="2501"/>
    </row>
    <row r="54" spans="1:7" ht="19.5" customHeight="1">
      <c r="A54" s="2511"/>
      <c r="B54" s="2511"/>
      <c r="C54" s="2511"/>
      <c r="D54" s="2511"/>
      <c r="E54" s="2511"/>
      <c r="F54" s="2511"/>
      <c r="G54" s="2511"/>
    </row>
    <row r="56" spans="1:7" ht="19.5" customHeight="1">
      <c r="A56" s="2512"/>
      <c r="B56" s="2490" t="s">
        <v>2548</v>
      </c>
      <c r="C56" s="2490" t="s">
        <v>2548</v>
      </c>
      <c r="D56" s="2490" t="s">
        <v>2548</v>
      </c>
      <c r="E56" s="2492" t="s">
        <v>2548</v>
      </c>
      <c r="F56" s="2492" t="s">
        <v>2549</v>
      </c>
      <c r="G56" s="2492" t="s">
        <v>2550</v>
      </c>
    </row>
    <row r="57" spans="1:7" ht="19.5" customHeight="1">
      <c r="A57" s="2513"/>
      <c r="B57" s="2492" t="s">
        <v>2517</v>
      </c>
      <c r="C57" s="2492" t="s">
        <v>2517</v>
      </c>
      <c r="D57" s="2492" t="s">
        <v>2517</v>
      </c>
      <c r="E57" s="2490" t="s">
        <v>2518</v>
      </c>
      <c r="F57" s="2490" t="s">
        <v>2520</v>
      </c>
      <c r="G57" s="2490" t="s">
        <v>2551</v>
      </c>
    </row>
    <row r="58" spans="1:7" ht="19.5" customHeight="1">
      <c r="A58" s="2514"/>
      <c r="B58" s="3495">
        <v>1</v>
      </c>
      <c r="C58" s="3495">
        <v>2</v>
      </c>
      <c r="D58" s="3495">
        <v>3</v>
      </c>
      <c r="E58" s="2515" t="s">
        <v>2552</v>
      </c>
      <c r="F58" s="2515" t="s">
        <v>2552</v>
      </c>
      <c r="G58" s="2515" t="s">
        <v>2552</v>
      </c>
    </row>
    <row r="59" spans="1:7" ht="19.5" customHeight="1">
      <c r="A59" s="2516" t="s">
        <v>2505</v>
      </c>
      <c r="B59" s="3492">
        <v>0.7</v>
      </c>
      <c r="C59" s="3492">
        <v>0.4</v>
      </c>
      <c r="D59" s="3492">
        <v>0.3</v>
      </c>
      <c r="E59" s="3505">
        <v>0.3</v>
      </c>
      <c r="F59" s="3492">
        <v>0.3</v>
      </c>
      <c r="G59" s="3492">
        <v>0.2</v>
      </c>
    </row>
    <row r="60" spans="1:7" ht="19.5" customHeight="1">
      <c r="A60" s="2516" t="s">
        <v>2506</v>
      </c>
      <c r="B60" s="3492">
        <v>0.7</v>
      </c>
      <c r="C60" s="3492">
        <v>0.4</v>
      </c>
      <c r="D60" s="3492">
        <v>0.3</v>
      </c>
      <c r="E60" s="3492">
        <v>0.3</v>
      </c>
      <c r="F60" s="3492">
        <v>0.3</v>
      </c>
      <c r="G60" s="3492">
        <v>0.2</v>
      </c>
    </row>
    <row r="61" spans="1:7" ht="19.5" customHeight="1">
      <c r="A61" s="2516" t="s">
        <v>2507</v>
      </c>
      <c r="B61" s="3492">
        <v>0.6</v>
      </c>
      <c r="C61" s="3492">
        <v>0.3</v>
      </c>
      <c r="D61" s="3492">
        <v>0.25</v>
      </c>
      <c r="E61" s="3492">
        <v>0.25</v>
      </c>
      <c r="F61" s="3492">
        <v>0.25</v>
      </c>
      <c r="G61" s="3492">
        <v>0.15</v>
      </c>
    </row>
    <row r="62" spans="1:7" ht="19.5" customHeight="1">
      <c r="A62" s="2516" t="s">
        <v>2508</v>
      </c>
      <c r="B62" s="3492">
        <v>0.6</v>
      </c>
      <c r="C62" s="3492">
        <v>0.3</v>
      </c>
      <c r="D62" s="3492">
        <v>0.25</v>
      </c>
      <c r="E62" s="3492">
        <v>0.25</v>
      </c>
      <c r="F62" s="3492">
        <v>0.25</v>
      </c>
      <c r="G62" s="3492">
        <v>0.15</v>
      </c>
    </row>
    <row r="63" spans="1:7" ht="19.5" customHeight="1">
      <c r="A63" s="2516" t="s">
        <v>2509</v>
      </c>
      <c r="B63" s="3492">
        <v>0.6</v>
      </c>
      <c r="C63" s="3492">
        <v>0.3</v>
      </c>
      <c r="D63" s="3492">
        <v>0.25</v>
      </c>
      <c r="E63" s="3492">
        <v>0.25</v>
      </c>
      <c r="F63" s="3492">
        <v>0.25</v>
      </c>
      <c r="G63" s="3492">
        <v>0.15</v>
      </c>
    </row>
    <row r="64" spans="1:7" ht="19.5" customHeight="1">
      <c r="A64" s="2516" t="s">
        <v>2510</v>
      </c>
      <c r="B64" s="3492">
        <v>0.6</v>
      </c>
      <c r="C64" s="3492">
        <v>0.3</v>
      </c>
      <c r="D64" s="3492">
        <v>0.25</v>
      </c>
      <c r="E64" s="3492">
        <v>0.25</v>
      </c>
      <c r="F64" s="3492">
        <v>0.25</v>
      </c>
      <c r="G64" s="3492">
        <v>0.15</v>
      </c>
    </row>
    <row r="65" spans="1:7" ht="19.5" customHeight="1">
      <c r="A65" s="2516" t="s">
        <v>2511</v>
      </c>
      <c r="B65" s="3492">
        <v>0.6</v>
      </c>
      <c r="C65" s="3492">
        <v>0.3</v>
      </c>
      <c r="D65" s="3492">
        <v>0.25</v>
      </c>
      <c r="E65" s="3492">
        <v>0.25</v>
      </c>
      <c r="F65" s="3492">
        <v>0.25</v>
      </c>
      <c r="G65" s="3492">
        <v>0.15</v>
      </c>
    </row>
    <row r="66" spans="1:7" ht="19.5" customHeight="1">
      <c r="A66" s="2516" t="s">
        <v>2512</v>
      </c>
      <c r="B66" s="3492">
        <v>0.5</v>
      </c>
      <c r="C66" s="3492">
        <v>0.2</v>
      </c>
      <c r="D66" s="3492">
        <v>0.2</v>
      </c>
      <c r="E66" s="3492">
        <v>0.2</v>
      </c>
      <c r="F66" s="3492">
        <v>0.2</v>
      </c>
      <c r="G66" s="3492">
        <v>0.1</v>
      </c>
    </row>
    <row r="67" spans="1:7" ht="19.5" customHeight="1">
      <c r="A67" s="2516" t="s">
        <v>2513</v>
      </c>
      <c r="B67" s="3492">
        <v>0.5</v>
      </c>
      <c r="C67" s="3492">
        <v>0.2</v>
      </c>
      <c r="D67" s="3492">
        <v>0.2</v>
      </c>
      <c r="E67" s="3492">
        <v>0.2</v>
      </c>
      <c r="F67" s="3492">
        <v>0.2</v>
      </c>
      <c r="G67" s="3492">
        <v>0.1</v>
      </c>
    </row>
    <row r="68" spans="1:7" ht="19.5" customHeight="1">
      <c r="A68" s="2516" t="s">
        <v>2514</v>
      </c>
      <c r="B68" s="3492">
        <v>0.5</v>
      </c>
      <c r="C68" s="3492">
        <v>0.2</v>
      </c>
      <c r="D68" s="3492">
        <v>0.2</v>
      </c>
      <c r="E68" s="3492">
        <v>0.2</v>
      </c>
      <c r="F68" s="3492">
        <v>0.2</v>
      </c>
      <c r="G68" s="3492">
        <v>0.1</v>
      </c>
    </row>
    <row r="69" spans="1:7" ht="19.5" customHeight="1">
      <c r="A69" s="2516" t="s">
        <v>2515</v>
      </c>
      <c r="B69" s="3492">
        <v>0.5</v>
      </c>
      <c r="C69" s="3492">
        <v>0.2</v>
      </c>
      <c r="D69" s="3492">
        <v>0.2</v>
      </c>
      <c r="E69" s="3492">
        <v>0.2</v>
      </c>
      <c r="F69" s="3492">
        <v>0.2</v>
      </c>
      <c r="G69" s="3492">
        <v>0.1</v>
      </c>
    </row>
    <row r="70" spans="1:7" ht="19.5" customHeight="1">
      <c r="A70" s="2516" t="s">
        <v>2516</v>
      </c>
      <c r="B70" s="3492">
        <v>0.5</v>
      </c>
      <c r="C70" s="3492">
        <v>0.2</v>
      </c>
      <c r="D70" s="3492">
        <v>0.2</v>
      </c>
      <c r="E70" s="3492">
        <v>0.2</v>
      </c>
      <c r="F70" s="3492">
        <v>0.2</v>
      </c>
      <c r="G70" s="3492">
        <v>0.1</v>
      </c>
    </row>
    <row r="72" spans="1:7" ht="19.5" customHeight="1">
      <c r="A72" s="2517"/>
      <c r="B72" s="2518"/>
      <c r="C72" s="2518"/>
      <c r="D72" s="2518" t="s">
        <v>2553</v>
      </c>
      <c r="E72" s="2518"/>
      <c r="F72" s="2518"/>
    </row>
    <row r="73" spans="1:7" ht="19.5" customHeight="1">
      <c r="A73" s="2510" t="s">
        <v>2554</v>
      </c>
      <c r="B73" s="2510" t="s">
        <v>2555</v>
      </c>
      <c r="C73" s="2510" t="s">
        <v>2556</v>
      </c>
      <c r="D73" s="2510" t="s">
        <v>2557</v>
      </c>
      <c r="E73" s="2510" t="s">
        <v>2558</v>
      </c>
      <c r="F73" s="2510" t="s">
        <v>2559</v>
      </c>
    </row>
    <row r="74" spans="1:7" ht="13.5">
      <c r="A74" s="2510"/>
      <c r="B74" s="2510"/>
      <c r="C74" s="2510" t="s">
        <v>2560</v>
      </c>
      <c r="D74" s="2510"/>
      <c r="E74" s="2510" t="s">
        <v>2531</v>
      </c>
      <c r="F74" s="2510" t="s">
        <v>2531</v>
      </c>
    </row>
    <row r="75" spans="1:7" ht="13.5">
      <c r="A75" s="2510">
        <v>1</v>
      </c>
      <c r="B75" s="4880" t="s">
        <v>2561</v>
      </c>
      <c r="C75" s="2490" t="s">
        <v>2562</v>
      </c>
      <c r="D75" s="2490" t="s">
        <v>2563</v>
      </c>
      <c r="E75" s="3506">
        <v>0.2</v>
      </c>
      <c r="F75" s="3507">
        <v>25</v>
      </c>
    </row>
    <row r="76" spans="1:7" ht="24">
      <c r="A76" s="2510">
        <v>2</v>
      </c>
      <c r="B76" s="4879"/>
      <c r="C76" s="2490" t="s">
        <v>2564</v>
      </c>
      <c r="D76" s="2490" t="s">
        <v>2565</v>
      </c>
      <c r="E76" s="3506">
        <v>0.2</v>
      </c>
      <c r="F76" s="3507">
        <v>25</v>
      </c>
    </row>
    <row r="77" spans="1:7" ht="24">
      <c r="A77" s="2510">
        <v>3</v>
      </c>
      <c r="B77" s="4879"/>
      <c r="C77" s="2490" t="s">
        <v>2566</v>
      </c>
      <c r="D77" s="2490" t="s">
        <v>2567</v>
      </c>
      <c r="E77" s="3506">
        <v>0.2</v>
      </c>
      <c r="F77" s="3507">
        <v>25</v>
      </c>
    </row>
    <row r="78" spans="1:7" ht="13.5">
      <c r="A78" s="2510">
        <v>4</v>
      </c>
      <c r="B78" s="4879"/>
      <c r="C78" s="2490" t="s">
        <v>2568</v>
      </c>
      <c r="D78" s="2490" t="s">
        <v>2569</v>
      </c>
      <c r="E78" s="3506">
        <v>0.15</v>
      </c>
      <c r="F78" s="3507">
        <v>20</v>
      </c>
    </row>
    <row r="79" spans="1:7" ht="24">
      <c r="A79" s="2510">
        <v>5</v>
      </c>
      <c r="B79" s="4879"/>
      <c r="C79" s="2490" t="s">
        <v>2570</v>
      </c>
      <c r="D79" s="2490" t="s">
        <v>2571</v>
      </c>
      <c r="E79" s="3506">
        <v>0.15</v>
      </c>
      <c r="F79" s="3507">
        <v>20</v>
      </c>
    </row>
    <row r="80" spans="1:7" ht="24">
      <c r="A80" s="2510">
        <v>6</v>
      </c>
      <c r="B80" s="4879"/>
      <c r="C80" s="2490" t="s">
        <v>2572</v>
      </c>
      <c r="D80" s="2490" t="s">
        <v>2573</v>
      </c>
      <c r="E80" s="3506">
        <v>0.15</v>
      </c>
      <c r="F80" s="3507">
        <v>20</v>
      </c>
    </row>
    <row r="81" spans="1:6" ht="24">
      <c r="A81" s="2510">
        <v>7</v>
      </c>
      <c r="B81" s="4879"/>
      <c r="C81" s="2490" t="s">
        <v>2574</v>
      </c>
      <c r="D81" s="2490" t="s">
        <v>2575</v>
      </c>
      <c r="E81" s="3506">
        <v>0.15</v>
      </c>
      <c r="F81" s="3507">
        <v>20</v>
      </c>
    </row>
    <row r="82" spans="1:6" ht="24">
      <c r="A82" s="2510">
        <v>8</v>
      </c>
      <c r="B82" s="4879"/>
      <c r="C82" s="2490" t="s">
        <v>2576</v>
      </c>
      <c r="D82" s="2490" t="s">
        <v>2577</v>
      </c>
      <c r="E82" s="3506">
        <v>0.1</v>
      </c>
      <c r="F82" s="3507">
        <v>15</v>
      </c>
    </row>
    <row r="83" spans="1:6" ht="24">
      <c r="A83" s="2510">
        <v>9</v>
      </c>
      <c r="B83" s="4879"/>
      <c r="C83" s="2490" t="s">
        <v>2578</v>
      </c>
      <c r="D83" s="2490" t="s">
        <v>2579</v>
      </c>
      <c r="E83" s="3506">
        <v>0.1</v>
      </c>
      <c r="F83" s="3507">
        <v>15</v>
      </c>
    </row>
    <row r="84" spans="1:6" ht="24">
      <c r="A84" s="2510">
        <v>10</v>
      </c>
      <c r="B84" s="4879"/>
      <c r="C84" s="2490" t="s">
        <v>2580</v>
      </c>
      <c r="D84" s="2490" t="s">
        <v>2581</v>
      </c>
      <c r="E84" s="3506">
        <v>0.1</v>
      </c>
      <c r="F84" s="3507">
        <v>15</v>
      </c>
    </row>
    <row r="85" spans="1:6" ht="24">
      <c r="A85" s="2510">
        <v>11</v>
      </c>
      <c r="B85" s="4879"/>
      <c r="C85" s="2490" t="s">
        <v>2582</v>
      </c>
      <c r="D85" s="2490" t="s">
        <v>2583</v>
      </c>
      <c r="E85" s="3506">
        <v>0.1</v>
      </c>
      <c r="F85" s="3507">
        <v>15</v>
      </c>
    </row>
    <row r="86" spans="1:6" ht="24">
      <c r="A86" s="2510">
        <v>12</v>
      </c>
      <c r="B86" s="4879"/>
      <c r="C86" s="2490" t="s">
        <v>2584</v>
      </c>
      <c r="D86" s="2490" t="s">
        <v>2585</v>
      </c>
      <c r="E86" s="3506">
        <v>0.1</v>
      </c>
      <c r="F86" s="3507">
        <v>15</v>
      </c>
    </row>
    <row r="87" spans="1:6" ht="13.5">
      <c r="A87" s="2510">
        <v>13</v>
      </c>
      <c r="B87" s="4879"/>
      <c r="C87" s="2490" t="s">
        <v>2586</v>
      </c>
      <c r="D87" s="2490" t="s">
        <v>2587</v>
      </c>
      <c r="E87" s="3506">
        <v>0.1</v>
      </c>
      <c r="F87" s="3507">
        <v>15</v>
      </c>
    </row>
    <row r="88" spans="1:6" ht="13.5">
      <c r="A88" s="2510">
        <v>14</v>
      </c>
      <c r="B88" s="4879"/>
      <c r="C88" s="2490" t="s">
        <v>2588</v>
      </c>
      <c r="D88" s="2490" t="s">
        <v>2589</v>
      </c>
      <c r="E88" s="3506">
        <v>0.1</v>
      </c>
      <c r="F88" s="3507">
        <v>15</v>
      </c>
    </row>
    <row r="89" spans="1:6" ht="13.5">
      <c r="A89" s="2510">
        <v>15</v>
      </c>
      <c r="B89" s="4879"/>
      <c r="C89" s="2490" t="s">
        <v>2590</v>
      </c>
      <c r="D89" s="2490" t="s">
        <v>2591</v>
      </c>
      <c r="E89" s="3506">
        <v>0.1</v>
      </c>
      <c r="F89" s="3507">
        <v>15</v>
      </c>
    </row>
    <row r="90" spans="1:6" ht="24">
      <c r="A90" s="2510">
        <v>16</v>
      </c>
      <c r="B90" s="4879"/>
      <c r="C90" s="2490" t="s">
        <v>2592</v>
      </c>
      <c r="D90" s="2490" t="s">
        <v>2593</v>
      </c>
      <c r="E90" s="3506">
        <v>0.1</v>
      </c>
      <c r="F90" s="3507">
        <v>15</v>
      </c>
    </row>
    <row r="91" spans="1:6" ht="24">
      <c r="A91" s="2510">
        <v>17</v>
      </c>
      <c r="B91" s="4885"/>
      <c r="C91" s="2490" t="s">
        <v>2594</v>
      </c>
      <c r="D91" s="2490" t="s">
        <v>2595</v>
      </c>
      <c r="E91" s="3506">
        <v>0.1</v>
      </c>
      <c r="F91" s="3507">
        <v>15</v>
      </c>
    </row>
    <row r="92" spans="1:6" ht="13.5">
      <c r="A92" s="2510">
        <v>18</v>
      </c>
      <c r="B92" s="4880" t="s">
        <v>2596</v>
      </c>
      <c r="C92" s="2490" t="s">
        <v>2597</v>
      </c>
      <c r="D92" s="2490" t="s">
        <v>2598</v>
      </c>
      <c r="E92" s="3506">
        <v>0.2</v>
      </c>
      <c r="F92" s="3507">
        <v>25</v>
      </c>
    </row>
    <row r="93" spans="1:6" ht="24">
      <c r="A93" s="2510">
        <v>19</v>
      </c>
      <c r="B93" s="4879"/>
      <c r="C93" s="2490" t="s">
        <v>2599</v>
      </c>
      <c r="D93" s="2490" t="s">
        <v>2600</v>
      </c>
      <c r="E93" s="3506">
        <v>0.2</v>
      </c>
      <c r="F93" s="3507">
        <v>25</v>
      </c>
    </row>
    <row r="94" spans="1:6" ht="13.5">
      <c r="A94" s="2510">
        <v>20</v>
      </c>
      <c r="B94" s="4879"/>
      <c r="C94" s="2490" t="s">
        <v>2601</v>
      </c>
      <c r="D94" s="2490" t="s">
        <v>2602</v>
      </c>
      <c r="E94" s="3506">
        <v>0.15</v>
      </c>
      <c r="F94" s="3507">
        <v>20</v>
      </c>
    </row>
    <row r="95" spans="1:6" ht="13.5">
      <c r="A95" s="2510">
        <v>21</v>
      </c>
      <c r="B95" s="4879"/>
      <c r="C95" s="2490" t="s">
        <v>2603</v>
      </c>
      <c r="D95" s="2490" t="s">
        <v>2604</v>
      </c>
      <c r="E95" s="3506">
        <v>0.15</v>
      </c>
      <c r="F95" s="3507">
        <v>20</v>
      </c>
    </row>
    <row r="96" spans="1:6" ht="13.5">
      <c r="A96" s="2510">
        <v>22</v>
      </c>
      <c r="B96" s="4879"/>
      <c r="C96" s="2490" t="s">
        <v>2605</v>
      </c>
      <c r="D96" s="2490" t="s">
        <v>2606</v>
      </c>
      <c r="E96" s="3506">
        <v>0.15</v>
      </c>
      <c r="F96" s="3507">
        <v>20</v>
      </c>
    </row>
    <row r="97" spans="1:6" ht="36">
      <c r="A97" s="2510">
        <v>23</v>
      </c>
      <c r="B97" s="4879"/>
      <c r="C97" s="2490" t="s">
        <v>2607</v>
      </c>
      <c r="D97" s="2490" t="s">
        <v>2608</v>
      </c>
      <c r="E97" s="3506">
        <v>0.15</v>
      </c>
      <c r="F97" s="3507">
        <v>20</v>
      </c>
    </row>
    <row r="98" spans="1:6" ht="13.5">
      <c r="A98" s="2510">
        <v>24</v>
      </c>
      <c r="B98" s="4879"/>
      <c r="C98" s="2490" t="s">
        <v>2609</v>
      </c>
      <c r="D98" s="2490" t="s">
        <v>2610</v>
      </c>
      <c r="E98" s="3506">
        <v>0.1</v>
      </c>
      <c r="F98" s="3507">
        <v>15</v>
      </c>
    </row>
    <row r="99" spans="1:6" ht="13.5">
      <c r="A99" s="2510">
        <v>25</v>
      </c>
      <c r="B99" s="4879"/>
      <c r="C99" s="2490" t="s">
        <v>2611</v>
      </c>
      <c r="D99" s="2490" t="s">
        <v>2612</v>
      </c>
      <c r="E99" s="3506">
        <v>0.1</v>
      </c>
      <c r="F99" s="3507">
        <v>15</v>
      </c>
    </row>
    <row r="100" spans="1:6" ht="24">
      <c r="A100" s="2510">
        <v>26</v>
      </c>
      <c r="B100" s="4879"/>
      <c r="C100" s="2490" t="s">
        <v>2613</v>
      </c>
      <c r="D100" s="2490" t="s">
        <v>2614</v>
      </c>
      <c r="E100" s="3506">
        <v>0.1</v>
      </c>
      <c r="F100" s="3507">
        <v>15</v>
      </c>
    </row>
    <row r="101" spans="1:6" ht="24">
      <c r="A101" s="2510">
        <v>27</v>
      </c>
      <c r="B101" s="4879"/>
      <c r="C101" s="2490" t="s">
        <v>2615</v>
      </c>
      <c r="D101" s="2490" t="s">
        <v>2616</v>
      </c>
      <c r="E101" s="3506">
        <v>0.1</v>
      </c>
      <c r="F101" s="3507">
        <v>15</v>
      </c>
    </row>
    <row r="102" spans="1:6" ht="13.5">
      <c r="A102" s="2510">
        <v>28</v>
      </c>
      <c r="B102" s="4879"/>
      <c r="C102" s="2490" t="s">
        <v>2617</v>
      </c>
      <c r="D102" s="2490" t="s">
        <v>2618</v>
      </c>
      <c r="E102" s="3506">
        <v>0.1</v>
      </c>
      <c r="F102" s="3507">
        <v>15</v>
      </c>
    </row>
    <row r="103" spans="1:6" ht="13.5">
      <c r="A103" s="2510">
        <v>29</v>
      </c>
      <c r="B103" s="4879"/>
      <c r="C103" s="2490" t="s">
        <v>2619</v>
      </c>
      <c r="D103" s="2490" t="s">
        <v>2620</v>
      </c>
      <c r="E103" s="3506">
        <v>0.1</v>
      </c>
      <c r="F103" s="3507">
        <v>15</v>
      </c>
    </row>
    <row r="104" spans="1:6" ht="13.5">
      <c r="A104" s="2510">
        <v>30</v>
      </c>
      <c r="B104" s="4879"/>
      <c r="C104" s="2490" t="s">
        <v>2621</v>
      </c>
      <c r="D104" s="2490" t="s">
        <v>2622</v>
      </c>
      <c r="E104" s="3506">
        <v>0.1</v>
      </c>
      <c r="F104" s="3507">
        <v>15</v>
      </c>
    </row>
    <row r="105" spans="1:6" ht="24">
      <c r="A105" s="2510">
        <v>31</v>
      </c>
      <c r="B105" s="4879"/>
      <c r="C105" s="2490" t="s">
        <v>2623</v>
      </c>
      <c r="D105" s="2490" t="s">
        <v>2624</v>
      </c>
      <c r="E105" s="3506">
        <v>0.1</v>
      </c>
      <c r="F105" s="3507">
        <v>15</v>
      </c>
    </row>
    <row r="106" spans="1:6" ht="24">
      <c r="A106" s="2510">
        <v>32</v>
      </c>
      <c r="B106" s="4879"/>
      <c r="C106" s="2490" t="s">
        <v>2625</v>
      </c>
      <c r="D106" s="2490" t="s">
        <v>2626</v>
      </c>
      <c r="E106" s="3506">
        <v>0.1</v>
      </c>
      <c r="F106" s="3507">
        <v>15</v>
      </c>
    </row>
    <row r="107" spans="1:6" ht="24">
      <c r="A107" s="2510">
        <v>33</v>
      </c>
      <c r="B107" s="4879"/>
      <c r="C107" s="2490" t="s">
        <v>2627</v>
      </c>
      <c r="D107" s="2490" t="s">
        <v>2628</v>
      </c>
      <c r="E107" s="3506">
        <v>0.1</v>
      </c>
      <c r="F107" s="3507">
        <v>15</v>
      </c>
    </row>
    <row r="108" spans="1:6" ht="24">
      <c r="A108" s="2510">
        <v>34</v>
      </c>
      <c r="B108" s="4885"/>
      <c r="C108" s="2490" t="s">
        <v>2629</v>
      </c>
      <c r="D108" s="2490" t="s">
        <v>2630</v>
      </c>
      <c r="E108" s="3506">
        <v>0.1</v>
      </c>
      <c r="F108" s="3507">
        <v>15</v>
      </c>
    </row>
    <row r="109" spans="1:6" ht="24">
      <c r="A109" s="2510">
        <v>35</v>
      </c>
      <c r="B109" s="4880" t="s">
        <v>2631</v>
      </c>
      <c r="C109" s="2510" t="s">
        <v>2632</v>
      </c>
      <c r="D109" s="2490" t="s">
        <v>2633</v>
      </c>
      <c r="E109" s="3506">
        <v>0.15</v>
      </c>
      <c r="F109" s="3507">
        <v>20</v>
      </c>
    </row>
    <row r="110" spans="1:6" ht="13.5">
      <c r="A110" s="2510">
        <v>36</v>
      </c>
      <c r="B110" s="4879"/>
      <c r="C110" s="2510" t="s">
        <v>2634</v>
      </c>
      <c r="D110" s="2490" t="s">
        <v>2635</v>
      </c>
      <c r="E110" s="3506">
        <v>0.15</v>
      </c>
      <c r="F110" s="3507">
        <v>20</v>
      </c>
    </row>
    <row r="111" spans="1:6" ht="13.5">
      <c r="A111" s="2510">
        <v>37</v>
      </c>
      <c r="B111" s="4879"/>
      <c r="C111" s="2510" t="s">
        <v>2636</v>
      </c>
      <c r="D111" s="2490" t="s">
        <v>2637</v>
      </c>
      <c r="E111" s="3506">
        <v>0.15</v>
      </c>
      <c r="F111" s="3507">
        <v>20</v>
      </c>
    </row>
    <row r="112" spans="1:6" ht="13.5">
      <c r="A112" s="2510">
        <v>38</v>
      </c>
      <c r="B112" s="4879"/>
      <c r="C112" s="2510" t="s">
        <v>2638</v>
      </c>
      <c r="D112" s="2490" t="s">
        <v>2639</v>
      </c>
      <c r="E112" s="3506">
        <v>0.1</v>
      </c>
      <c r="F112" s="3507">
        <v>15</v>
      </c>
    </row>
    <row r="113" spans="1:6" ht="24">
      <c r="A113" s="2510">
        <v>39</v>
      </c>
      <c r="B113" s="4879"/>
      <c r="C113" s="2510" t="s">
        <v>2640</v>
      </c>
      <c r="D113" s="2490" t="s">
        <v>2641</v>
      </c>
      <c r="E113" s="3506">
        <v>0.1</v>
      </c>
      <c r="F113" s="3507">
        <v>15</v>
      </c>
    </row>
    <row r="114" spans="1:6" ht="24">
      <c r="A114" s="2510">
        <v>40</v>
      </c>
      <c r="B114" s="4885"/>
      <c r="C114" s="2510" t="s">
        <v>2642</v>
      </c>
      <c r="D114" s="2490" t="s">
        <v>2643</v>
      </c>
      <c r="E114" s="3506">
        <v>0.1</v>
      </c>
      <c r="F114" s="3507">
        <v>15</v>
      </c>
    </row>
    <row r="115" spans="1:6" ht="13.5">
      <c r="A115" s="2510">
        <v>41</v>
      </c>
      <c r="B115" s="4873" t="s">
        <v>2644</v>
      </c>
      <c r="C115" s="2510" t="s">
        <v>2645</v>
      </c>
      <c r="D115" s="2490" t="s">
        <v>2646</v>
      </c>
      <c r="E115" s="3506">
        <v>0.1</v>
      </c>
      <c r="F115" s="3507">
        <v>15</v>
      </c>
    </row>
    <row r="116" spans="1:6" ht="13.5">
      <c r="A116" s="2510">
        <v>42</v>
      </c>
      <c r="B116" s="4873"/>
      <c r="C116" s="2510" t="s">
        <v>2647</v>
      </c>
      <c r="D116" s="2490" t="s">
        <v>2648</v>
      </c>
      <c r="E116" s="3506">
        <v>0.1</v>
      </c>
      <c r="F116" s="3507">
        <v>15</v>
      </c>
    </row>
    <row r="117" spans="1:6" ht="24">
      <c r="A117" s="2510">
        <v>43</v>
      </c>
      <c r="B117" s="4873"/>
      <c r="C117" s="2510" t="s">
        <v>2649</v>
      </c>
      <c r="D117" s="2490" t="s">
        <v>2650</v>
      </c>
      <c r="E117" s="3506">
        <v>0.1</v>
      </c>
      <c r="F117" s="3507">
        <v>15</v>
      </c>
    </row>
    <row r="118" spans="1:6" ht="13.5">
      <c r="A118" s="2510">
        <v>44</v>
      </c>
      <c r="B118" s="4880" t="s">
        <v>2651</v>
      </c>
      <c r="C118" s="2510" t="s">
        <v>2652</v>
      </c>
      <c r="D118" s="2490" t="s">
        <v>2653</v>
      </c>
      <c r="E118" s="3506">
        <v>0.1</v>
      </c>
      <c r="F118" s="3507">
        <v>15</v>
      </c>
    </row>
    <row r="119" spans="1:6" ht="24">
      <c r="A119" s="2510">
        <v>45</v>
      </c>
      <c r="B119" s="4885"/>
      <c r="C119" s="2490" t="s">
        <v>2654</v>
      </c>
      <c r="D119" s="2490" t="s">
        <v>2655</v>
      </c>
      <c r="E119" s="3506">
        <v>0.1</v>
      </c>
      <c r="F119" s="3507">
        <v>15</v>
      </c>
    </row>
    <row r="120" spans="1:6" ht="24">
      <c r="A120" s="2510">
        <v>46</v>
      </c>
      <c r="B120" s="4880" t="s">
        <v>2656</v>
      </c>
      <c r="C120" s="2510" t="s">
        <v>2657</v>
      </c>
      <c r="D120" s="2490" t="s">
        <v>2658</v>
      </c>
      <c r="E120" s="3506">
        <v>0.1</v>
      </c>
      <c r="F120" s="3507">
        <v>15</v>
      </c>
    </row>
    <row r="121" spans="1:6" ht="24">
      <c r="A121" s="2510">
        <v>47</v>
      </c>
      <c r="B121" s="4885"/>
      <c r="C121" s="2510" t="s">
        <v>2659</v>
      </c>
      <c r="D121" s="2490" t="s">
        <v>2660</v>
      </c>
      <c r="E121" s="3506">
        <v>0.1</v>
      </c>
      <c r="F121" s="3507">
        <v>15</v>
      </c>
    </row>
    <row r="122" spans="1:6" ht="13.5">
      <c r="A122" s="2510">
        <v>48</v>
      </c>
      <c r="B122" s="4880" t="s">
        <v>2661</v>
      </c>
      <c r="C122" s="2510" t="s">
        <v>2662</v>
      </c>
      <c r="D122" s="2490" t="s">
        <v>2663</v>
      </c>
      <c r="E122" s="3506">
        <v>0.1</v>
      </c>
      <c r="F122" s="3507">
        <v>15</v>
      </c>
    </row>
    <row r="123" spans="1:6" ht="13.5">
      <c r="A123" s="2510">
        <v>49</v>
      </c>
      <c r="B123" s="4885"/>
      <c r="C123" s="2510" t="s">
        <v>2664</v>
      </c>
      <c r="D123" s="2490" t="s">
        <v>2665</v>
      </c>
      <c r="E123" s="3506">
        <v>0.1</v>
      </c>
      <c r="F123" s="3507">
        <v>15</v>
      </c>
    </row>
    <row r="124" spans="1:6" ht="24">
      <c r="A124" s="2510">
        <v>50</v>
      </c>
      <c r="B124" s="4873" t="s">
        <v>2666</v>
      </c>
      <c r="C124" s="2510" t="s">
        <v>2667</v>
      </c>
      <c r="D124" s="2490" t="s">
        <v>2668</v>
      </c>
      <c r="E124" s="3506">
        <v>0.1</v>
      </c>
      <c r="F124" s="3507">
        <v>15</v>
      </c>
    </row>
    <row r="125" spans="1:6" ht="24">
      <c r="A125" s="2510">
        <v>51</v>
      </c>
      <c r="B125" s="4873"/>
      <c r="C125" s="2510" t="s">
        <v>2669</v>
      </c>
      <c r="D125" s="2490" t="s">
        <v>2670</v>
      </c>
      <c r="E125" s="3506">
        <v>0.1</v>
      </c>
      <c r="F125" s="3507">
        <v>15</v>
      </c>
    </row>
    <row r="126" spans="1:6" ht="24">
      <c r="A126" s="2510">
        <v>52</v>
      </c>
      <c r="B126" s="4873" t="s">
        <v>2671</v>
      </c>
      <c r="C126" s="2510" t="s">
        <v>2672</v>
      </c>
      <c r="D126" s="2490" t="s">
        <v>2673</v>
      </c>
      <c r="E126" s="3506">
        <v>0.1</v>
      </c>
      <c r="F126" s="3507">
        <v>15</v>
      </c>
    </row>
    <row r="127" spans="1:6" ht="24">
      <c r="A127" s="2510">
        <v>53</v>
      </c>
      <c r="B127" s="4873"/>
      <c r="C127" s="2510" t="s">
        <v>2674</v>
      </c>
      <c r="D127" s="2490" t="s">
        <v>2675</v>
      </c>
      <c r="E127" s="3506">
        <v>0.1</v>
      </c>
      <c r="F127" s="3507">
        <v>15</v>
      </c>
    </row>
    <row r="128" spans="1:6" ht="13.5">
      <c r="A128" s="2510">
        <v>54</v>
      </c>
      <c r="B128" s="2510" t="s">
        <v>2676</v>
      </c>
      <c r="C128" s="2510" t="s">
        <v>2677</v>
      </c>
      <c r="D128" s="2490" t="s">
        <v>2678</v>
      </c>
      <c r="E128" s="3506">
        <v>0.1</v>
      </c>
      <c r="F128" s="3507">
        <v>15</v>
      </c>
    </row>
    <row r="129" spans="1:6" ht="13.5">
      <c r="A129" s="2510">
        <v>55</v>
      </c>
      <c r="B129" s="4873" t="s">
        <v>2679</v>
      </c>
      <c r="C129" s="2510" t="s">
        <v>2680</v>
      </c>
      <c r="D129" s="2490" t="s">
        <v>2681</v>
      </c>
      <c r="E129" s="3506">
        <v>0.1</v>
      </c>
      <c r="F129" s="3507">
        <v>15</v>
      </c>
    </row>
    <row r="130" spans="1:6" ht="13.5">
      <c r="A130" s="2510">
        <v>56</v>
      </c>
      <c r="B130" s="4873"/>
      <c r="C130" s="2510" t="s">
        <v>2682</v>
      </c>
      <c r="D130" s="2490" t="s">
        <v>2683</v>
      </c>
      <c r="E130" s="3506">
        <v>0.1</v>
      </c>
      <c r="F130" s="3507">
        <v>15</v>
      </c>
    </row>
    <row r="131" spans="1:6" ht="24">
      <c r="A131" s="2510">
        <v>57</v>
      </c>
      <c r="B131" s="4873"/>
      <c r="C131" s="2510" t="s">
        <v>2684</v>
      </c>
      <c r="D131" s="2490" t="s">
        <v>2685</v>
      </c>
      <c r="E131" s="3506">
        <v>0.1</v>
      </c>
      <c r="F131" s="3507">
        <v>15</v>
      </c>
    </row>
    <row r="132" spans="1:6" ht="24">
      <c r="A132" s="2510">
        <v>58</v>
      </c>
      <c r="B132" s="4873" t="s">
        <v>2686</v>
      </c>
      <c r="C132" s="2510" t="s">
        <v>2687</v>
      </c>
      <c r="D132" s="2490" t="s">
        <v>2688</v>
      </c>
      <c r="E132" s="3506">
        <v>0.1</v>
      </c>
      <c r="F132" s="3507">
        <v>15</v>
      </c>
    </row>
    <row r="133" spans="1:6" ht="13.5">
      <c r="A133" s="2510">
        <v>59</v>
      </c>
      <c r="B133" s="4873"/>
      <c r="C133" s="2510" t="s">
        <v>2689</v>
      </c>
      <c r="D133" s="2490" t="s">
        <v>2690</v>
      </c>
      <c r="E133" s="3506">
        <v>0.1</v>
      </c>
      <c r="F133" s="3507">
        <v>15</v>
      </c>
    </row>
    <row r="134" spans="1:6" ht="13.5">
      <c r="A134" s="2510">
        <v>60</v>
      </c>
      <c r="B134" s="4880" t="s">
        <v>2691</v>
      </c>
      <c r="C134" s="2510" t="s">
        <v>2692</v>
      </c>
      <c r="D134" s="2490" t="s">
        <v>2693</v>
      </c>
      <c r="E134" s="3506">
        <v>0.1</v>
      </c>
      <c r="F134" s="3507">
        <v>15</v>
      </c>
    </row>
    <row r="135" spans="1:6" ht="13.5">
      <c r="A135" s="2510">
        <v>61</v>
      </c>
      <c r="B135" s="4885"/>
      <c r="C135" s="2510" t="s">
        <v>2694</v>
      </c>
      <c r="D135" s="2490" t="s">
        <v>2695</v>
      </c>
      <c r="E135" s="3506">
        <v>0.1</v>
      </c>
      <c r="F135" s="3507">
        <v>15</v>
      </c>
    </row>
    <row r="136" spans="1:6" ht="24">
      <c r="A136" s="2510">
        <v>62</v>
      </c>
      <c r="B136" s="2510" t="s">
        <v>2696</v>
      </c>
      <c r="C136" s="2510" t="s">
        <v>2697</v>
      </c>
      <c r="D136" s="2490" t="s">
        <v>2698</v>
      </c>
      <c r="E136" s="3506">
        <v>0.1</v>
      </c>
      <c r="F136" s="3507">
        <v>15</v>
      </c>
    </row>
    <row r="137" spans="1:6" ht="13.5">
      <c r="A137" s="2510">
        <v>63</v>
      </c>
      <c r="B137" s="4873" t="s">
        <v>2699</v>
      </c>
      <c r="C137" s="2510" t="s">
        <v>2700</v>
      </c>
      <c r="D137" s="2490" t="s">
        <v>2701</v>
      </c>
      <c r="E137" s="3506">
        <v>0.1</v>
      </c>
      <c r="F137" s="3507">
        <v>15</v>
      </c>
    </row>
    <row r="138" spans="1:6" ht="13.5">
      <c r="A138" s="2510">
        <v>64</v>
      </c>
      <c r="B138" s="4873"/>
      <c r="C138" s="2510" t="s">
        <v>2702</v>
      </c>
      <c r="D138" s="2490" t="s">
        <v>2703</v>
      </c>
      <c r="E138" s="3506">
        <v>0.1</v>
      </c>
      <c r="F138" s="3507">
        <v>15</v>
      </c>
    </row>
    <row r="139" spans="1:6" ht="13.5">
      <c r="A139" s="2510">
        <v>65</v>
      </c>
      <c r="B139" s="2510" t="s">
        <v>2704</v>
      </c>
      <c r="C139" s="2510" t="s">
        <v>2705</v>
      </c>
      <c r="D139" s="2490" t="s">
        <v>2706</v>
      </c>
      <c r="E139" s="3506">
        <v>0.1</v>
      </c>
      <c r="F139" s="3507">
        <v>15</v>
      </c>
    </row>
    <row r="140" spans="1:6" ht="13.5">
      <c r="A140" s="2510"/>
      <c r="B140" s="2510"/>
      <c r="C140" s="2510"/>
      <c r="D140" s="2510"/>
      <c r="E140" s="2510" t="s">
        <v>2707</v>
      </c>
      <c r="F140" s="2510" t="s">
        <v>2707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2708</v>
      </c>
      <c r="B1" s="2519"/>
      <c r="C1" s="2519"/>
      <c r="D1" s="2519"/>
      <c r="E1" s="2519"/>
      <c r="F1" s="2519"/>
      <c r="G1" s="2519"/>
      <c r="H1" s="2519"/>
      <c r="I1" s="2519"/>
      <c r="J1" s="2519"/>
      <c r="K1" s="2519"/>
      <c r="L1" s="2519"/>
      <c r="M1" s="2519"/>
      <c r="N1" s="548"/>
    </row>
    <row r="2" spans="1:20">
      <c r="A2" s="2520" t="s">
        <v>2709</v>
      </c>
      <c r="B2" s="2521" t="s">
        <v>2505</v>
      </c>
      <c r="C2" s="2521" t="s">
        <v>2506</v>
      </c>
      <c r="D2" s="2521" t="s">
        <v>2507</v>
      </c>
      <c r="E2" s="2521" t="s">
        <v>2508</v>
      </c>
      <c r="F2" s="2521" t="s">
        <v>2509</v>
      </c>
      <c r="G2" s="2521" t="s">
        <v>2510</v>
      </c>
      <c r="H2" s="2522" t="s">
        <v>2511</v>
      </c>
      <c r="I2" s="2522" t="s">
        <v>2512</v>
      </c>
      <c r="J2" s="2523" t="s">
        <v>2513</v>
      </c>
      <c r="K2" s="2523" t="s">
        <v>2514</v>
      </c>
      <c r="L2" s="2523" t="s">
        <v>2515</v>
      </c>
      <c r="M2" s="2524" t="s">
        <v>2516</v>
      </c>
      <c r="Q2" s="2534" t="s">
        <v>2714</v>
      </c>
      <c r="R2" s="2534" t="s">
        <v>2715</v>
      </c>
      <c r="S2" s="2534" t="s">
        <v>2716</v>
      </c>
      <c r="T2" s="2534" t="s">
        <v>2717</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2710</v>
      </c>
      <c r="B93" s="2519"/>
      <c r="C93" s="2519"/>
      <c r="D93" s="2519"/>
      <c r="E93" s="2519"/>
      <c r="F93" s="2519"/>
      <c r="G93" s="2519"/>
      <c r="H93" s="2519"/>
      <c r="I93" s="2519"/>
      <c r="J93" s="2519"/>
      <c r="K93" s="2519"/>
      <c r="L93" s="2519"/>
      <c r="M93" s="2519"/>
    </row>
    <row r="94" spans="1:20">
      <c r="A94" s="2520" t="s">
        <v>2709</v>
      </c>
      <c r="B94" s="2521" t="s">
        <v>2505</v>
      </c>
      <c r="C94" s="2521" t="s">
        <v>2506</v>
      </c>
      <c r="D94" s="2521" t="s">
        <v>2507</v>
      </c>
      <c r="E94" s="2521" t="s">
        <v>2508</v>
      </c>
      <c r="F94" s="2521" t="s">
        <v>2509</v>
      </c>
      <c r="G94" s="2521" t="s">
        <v>2510</v>
      </c>
      <c r="H94" s="2522" t="s">
        <v>2511</v>
      </c>
      <c r="I94" s="2522" t="s">
        <v>2512</v>
      </c>
      <c r="J94" s="2523" t="s">
        <v>2513</v>
      </c>
      <c r="K94" s="2523" t="s">
        <v>2514</v>
      </c>
      <c r="L94" s="2523" t="s">
        <v>2515</v>
      </c>
      <c r="M94" s="2524" t="s">
        <v>2516</v>
      </c>
      <c r="N94" s="549">
        <f>SUMPRODUCT((A95:A184=ROUNDDOWN(基准地价修正!G3,1))*(B94:M94=基准地价修正!G2)*(B95:M184))</f>
        <v>1.2302</v>
      </c>
      <c r="Q94" s="2534" t="s">
        <v>2714</v>
      </c>
      <c r="R94" s="2534" t="s">
        <v>2715</v>
      </c>
      <c r="S94" s="2534" t="s">
        <v>2716</v>
      </c>
      <c r="T94" s="2534" t="s">
        <v>2717</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2711</v>
      </c>
      <c r="B185" s="2519"/>
      <c r="C185" s="2519"/>
      <c r="D185" s="2519"/>
      <c r="E185" s="2519"/>
      <c r="F185" s="2519"/>
      <c r="G185" s="2519"/>
      <c r="H185" s="2519"/>
      <c r="I185" s="2519"/>
      <c r="J185" s="2519"/>
      <c r="K185" s="2519"/>
      <c r="L185" s="2519"/>
      <c r="M185" s="2519"/>
    </row>
    <row r="186" spans="1:20">
      <c r="A186" s="2520" t="s">
        <v>2709</v>
      </c>
      <c r="B186" s="2521" t="s">
        <v>2505</v>
      </c>
      <c r="C186" s="2521" t="s">
        <v>2506</v>
      </c>
      <c r="D186" s="2521" t="s">
        <v>2507</v>
      </c>
      <c r="E186" s="2521" t="s">
        <v>2508</v>
      </c>
      <c r="F186" s="2521" t="s">
        <v>2509</v>
      </c>
      <c r="G186" s="2521" t="s">
        <v>2510</v>
      </c>
      <c r="H186" s="2522" t="s">
        <v>2511</v>
      </c>
      <c r="I186" s="2522" t="s">
        <v>2512</v>
      </c>
      <c r="J186" s="2523" t="s">
        <v>2513</v>
      </c>
      <c r="K186" s="2523" t="s">
        <v>2514</v>
      </c>
      <c r="L186" s="2523" t="s">
        <v>2515</v>
      </c>
      <c r="M186" s="2524" t="s">
        <v>2516</v>
      </c>
      <c r="Q186" s="2534" t="s">
        <v>2714</v>
      </c>
      <c r="R186" s="2534" t="s">
        <v>2715</v>
      </c>
      <c r="S186" s="2534" t="s">
        <v>2716</v>
      </c>
      <c r="T186" s="2534" t="s">
        <v>2717</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2712</v>
      </c>
      <c r="B277" s="2519"/>
      <c r="C277" s="2519"/>
      <c r="D277" s="2519"/>
      <c r="E277" s="2519"/>
      <c r="F277" s="2519"/>
      <c r="G277" s="2519"/>
      <c r="H277" s="2519"/>
      <c r="I277" s="2519"/>
      <c r="J277" s="2519"/>
      <c r="K277" s="2519"/>
      <c r="L277" s="2519"/>
      <c r="M277" s="2519"/>
    </row>
    <row r="278" spans="1:21">
      <c r="A278" s="2520" t="s">
        <v>2709</v>
      </c>
      <c r="B278" s="2521" t="s">
        <v>2505</v>
      </c>
      <c r="C278" s="2521" t="s">
        <v>2506</v>
      </c>
      <c r="D278" s="2521" t="s">
        <v>2507</v>
      </c>
      <c r="E278" s="2521" t="s">
        <v>2508</v>
      </c>
      <c r="F278" s="2521" t="s">
        <v>2509</v>
      </c>
      <c r="G278" s="2521" t="s">
        <v>2510</v>
      </c>
      <c r="H278" s="2522" t="s">
        <v>2511</v>
      </c>
      <c r="I278" s="2522" t="s">
        <v>2512</v>
      </c>
      <c r="J278" s="2523" t="s">
        <v>2513</v>
      </c>
      <c r="K278" s="2523" t="s">
        <v>2514</v>
      </c>
      <c r="L278" s="2523" t="s">
        <v>2515</v>
      </c>
      <c r="M278" s="2524" t="s">
        <v>2516</v>
      </c>
      <c r="Q278" s="2534" t="s">
        <v>2714</v>
      </c>
      <c r="R278" s="2534" t="s">
        <v>2715</v>
      </c>
      <c r="S278" s="2534" t="s">
        <v>2718</v>
      </c>
      <c r="T278" s="2534" t="s">
        <v>2719</v>
      </c>
      <c r="U278" s="2534" t="s">
        <v>2717</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2713</v>
      </c>
      <c r="B369" s="2532"/>
      <c r="C369" s="2532"/>
      <c r="D369" s="2532"/>
      <c r="E369" s="2532"/>
      <c r="F369" s="2532"/>
      <c r="G369" s="2532"/>
      <c r="H369" s="2532"/>
      <c r="I369" s="2532"/>
      <c r="J369" s="2532"/>
      <c r="K369" s="2532"/>
      <c r="L369" s="2532"/>
      <c r="M369" s="2532"/>
    </row>
    <row r="370" spans="1:20">
      <c r="A370" s="2520" t="s">
        <v>2709</v>
      </c>
      <c r="B370" s="2521" t="s">
        <v>2505</v>
      </c>
      <c r="C370" s="2521" t="s">
        <v>2506</v>
      </c>
      <c r="D370" s="2521" t="s">
        <v>2507</v>
      </c>
      <c r="E370" s="2521" t="s">
        <v>2508</v>
      </c>
      <c r="F370" s="2521" t="s">
        <v>2509</v>
      </c>
      <c r="G370" s="2521" t="s">
        <v>2510</v>
      </c>
      <c r="H370" s="2522" t="s">
        <v>2511</v>
      </c>
      <c r="I370" s="2522" t="s">
        <v>2512</v>
      </c>
      <c r="J370" s="2523" t="s">
        <v>2513</v>
      </c>
      <c r="K370" s="2523" t="s">
        <v>2514</v>
      </c>
      <c r="L370" s="2523" t="s">
        <v>2515</v>
      </c>
      <c r="M370" s="2524" t="s">
        <v>2516</v>
      </c>
      <c r="N370" s="549">
        <f>SUMPRODUCT((A371:A460=ROUNDDOWN(基准地价修正!G3,1))*(B370:M370=基准地价修正!G2)*(B371:M460))</f>
        <v>1.1198999999999999</v>
      </c>
      <c r="Q370" s="2534" t="s">
        <v>2714</v>
      </c>
      <c r="R370" s="2534" t="s">
        <v>2715</v>
      </c>
      <c r="S370" s="2534" t="s">
        <v>2716</v>
      </c>
      <c r="T370" s="2534" t="s">
        <v>2717</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27346</v>
      </c>
      <c r="C2" s="2" t="s">
        <v>104</v>
      </c>
      <c r="D2" s="99"/>
      <c r="E2" s="99"/>
      <c r="F2" s="99"/>
      <c r="G2" s="99"/>
    </row>
    <row r="3" spans="1:7" s="100" customFormat="1" ht="18" customHeight="1" thickBot="1">
      <c r="A3" s="103" t="s">
        <v>56</v>
      </c>
      <c r="B3" s="104">
        <f ca="1">ROUND(B2*10000/'数据-汇总表'!E3,0)</f>
        <v>24756</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221</v>
      </c>
      <c r="D10" s="598">
        <f>'数据-汇总表'!E6</f>
        <v>11046.05</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221</v>
      </c>
      <c r="D19" s="602">
        <f>'数据-汇总表'!E3</f>
        <v>11046.05</v>
      </c>
      <c r="E19" s="111">
        <f>'数据-取费表'!B31</f>
        <v>200</v>
      </c>
      <c r="F19" s="131"/>
      <c r="G19" s="1" t="s">
        <v>430</v>
      </c>
    </row>
    <row r="20" spans="1:7" s="114" customFormat="1" ht="13.5" customHeight="1">
      <c r="A20" s="567" t="s">
        <v>413</v>
      </c>
      <c r="B20" s="110" t="s">
        <v>75</v>
      </c>
      <c r="C20" s="132">
        <f>ROUND((C5+C19)*F20,0)</f>
        <v>417</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1337</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14</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1062</v>
      </c>
      <c r="D27" s="135">
        <f>C29</f>
        <v>1E-3</v>
      </c>
      <c r="E27" s="136" t="s">
        <v>97</v>
      </c>
      <c r="F27" s="146">
        <f>'数据-取费表'!Q16</f>
        <v>0.05</v>
      </c>
      <c r="G27" s="147" t="s">
        <v>425</v>
      </c>
    </row>
    <row r="28" spans="1:7" s="114" customFormat="1" ht="13.5" customHeight="1">
      <c r="A28" s="570" t="s">
        <v>347</v>
      </c>
      <c r="B28" s="148" t="s">
        <v>418</v>
      </c>
      <c r="C28" s="149">
        <f>ROUND((C5+C19+C20)*F27*'数据-取费表'!B21/'数据-取费表'!B20,0)</f>
        <v>1062</v>
      </c>
      <c r="D28" s="135"/>
      <c r="E28" s="136"/>
      <c r="F28" s="146"/>
      <c r="G28" s="147"/>
    </row>
    <row r="29" spans="1:7" s="114" customFormat="1" ht="13.5" customHeight="1">
      <c r="A29" s="570" t="s">
        <v>345</v>
      </c>
      <c r="B29" s="148" t="s">
        <v>419</v>
      </c>
      <c r="C29" s="138">
        <f>ROUND(C21*F27*'数据-取费表'!B21/'数据-取费表'!B20,4)</f>
        <v>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24169</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3614</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3040</v>
      </c>
      <c r="D34" s="117"/>
      <c r="E34" s="120"/>
      <c r="F34" s="157">
        <f>IF('数据-取费表'!B24=0,1,'数据-取费表'!N16)</f>
        <v>1</v>
      </c>
      <c r="G34" s="119" t="s">
        <v>87</v>
      </c>
    </row>
    <row r="35" spans="1:7" ht="13.5" customHeight="1">
      <c r="A35" s="570" t="s">
        <v>349</v>
      </c>
      <c r="B35" s="115" t="s">
        <v>31</v>
      </c>
      <c r="C35" s="120">
        <f>ROUND(C34*F35,0)</f>
        <v>182</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331</v>
      </c>
      <c r="D37" s="117">
        <f>'数据-汇总表'!E3</f>
        <v>11046.05</v>
      </c>
      <c r="E37" s="149">
        <f>'数据-取费表'!B35</f>
        <v>300</v>
      </c>
      <c r="F37" s="159"/>
      <c r="G37" s="161" t="s">
        <v>90</v>
      </c>
    </row>
    <row r="38" spans="1:7" ht="13.5" customHeight="1">
      <c r="A38" s="570" t="s">
        <v>352</v>
      </c>
      <c r="B38" s="115" t="s">
        <v>34</v>
      </c>
      <c r="C38" s="120">
        <f>ROUND(C34*F38,0)</f>
        <v>61</v>
      </c>
      <c r="D38" s="120"/>
      <c r="E38" s="120"/>
      <c r="F38" s="159">
        <f>'数据-取费表'!B36</f>
        <v>0.02</v>
      </c>
      <c r="G38" s="119" t="s">
        <v>88</v>
      </c>
    </row>
    <row r="39" spans="1:7" s="114" customFormat="1" ht="13.5" customHeight="1">
      <c r="A39" s="567" t="s">
        <v>336</v>
      </c>
      <c r="B39" s="110" t="s">
        <v>75</v>
      </c>
      <c r="C39" s="132">
        <f>ROUND(C33*F20,0)</f>
        <v>72</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115</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113</v>
      </c>
      <c r="D42" s="138"/>
      <c r="E42" s="138"/>
      <c r="F42" s="139"/>
      <c r="G42" s="4683" t="s">
        <v>92</v>
      </c>
    </row>
    <row r="43" spans="1:7" ht="13.5" customHeight="1">
      <c r="A43" s="570" t="s">
        <v>345</v>
      </c>
      <c r="B43" s="115" t="s">
        <v>420</v>
      </c>
      <c r="C43" s="138">
        <f ca="1">ROUND(IF('数据-取费表'!B22&lt;=1,C39*F22*'数据-取费表'!B21/2,C39*(POWER((1+F22),'数据-取费表'!B21/2)-1)),0)</f>
        <v>2</v>
      </c>
      <c r="D43" s="138"/>
      <c r="E43" s="138"/>
      <c r="F43" s="139"/>
      <c r="G43" s="4685"/>
    </row>
    <row r="44" spans="1:7" ht="13.5" customHeight="1">
      <c r="A44" s="570" t="s">
        <v>346</v>
      </c>
      <c r="B44" s="115" t="s">
        <v>422</v>
      </c>
      <c r="C44" s="138">
        <f ca="1">ROUND(IF('数据-取费表'!B22&lt;=1,C40*F22*'数据-取费表'!B21/2,C40*(POWER((1+F22),'数据-取费表'!B21/2)-1)),4)</f>
        <v>5.9999999999999995E-4</v>
      </c>
      <c r="D44" s="138"/>
      <c r="E44" s="138"/>
      <c r="F44" s="139"/>
      <c r="G44" s="4684"/>
    </row>
    <row r="45" spans="1:7" s="114" customFormat="1" ht="13.5" customHeight="1">
      <c r="A45" s="567" t="s">
        <v>339</v>
      </c>
      <c r="B45" s="144" t="s">
        <v>83</v>
      </c>
      <c r="C45" s="145">
        <f>C46</f>
        <v>184</v>
      </c>
      <c r="D45" s="135">
        <f>C47</f>
        <v>1E-3</v>
      </c>
      <c r="E45" s="136" t="s">
        <v>100</v>
      </c>
      <c r="F45" s="146"/>
      <c r="G45" s="147" t="s">
        <v>428</v>
      </c>
    </row>
    <row r="46" spans="1:7" s="114" customFormat="1" ht="13.5" customHeight="1">
      <c r="A46" s="570" t="s">
        <v>347</v>
      </c>
      <c r="B46" s="148" t="s">
        <v>421</v>
      </c>
      <c r="C46" s="149">
        <f>ROUND((C33+C39)*F27,0)</f>
        <v>184</v>
      </c>
      <c r="D46" s="163"/>
      <c r="E46" s="136"/>
      <c r="F46" s="146"/>
      <c r="G46" s="147"/>
    </row>
    <row r="47" spans="1:7" s="114" customFormat="1" ht="13.5" customHeight="1">
      <c r="A47" s="570" t="s">
        <v>345</v>
      </c>
      <c r="B47" s="148" t="s">
        <v>423</v>
      </c>
      <c r="C47" s="138">
        <f>ROUND(C40*F27,4)</f>
        <v>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4073</v>
      </c>
      <c r="D49" s="132"/>
      <c r="E49" s="132"/>
      <c r="F49" s="164"/>
      <c r="G49" s="134" t="s">
        <v>429</v>
      </c>
    </row>
    <row r="50" spans="1:7" s="158" customFormat="1" ht="24">
      <c r="A50" s="567" t="s">
        <v>342</v>
      </c>
      <c r="B50" s="110" t="s">
        <v>95</v>
      </c>
      <c r="C50" s="132"/>
      <c r="D50" s="132"/>
      <c r="E50" s="132"/>
      <c r="F50" s="164">
        <f>IF('数据-取费表'!B24=0,'数据-取费表'!N16,1)</f>
        <v>0.78</v>
      </c>
      <c r="G50" s="147" t="s">
        <v>96</v>
      </c>
    </row>
    <row r="51" spans="1:7" ht="16.5" customHeight="1">
      <c r="A51" s="567" t="s">
        <v>343</v>
      </c>
      <c r="B51" s="110" t="s">
        <v>103</v>
      </c>
      <c r="C51" s="132">
        <f ca="1">ROUND(C49*F50,0)</f>
        <v>3177</v>
      </c>
      <c r="D51" s="132"/>
      <c r="E51" s="132"/>
      <c r="F51" s="164"/>
      <c r="G51" s="134" t="s">
        <v>35</v>
      </c>
    </row>
    <row r="52" spans="1:7" s="108" customFormat="1" ht="16.5" thickBot="1">
      <c r="A52" s="165" t="s">
        <v>36</v>
      </c>
      <c r="B52" s="166"/>
      <c r="C52" s="167">
        <f ca="1">C31+C51</f>
        <v>27346</v>
      </c>
      <c r="D52" s="166"/>
      <c r="E52" s="166"/>
      <c r="F52" s="166"/>
      <c r="G52" s="168"/>
    </row>
    <row r="55" spans="1:7" ht="15">
      <c r="B55" s="170" t="s">
        <v>37</v>
      </c>
      <c r="C55" s="171"/>
    </row>
    <row r="56" spans="1:7">
      <c r="B56" s="173" t="s">
        <v>38</v>
      </c>
      <c r="C56" s="174">
        <f ca="1">ROUND(C51/C52,3)</f>
        <v>0.11600000000000001</v>
      </c>
    </row>
    <row r="57" spans="1:7">
      <c r="B57" s="173" t="s">
        <v>39</v>
      </c>
      <c r="C57" s="175">
        <f ca="1">1-C56</f>
        <v>0.88400000000000001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86" t="s">
        <v>3091</v>
      </c>
      <c r="B1" s="4886"/>
    </row>
    <row r="2" spans="1:7" ht="14.25" thickBot="1">
      <c r="A2" s="2630"/>
      <c r="B2" s="2630"/>
    </row>
    <row r="3" spans="1:7" ht="14.25" thickBot="1">
      <c r="A3" s="2630"/>
      <c r="B3" s="2630"/>
      <c r="C3" s="2631" t="s">
        <v>2721</v>
      </c>
      <c r="D3" s="2631" t="s">
        <v>2777</v>
      </c>
      <c r="E3" s="2631" t="s">
        <v>2723</v>
      </c>
      <c r="F3" s="2631" t="s">
        <v>2778</v>
      </c>
      <c r="G3" s="2631" t="s">
        <v>2541</v>
      </c>
    </row>
    <row r="4" spans="1:7" ht="14.25" thickBot="1">
      <c r="A4" s="2632" t="s">
        <v>2776</v>
      </c>
      <c r="B4" s="2633" t="s">
        <v>2782</v>
      </c>
      <c r="C4" s="2631"/>
      <c r="D4" s="2631"/>
      <c r="E4" s="2631"/>
      <c r="F4" s="2631"/>
      <c r="G4" s="2631"/>
    </row>
    <row r="5" spans="1:7">
      <c r="A5" s="2634" t="s">
        <v>2750</v>
      </c>
      <c r="B5" s="2635" t="s">
        <v>2764</v>
      </c>
      <c r="C5" s="2636">
        <v>9.8000000000000004E-2</v>
      </c>
      <c r="D5" s="2636">
        <v>8.6999999999999994E-2</v>
      </c>
      <c r="E5" s="2636">
        <v>8.6999999999999994E-2</v>
      </c>
      <c r="F5" s="2636">
        <v>9.8000000000000004E-2</v>
      </c>
      <c r="G5" s="2637">
        <v>9.5000000000000001E-2</v>
      </c>
    </row>
    <row r="6" spans="1:7">
      <c r="A6" s="2638" t="s">
        <v>142</v>
      </c>
      <c r="B6" s="2639" t="s">
        <v>2779</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2765</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2815</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2833</v>
      </c>
      <c r="C29" s="2648"/>
      <c r="D29" s="2644">
        <v>5.1999999999999998E-2</v>
      </c>
      <c r="E29" s="2644">
        <v>7.0000000000000007E-2</v>
      </c>
      <c r="F29" s="2648"/>
      <c r="G29" s="2646">
        <v>7.0999999999999994E-2</v>
      </c>
    </row>
    <row r="30" spans="1:7">
      <c r="A30" s="2649" t="s">
        <v>294</v>
      </c>
      <c r="B30" s="2635" t="s">
        <v>2766</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2752</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2836</v>
      </c>
      <c r="C50" s="2640">
        <v>9.8000000000000004E-2</v>
      </c>
      <c r="D50" s="2640">
        <v>7.2999999999999995E-2</v>
      </c>
      <c r="E50" s="2640">
        <v>7.0999999999999994E-2</v>
      </c>
      <c r="F50" s="2651"/>
      <c r="G50" s="2641">
        <v>7.2999999999999995E-2</v>
      </c>
    </row>
    <row r="51" spans="1:7">
      <c r="A51" s="2650" t="s">
        <v>294</v>
      </c>
      <c r="B51" s="2639" t="s">
        <v>2838</v>
      </c>
      <c r="C51" s="2640">
        <v>9.9000000000000005E-2</v>
      </c>
      <c r="D51" s="2640">
        <v>8.5000000000000006E-2</v>
      </c>
      <c r="E51" s="2640">
        <v>6.3E-2</v>
      </c>
      <c r="F51" s="2651"/>
      <c r="G51" s="2641">
        <v>9.6000000000000002E-2</v>
      </c>
    </row>
    <row r="52" spans="1:7">
      <c r="A52" s="2650" t="s">
        <v>294</v>
      </c>
      <c r="B52" s="2639" t="s">
        <v>2842</v>
      </c>
      <c r="C52" s="2640">
        <v>7.3999999999999996E-2</v>
      </c>
      <c r="D52" s="2640">
        <v>9.6000000000000002E-2</v>
      </c>
      <c r="E52" s="2640">
        <v>0.05</v>
      </c>
      <c r="F52" s="2651"/>
      <c r="G52" s="2641">
        <v>9.8000000000000004E-2</v>
      </c>
    </row>
    <row r="53" spans="1:7">
      <c r="A53" s="2650" t="s">
        <v>294</v>
      </c>
      <c r="B53" s="2639" t="s">
        <v>2847</v>
      </c>
      <c r="C53" s="2640">
        <v>8.5999999999999993E-2</v>
      </c>
      <c r="D53" s="2651"/>
      <c r="E53" s="2640">
        <v>9.1999999999999998E-2</v>
      </c>
      <c r="F53" s="2651"/>
      <c r="G53" s="2652"/>
    </row>
    <row r="54" spans="1:7" ht="14.25" thickBot="1">
      <c r="A54" s="2653" t="s">
        <v>294</v>
      </c>
      <c r="B54" s="2643" t="s">
        <v>2850</v>
      </c>
      <c r="C54" s="2644">
        <v>9.6000000000000002E-2</v>
      </c>
      <c r="D54" s="2645"/>
      <c r="E54" s="2654"/>
      <c r="F54" s="2645"/>
      <c r="G54" s="2655"/>
    </row>
    <row r="55" spans="1:7">
      <c r="A55" s="2649" t="s">
        <v>108</v>
      </c>
      <c r="B55" s="2635" t="s">
        <v>2767</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2848</v>
      </c>
      <c r="C78" s="2640">
        <v>0.1</v>
      </c>
      <c r="D78" s="2640">
        <v>8.5000000000000006E-2</v>
      </c>
      <c r="E78" s="2640">
        <v>9.6000000000000002E-2</v>
      </c>
      <c r="F78" s="2651"/>
      <c r="G78" s="2641">
        <v>9.6000000000000002E-2</v>
      </c>
    </row>
    <row r="79" spans="1:7">
      <c r="A79" s="2650" t="s">
        <v>108</v>
      </c>
      <c r="B79" s="2639" t="s">
        <v>2851</v>
      </c>
      <c r="C79" s="2640">
        <v>0.05</v>
      </c>
      <c r="D79" s="2640">
        <v>9.6000000000000002E-2</v>
      </c>
      <c r="E79" s="2640">
        <v>9.5000000000000001E-2</v>
      </c>
      <c r="F79" s="2651"/>
      <c r="G79" s="2641">
        <v>9.8000000000000004E-2</v>
      </c>
    </row>
    <row r="80" spans="1:7">
      <c r="A80" s="2650" t="s">
        <v>108</v>
      </c>
      <c r="B80" s="2639" t="s">
        <v>2855</v>
      </c>
      <c r="C80" s="2640">
        <v>8.5999999999999993E-2</v>
      </c>
      <c r="D80" s="2656"/>
      <c r="E80" s="2640">
        <v>0.1</v>
      </c>
      <c r="F80" s="2651"/>
      <c r="G80" s="2652"/>
    </row>
    <row r="81" spans="1:7">
      <c r="A81" s="2650" t="s">
        <v>108</v>
      </c>
      <c r="B81" s="2639" t="s">
        <v>2860</v>
      </c>
      <c r="C81" s="2640">
        <v>9.6000000000000002E-2</v>
      </c>
      <c r="D81" s="2651"/>
      <c r="E81" s="2640">
        <v>9.8000000000000004E-2</v>
      </c>
      <c r="F81" s="2651"/>
      <c r="G81" s="2652"/>
    </row>
    <row r="82" spans="1:7">
      <c r="A82" s="2650" t="s">
        <v>108</v>
      </c>
      <c r="B82" s="2639" t="s">
        <v>2867</v>
      </c>
      <c r="C82" s="2656"/>
      <c r="D82" s="2651"/>
      <c r="E82" s="2640">
        <v>7.6999999999999999E-2</v>
      </c>
      <c r="F82" s="2651"/>
      <c r="G82" s="2652"/>
    </row>
    <row r="83" spans="1:7">
      <c r="A83" s="2650" t="s">
        <v>108</v>
      </c>
      <c r="B83" s="2639" t="s">
        <v>2873</v>
      </c>
      <c r="C83" s="2651"/>
      <c r="D83" s="2651"/>
      <c r="E83" s="2651"/>
      <c r="F83" s="2640">
        <v>0.1</v>
      </c>
      <c r="G83" s="2657"/>
    </row>
    <row r="84" spans="1:7">
      <c r="A84" s="2650" t="s">
        <v>108</v>
      </c>
      <c r="B84" s="2639" t="s">
        <v>2880</v>
      </c>
      <c r="C84" s="2651"/>
      <c r="D84" s="2651"/>
      <c r="E84" s="2651"/>
      <c r="F84" s="2640">
        <v>0.1</v>
      </c>
      <c r="G84" s="2657"/>
    </row>
    <row r="85" spans="1:7">
      <c r="A85" s="2650" t="s">
        <v>108</v>
      </c>
      <c r="B85" s="2639" t="s">
        <v>2887</v>
      </c>
      <c r="C85" s="2651"/>
      <c r="D85" s="2651"/>
      <c r="E85" s="2651"/>
      <c r="F85" s="2640">
        <v>0.1</v>
      </c>
      <c r="G85" s="2657"/>
    </row>
    <row r="86" spans="1:7" ht="14.25" thickBot="1">
      <c r="A86" s="2653" t="s">
        <v>108</v>
      </c>
      <c r="B86" s="2643" t="s">
        <v>2892</v>
      </c>
      <c r="C86" s="2644">
        <v>9.8000000000000004E-2</v>
      </c>
      <c r="D86" s="2644">
        <v>9.8000000000000004E-2</v>
      </c>
      <c r="E86" s="2644">
        <v>9.6000000000000002E-2</v>
      </c>
      <c r="F86" s="2654"/>
      <c r="G86" s="2646">
        <v>0.1</v>
      </c>
    </row>
    <row r="87" spans="1:7">
      <c r="A87" s="2649" t="s">
        <v>301</v>
      </c>
      <c r="B87" s="2635" t="s">
        <v>2768</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2861</v>
      </c>
      <c r="C113" s="2640">
        <v>0.1</v>
      </c>
      <c r="D113" s="2640">
        <v>0.1</v>
      </c>
      <c r="E113" s="2651"/>
      <c r="F113" s="2651"/>
      <c r="G113" s="2641">
        <v>0.1</v>
      </c>
    </row>
    <row r="114" spans="1:7">
      <c r="A114" s="2650" t="s">
        <v>301</v>
      </c>
      <c r="B114" s="2639" t="s">
        <v>2868</v>
      </c>
      <c r="C114" s="2640">
        <v>9.7000000000000003E-2</v>
      </c>
      <c r="D114" s="2640">
        <v>9.7000000000000003E-2</v>
      </c>
      <c r="E114" s="2651"/>
      <c r="F114" s="2651"/>
      <c r="G114" s="2641">
        <v>9.9000000000000005E-2</v>
      </c>
    </row>
    <row r="115" spans="1:7">
      <c r="A115" s="2650" t="s">
        <v>301</v>
      </c>
      <c r="B115" s="2639" t="s">
        <v>2874</v>
      </c>
      <c r="C115" s="2640">
        <v>0.1</v>
      </c>
      <c r="D115" s="2640">
        <v>0.1</v>
      </c>
      <c r="E115" s="2651"/>
      <c r="F115" s="2651"/>
      <c r="G115" s="2641">
        <v>0.1</v>
      </c>
    </row>
    <row r="116" spans="1:7">
      <c r="A116" s="2650" t="s">
        <v>301</v>
      </c>
      <c r="B116" s="2639" t="s">
        <v>2881</v>
      </c>
      <c r="C116" s="2640">
        <v>0.1</v>
      </c>
      <c r="D116" s="2640">
        <v>0.1</v>
      </c>
      <c r="E116" s="2651"/>
      <c r="F116" s="2651"/>
      <c r="G116" s="2641">
        <v>0.1</v>
      </c>
    </row>
    <row r="117" spans="1:7">
      <c r="A117" s="2650" t="s">
        <v>301</v>
      </c>
      <c r="B117" s="2639" t="s">
        <v>2888</v>
      </c>
      <c r="C117" s="2640">
        <v>9.7000000000000003E-2</v>
      </c>
      <c r="D117" s="2640">
        <v>9.7000000000000003E-2</v>
      </c>
      <c r="E117" s="2651"/>
      <c r="F117" s="2651"/>
      <c r="G117" s="2641">
        <v>9.7000000000000003E-2</v>
      </c>
    </row>
    <row r="118" spans="1:7">
      <c r="A118" s="2650" t="s">
        <v>301</v>
      </c>
      <c r="B118" s="2639" t="s">
        <v>2893</v>
      </c>
      <c r="C118" s="2640">
        <v>0.1</v>
      </c>
      <c r="D118" s="2640">
        <v>0.1</v>
      </c>
      <c r="E118" s="2651"/>
      <c r="F118" s="2651"/>
      <c r="G118" s="2641">
        <v>0.1</v>
      </c>
    </row>
    <row r="119" spans="1:7">
      <c r="A119" s="2650" t="s">
        <v>301</v>
      </c>
      <c r="B119" s="2639" t="s">
        <v>2897</v>
      </c>
      <c r="C119" s="2640">
        <v>5.0999999999999997E-2</v>
      </c>
      <c r="D119" s="2640">
        <v>5.1999999999999998E-2</v>
      </c>
      <c r="E119" s="2651"/>
      <c r="F119" s="2656"/>
      <c r="G119" s="2641">
        <v>0.06</v>
      </c>
    </row>
    <row r="120" spans="1:7">
      <c r="A120" s="2650" t="s">
        <v>301</v>
      </c>
      <c r="B120" s="2639" t="s">
        <v>2901</v>
      </c>
      <c r="C120" s="2651"/>
      <c r="D120" s="2651"/>
      <c r="E120" s="2651"/>
      <c r="F120" s="2640">
        <v>0.1</v>
      </c>
      <c r="G120" s="2657"/>
    </row>
    <row r="121" spans="1:7">
      <c r="A121" s="2650" t="s">
        <v>301</v>
      </c>
      <c r="B121" s="2639" t="s">
        <v>2906</v>
      </c>
      <c r="C121" s="2651"/>
      <c r="D121" s="2651"/>
      <c r="E121" s="2651"/>
      <c r="F121" s="2640">
        <v>0.1</v>
      </c>
      <c r="G121" s="2657"/>
    </row>
    <row r="122" spans="1:7">
      <c r="A122" s="2650" t="s">
        <v>301</v>
      </c>
      <c r="B122" s="2639" t="s">
        <v>2911</v>
      </c>
      <c r="C122" s="2640">
        <v>0.1</v>
      </c>
      <c r="D122" s="2640">
        <v>0.1</v>
      </c>
      <c r="E122" s="2640">
        <v>9.8000000000000004E-2</v>
      </c>
      <c r="F122" s="2640">
        <v>0.1</v>
      </c>
      <c r="G122" s="2641">
        <v>0.1</v>
      </c>
    </row>
    <row r="123" spans="1:7">
      <c r="A123" s="2650" t="s">
        <v>301</v>
      </c>
      <c r="B123" s="2639" t="s">
        <v>2916</v>
      </c>
      <c r="C123" s="2640">
        <v>0.1</v>
      </c>
      <c r="D123" s="2640">
        <v>0.1</v>
      </c>
      <c r="E123" s="2640">
        <v>9.8000000000000004E-2</v>
      </c>
      <c r="F123" s="2640">
        <v>0.1</v>
      </c>
      <c r="G123" s="2641">
        <v>0.1</v>
      </c>
    </row>
    <row r="124" spans="1:7">
      <c r="A124" s="2650" t="s">
        <v>301</v>
      </c>
      <c r="B124" s="2639" t="s">
        <v>2921</v>
      </c>
      <c r="C124" s="2640">
        <v>0.1</v>
      </c>
      <c r="D124" s="2640">
        <v>0.1</v>
      </c>
      <c r="E124" s="2640">
        <v>9.8000000000000004E-2</v>
      </c>
      <c r="F124" s="2656"/>
      <c r="G124" s="2641">
        <v>0.1</v>
      </c>
    </row>
    <row r="125" spans="1:7">
      <c r="A125" s="2650" t="s">
        <v>301</v>
      </c>
      <c r="B125" s="2639" t="s">
        <v>2926</v>
      </c>
      <c r="C125" s="2640">
        <v>9.8000000000000004E-2</v>
      </c>
      <c r="D125" s="2640">
        <v>9.8000000000000004E-2</v>
      </c>
      <c r="E125" s="2640">
        <v>9.6000000000000002E-2</v>
      </c>
      <c r="F125" s="2656"/>
      <c r="G125" s="2641">
        <v>0.1</v>
      </c>
    </row>
    <row r="126" spans="1:7" ht="14.25" thickBot="1">
      <c r="A126" s="2653" t="s">
        <v>301</v>
      </c>
      <c r="B126" s="2643" t="s">
        <v>3092</v>
      </c>
      <c r="C126" s="2644">
        <v>0.1</v>
      </c>
      <c r="D126" s="2644">
        <v>0.1</v>
      </c>
      <c r="E126" s="2644">
        <v>9.8000000000000004E-2</v>
      </c>
      <c r="F126" s="2644">
        <v>0.1</v>
      </c>
      <c r="G126" s="2646">
        <v>0.1</v>
      </c>
    </row>
    <row r="127" spans="1:7">
      <c r="A127" s="2649" t="s">
        <v>27</v>
      </c>
      <c r="B127" s="2635" t="s">
        <v>2769</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2839</v>
      </c>
      <c r="C148" s="2640">
        <v>0.13</v>
      </c>
      <c r="D148" s="2640">
        <v>0.13</v>
      </c>
      <c r="E148" s="2640">
        <v>0.13</v>
      </c>
      <c r="F148" s="2651"/>
      <c r="G148" s="2641">
        <v>0.13</v>
      </c>
    </row>
    <row r="149" spans="1:7">
      <c r="A149" s="2650" t="s">
        <v>27</v>
      </c>
      <c r="B149" s="2639" t="s">
        <v>2843</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2862</v>
      </c>
      <c r="C153" s="2640">
        <v>0.13</v>
      </c>
      <c r="D153" s="2640">
        <v>0.13</v>
      </c>
      <c r="E153" s="2640">
        <v>0.13</v>
      </c>
      <c r="F153" s="2640">
        <v>0.13</v>
      </c>
      <c r="G153" s="2641">
        <v>0.13</v>
      </c>
    </row>
    <row r="154" spans="1:7">
      <c r="A154" s="2650" t="s">
        <v>27</v>
      </c>
      <c r="B154" s="2639" t="s">
        <v>2869</v>
      </c>
      <c r="C154" s="2640">
        <v>0.121</v>
      </c>
      <c r="D154" s="2640">
        <v>0.121</v>
      </c>
      <c r="E154" s="2640">
        <v>0.105</v>
      </c>
      <c r="F154" s="2640">
        <v>0.121</v>
      </c>
      <c r="G154" s="2641">
        <v>0.123</v>
      </c>
    </row>
    <row r="155" spans="1:7">
      <c r="A155" s="2650" t="s">
        <v>27</v>
      </c>
      <c r="B155" s="2639" t="s">
        <v>2875</v>
      </c>
      <c r="C155" s="2640">
        <v>0.1</v>
      </c>
      <c r="D155" s="2640">
        <v>0.1</v>
      </c>
      <c r="E155" s="2640">
        <v>0.1</v>
      </c>
      <c r="F155" s="2640">
        <v>0.1</v>
      </c>
      <c r="G155" s="2641">
        <v>0.1</v>
      </c>
    </row>
    <row r="156" spans="1:7">
      <c r="A156" s="2650" t="s">
        <v>27</v>
      </c>
      <c r="B156" s="2639" t="s">
        <v>2882</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2902</v>
      </c>
      <c r="C160" s="2640">
        <v>0.13</v>
      </c>
      <c r="D160" s="2640">
        <v>0.13</v>
      </c>
      <c r="E160" s="2640">
        <v>0.124</v>
      </c>
      <c r="F160" s="2640">
        <v>0.126</v>
      </c>
      <c r="G160" s="2641">
        <v>0.13</v>
      </c>
    </row>
    <row r="161" spans="1:7">
      <c r="A161" s="2650" t="s">
        <v>27</v>
      </c>
      <c r="B161" s="2639" t="s">
        <v>2907</v>
      </c>
      <c r="C161" s="2640">
        <v>0.13</v>
      </c>
      <c r="D161" s="2640">
        <v>0.13</v>
      </c>
      <c r="E161" s="2640">
        <v>0.124</v>
      </c>
      <c r="F161" s="2640">
        <v>0.127</v>
      </c>
      <c r="G161" s="2641">
        <v>0.13</v>
      </c>
    </row>
    <row r="162" spans="1:7">
      <c r="A162" s="2650" t="s">
        <v>27</v>
      </c>
      <c r="B162" s="2639" t="s">
        <v>2912</v>
      </c>
      <c r="C162" s="2640">
        <v>0.1</v>
      </c>
      <c r="D162" s="2640">
        <v>0.1</v>
      </c>
      <c r="E162" s="2640">
        <v>0.1</v>
      </c>
      <c r="F162" s="2640">
        <v>0.121</v>
      </c>
      <c r="G162" s="2641">
        <v>0.105</v>
      </c>
    </row>
    <row r="163" spans="1:7">
      <c r="A163" s="2650" t="s">
        <v>27</v>
      </c>
      <c r="B163" s="2639" t="s">
        <v>2917</v>
      </c>
      <c r="C163" s="2640">
        <v>0.1</v>
      </c>
      <c r="D163" s="2640">
        <v>0.1</v>
      </c>
      <c r="E163" s="2640">
        <v>0.1</v>
      </c>
      <c r="F163" s="2640">
        <v>0.1</v>
      </c>
      <c r="G163" s="2641">
        <v>0.1</v>
      </c>
    </row>
    <row r="164" spans="1:7">
      <c r="A164" s="2650" t="s">
        <v>27</v>
      </c>
      <c r="B164" s="2639" t="s">
        <v>2922</v>
      </c>
      <c r="C164" s="2656"/>
      <c r="D164" s="2656"/>
      <c r="E164" s="2656"/>
      <c r="F164" s="2640">
        <v>0.1</v>
      </c>
      <c r="G164" s="2652"/>
    </row>
    <row r="165" spans="1:7">
      <c r="A165" s="2650" t="s">
        <v>27</v>
      </c>
      <c r="B165" s="2639" t="s">
        <v>3093</v>
      </c>
      <c r="C165" s="2640">
        <v>0.126</v>
      </c>
      <c r="D165" s="2640">
        <v>0.126</v>
      </c>
      <c r="E165" s="2640">
        <v>0.11899999999999999</v>
      </c>
      <c r="F165" s="2640">
        <v>0.13</v>
      </c>
      <c r="G165" s="2641">
        <v>0.128</v>
      </c>
    </row>
    <row r="166" spans="1:7">
      <c r="A166" s="2650" t="s">
        <v>27</v>
      </c>
      <c r="B166" s="2639" t="s">
        <v>2932</v>
      </c>
      <c r="C166" s="2640">
        <v>0.129</v>
      </c>
      <c r="D166" s="2640">
        <v>0.129</v>
      </c>
      <c r="E166" s="2640">
        <v>0.123</v>
      </c>
      <c r="F166" s="2640">
        <v>0.128</v>
      </c>
      <c r="G166" s="2641">
        <v>0.13</v>
      </c>
    </row>
    <row r="167" spans="1:7">
      <c r="A167" s="2650" t="s">
        <v>27</v>
      </c>
      <c r="B167" s="2639" t="s">
        <v>2936</v>
      </c>
      <c r="C167" s="2640">
        <v>0.125</v>
      </c>
      <c r="D167" s="2640">
        <v>0.125</v>
      </c>
      <c r="E167" s="2640">
        <v>0.11700000000000001</v>
      </c>
      <c r="F167" s="2640">
        <v>0.13</v>
      </c>
      <c r="G167" s="2641">
        <v>0.126</v>
      </c>
    </row>
    <row r="168" spans="1:7">
      <c r="A168" s="2650" t="s">
        <v>27</v>
      </c>
      <c r="B168" s="2639" t="s">
        <v>2941</v>
      </c>
      <c r="C168" s="2640">
        <v>0.128</v>
      </c>
      <c r="D168" s="2640">
        <v>0.128</v>
      </c>
      <c r="E168" s="2640">
        <v>0.123</v>
      </c>
      <c r="F168" s="2651"/>
      <c r="G168" s="2641">
        <v>0.13</v>
      </c>
    </row>
    <row r="169" spans="1:7">
      <c r="A169" s="2650" t="s">
        <v>27</v>
      </c>
      <c r="B169" s="2639" t="s">
        <v>3094</v>
      </c>
      <c r="C169" s="2656"/>
      <c r="D169" s="2656"/>
      <c r="E169" s="2656"/>
      <c r="F169" s="2640">
        <v>0.05</v>
      </c>
      <c r="G169" s="2652"/>
    </row>
    <row r="170" spans="1:7">
      <c r="A170" s="2650" t="s">
        <v>27</v>
      </c>
      <c r="B170" s="2639" t="s">
        <v>3095</v>
      </c>
      <c r="C170" s="2656"/>
      <c r="D170" s="2656"/>
      <c r="E170" s="2656"/>
      <c r="F170" s="2640">
        <v>0.05</v>
      </c>
      <c r="G170" s="2652"/>
    </row>
    <row r="171" spans="1:7">
      <c r="A171" s="2650" t="s">
        <v>27</v>
      </c>
      <c r="B171" s="2639" t="s">
        <v>3096</v>
      </c>
      <c r="C171" s="2656"/>
      <c r="D171" s="2656"/>
      <c r="E171" s="2656"/>
      <c r="F171" s="2640">
        <v>0.05</v>
      </c>
      <c r="G171" s="2657"/>
    </row>
    <row r="172" spans="1:7">
      <c r="A172" s="2650" t="s">
        <v>27</v>
      </c>
      <c r="B172" s="2639" t="s">
        <v>3097</v>
      </c>
      <c r="C172" s="2656"/>
      <c r="D172" s="2656"/>
      <c r="E172" s="2656"/>
      <c r="F172" s="2640">
        <v>0.05</v>
      </c>
      <c r="G172" s="2657"/>
    </row>
    <row r="173" spans="1:7">
      <c r="A173" s="2650" t="s">
        <v>27</v>
      </c>
      <c r="B173" s="2639" t="s">
        <v>3098</v>
      </c>
      <c r="C173" s="2656"/>
      <c r="D173" s="2656"/>
      <c r="E173" s="2656"/>
      <c r="F173" s="2640">
        <v>0.05</v>
      </c>
      <c r="G173" s="2652"/>
    </row>
    <row r="174" spans="1:7">
      <c r="A174" s="2650" t="s">
        <v>27</v>
      </c>
      <c r="B174" s="2639" t="s">
        <v>3099</v>
      </c>
      <c r="C174" s="2656"/>
      <c r="D174" s="2656"/>
      <c r="E174" s="2656"/>
      <c r="F174" s="2640">
        <v>0.05</v>
      </c>
      <c r="G174" s="2652"/>
    </row>
    <row r="175" spans="1:7">
      <c r="A175" s="2650" t="s">
        <v>27</v>
      </c>
      <c r="B175" s="2639" t="s">
        <v>3100</v>
      </c>
      <c r="C175" s="2656"/>
      <c r="D175" s="2656"/>
      <c r="E175" s="2656"/>
      <c r="F175" s="2640">
        <v>0.05</v>
      </c>
      <c r="G175" s="2652"/>
    </row>
    <row r="176" spans="1:7">
      <c r="A176" s="2650" t="s">
        <v>27</v>
      </c>
      <c r="B176" s="2639" t="s">
        <v>3101</v>
      </c>
      <c r="C176" s="2656"/>
      <c r="D176" s="2656"/>
      <c r="E176" s="2656"/>
      <c r="F176" s="2640">
        <v>0.05</v>
      </c>
      <c r="G176" s="2652"/>
    </row>
    <row r="177" spans="1:7">
      <c r="A177" s="2650" t="s">
        <v>27</v>
      </c>
      <c r="B177" s="2639" t="s">
        <v>3102</v>
      </c>
      <c r="C177" s="2651"/>
      <c r="D177" s="2651"/>
      <c r="E177" s="2651"/>
      <c r="F177" s="2640">
        <v>0.05</v>
      </c>
      <c r="G177" s="2657"/>
    </row>
    <row r="178" spans="1:7">
      <c r="A178" s="2650" t="s">
        <v>27</v>
      </c>
      <c r="B178" s="2639" t="s">
        <v>3103</v>
      </c>
      <c r="C178" s="2651"/>
      <c r="D178" s="2651"/>
      <c r="E178" s="2651"/>
      <c r="F178" s="2640">
        <v>0.05</v>
      </c>
      <c r="G178" s="2657"/>
    </row>
    <row r="179" spans="1:7">
      <c r="A179" s="2650" t="s">
        <v>27</v>
      </c>
      <c r="B179" s="2639" t="s">
        <v>3104</v>
      </c>
      <c r="C179" s="2651"/>
      <c r="D179" s="2651"/>
      <c r="E179" s="2651"/>
      <c r="F179" s="2640">
        <v>0.05</v>
      </c>
      <c r="G179" s="2657"/>
    </row>
    <row r="180" spans="1:7">
      <c r="A180" s="2650" t="s">
        <v>27</v>
      </c>
      <c r="B180" s="2639" t="s">
        <v>3105</v>
      </c>
      <c r="C180" s="2651"/>
      <c r="D180" s="2651"/>
      <c r="E180" s="2651"/>
      <c r="F180" s="2640">
        <v>0.05</v>
      </c>
      <c r="G180" s="2657"/>
    </row>
    <row r="181" spans="1:7">
      <c r="A181" s="2650" t="s">
        <v>27</v>
      </c>
      <c r="B181" s="2639" t="s">
        <v>3106</v>
      </c>
      <c r="C181" s="2651"/>
      <c r="D181" s="2651"/>
      <c r="E181" s="2651"/>
      <c r="F181" s="2640">
        <v>0.05</v>
      </c>
      <c r="G181" s="2657"/>
    </row>
    <row r="182" spans="1:7">
      <c r="A182" s="2650" t="s">
        <v>27</v>
      </c>
      <c r="B182" s="2639" t="s">
        <v>3107</v>
      </c>
      <c r="C182" s="2651"/>
      <c r="D182" s="2651"/>
      <c r="E182" s="2651"/>
      <c r="F182" s="2640">
        <v>0.05</v>
      </c>
      <c r="G182" s="2657"/>
    </row>
    <row r="183" spans="1:7">
      <c r="A183" s="2650" t="s">
        <v>27</v>
      </c>
      <c r="B183" s="2639" t="s">
        <v>3108</v>
      </c>
      <c r="C183" s="2651"/>
      <c r="D183" s="2651"/>
      <c r="E183" s="2651"/>
      <c r="F183" s="2640">
        <v>0.05</v>
      </c>
      <c r="G183" s="2657"/>
    </row>
    <row r="184" spans="1:7">
      <c r="A184" s="2650" t="s">
        <v>27</v>
      </c>
      <c r="B184" s="2639" t="s">
        <v>3109</v>
      </c>
      <c r="C184" s="2651"/>
      <c r="D184" s="2651"/>
      <c r="E184" s="2651"/>
      <c r="F184" s="2640">
        <v>0.05</v>
      </c>
      <c r="G184" s="2657"/>
    </row>
    <row r="185" spans="1:7">
      <c r="A185" s="2650" t="s">
        <v>27</v>
      </c>
      <c r="B185" s="2639" t="s">
        <v>3110</v>
      </c>
      <c r="C185" s="2651"/>
      <c r="D185" s="2651"/>
      <c r="E185" s="2651"/>
      <c r="F185" s="2640">
        <v>0.05</v>
      </c>
      <c r="G185" s="2657"/>
    </row>
    <row r="186" spans="1:7">
      <c r="A186" s="2650" t="s">
        <v>27</v>
      </c>
      <c r="B186" s="2639" t="s">
        <v>3111</v>
      </c>
      <c r="C186" s="2651"/>
      <c r="D186" s="2651"/>
      <c r="E186" s="2651"/>
      <c r="F186" s="2640">
        <v>0.05</v>
      </c>
      <c r="G186" s="2657"/>
    </row>
    <row r="187" spans="1:7">
      <c r="A187" s="2650" t="s">
        <v>27</v>
      </c>
      <c r="B187" s="2639" t="s">
        <v>3112</v>
      </c>
      <c r="C187" s="2651"/>
      <c r="D187" s="2651"/>
      <c r="E187" s="2651"/>
      <c r="F187" s="2640">
        <v>0.05</v>
      </c>
      <c r="G187" s="2657"/>
    </row>
    <row r="188" spans="1:7">
      <c r="A188" s="2650" t="s">
        <v>27</v>
      </c>
      <c r="B188" s="2639" t="s">
        <v>3113</v>
      </c>
      <c r="C188" s="2651"/>
      <c r="D188" s="2651"/>
      <c r="E188" s="2651"/>
      <c r="F188" s="2640">
        <v>0.05</v>
      </c>
      <c r="G188" s="2657"/>
    </row>
    <row r="189" spans="1:7" ht="14.25" thickBot="1">
      <c r="A189" s="2653" t="s">
        <v>27</v>
      </c>
      <c r="B189" s="2643" t="s">
        <v>3114</v>
      </c>
      <c r="C189" s="2645"/>
      <c r="D189" s="2645"/>
      <c r="E189" s="2645"/>
      <c r="F189" s="2644">
        <v>0.05</v>
      </c>
      <c r="G189" s="2658"/>
    </row>
    <row r="190" spans="1:7">
      <c r="A190" s="2649" t="s">
        <v>302</v>
      </c>
      <c r="B190" s="2635" t="s">
        <v>2770</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2806</v>
      </c>
      <c r="C199" s="2640">
        <v>0.13</v>
      </c>
      <c r="D199" s="2640">
        <v>0.13</v>
      </c>
      <c r="E199" s="2640">
        <v>0.13</v>
      </c>
      <c r="F199" s="2640">
        <v>0.13</v>
      </c>
      <c r="G199" s="2641">
        <v>0.13</v>
      </c>
    </row>
    <row r="200" spans="1:7">
      <c r="A200" s="2650" t="s">
        <v>302</v>
      </c>
      <c r="B200" s="2639" t="s">
        <v>2809</v>
      </c>
      <c r="C200" s="2656"/>
      <c r="D200" s="2656"/>
      <c r="E200" s="2656"/>
      <c r="F200" s="2640">
        <v>0.13</v>
      </c>
      <c r="G200" s="2652"/>
    </row>
    <row r="201" spans="1:7">
      <c r="A201" s="2650" t="s">
        <v>302</v>
      </c>
      <c r="B201" s="2639" t="s">
        <v>2814</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2817</v>
      </c>
      <c r="C203" s="2640">
        <v>0.129</v>
      </c>
      <c r="D203" s="2640">
        <v>0.129</v>
      </c>
      <c r="E203" s="2640">
        <v>0.13</v>
      </c>
      <c r="F203" s="2640">
        <v>0.13</v>
      </c>
      <c r="G203" s="2641">
        <v>0.13</v>
      </c>
    </row>
    <row r="204" spans="1:7">
      <c r="A204" s="2650" t="s">
        <v>302</v>
      </c>
      <c r="B204" s="2639" t="s">
        <v>2820</v>
      </c>
      <c r="C204" s="2640">
        <v>0.129</v>
      </c>
      <c r="D204" s="2640">
        <v>0.129</v>
      </c>
      <c r="E204" s="2640">
        <v>0.123</v>
      </c>
      <c r="F204" s="2640">
        <v>0.13</v>
      </c>
      <c r="G204" s="2641">
        <v>0.13</v>
      </c>
    </row>
    <row r="205" spans="1:7">
      <c r="A205" s="2650" t="s">
        <v>302</v>
      </c>
      <c r="B205" s="2639" t="s">
        <v>2822</v>
      </c>
      <c r="C205" s="2640">
        <v>0.13</v>
      </c>
      <c r="D205" s="2640">
        <v>0.13</v>
      </c>
      <c r="E205" s="2640">
        <v>0.13</v>
      </c>
      <c r="F205" s="2640">
        <v>0.13</v>
      </c>
      <c r="G205" s="2641">
        <v>0.13</v>
      </c>
    </row>
    <row r="206" spans="1:7">
      <c r="A206" s="2650" t="s">
        <v>302</v>
      </c>
      <c r="B206" s="2639" t="s">
        <v>2825</v>
      </c>
      <c r="C206" s="2640">
        <v>0.13</v>
      </c>
      <c r="D206" s="2640">
        <v>0.13</v>
      </c>
      <c r="E206" s="2640">
        <v>0.13</v>
      </c>
      <c r="F206" s="2640">
        <v>0.128</v>
      </c>
      <c r="G206" s="2641">
        <v>0.13</v>
      </c>
    </row>
    <row r="207" spans="1:7">
      <c r="A207" s="2650" t="s">
        <v>302</v>
      </c>
      <c r="B207" s="2639" t="s">
        <v>2827</v>
      </c>
      <c r="C207" s="2640">
        <v>0.13</v>
      </c>
      <c r="D207" s="2640">
        <v>0.13</v>
      </c>
      <c r="E207" s="2640">
        <v>0.13</v>
      </c>
      <c r="F207" s="2640">
        <v>0.13</v>
      </c>
      <c r="G207" s="2641">
        <v>0.13</v>
      </c>
    </row>
    <row r="208" spans="1:7">
      <c r="A208" s="2650" t="s">
        <v>302</v>
      </c>
      <c r="B208" s="2639" t="s">
        <v>2830</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2837</v>
      </c>
      <c r="C210" s="2640">
        <v>0.121</v>
      </c>
      <c r="D210" s="2640">
        <v>0.121</v>
      </c>
      <c r="E210" s="2640">
        <v>0.125</v>
      </c>
      <c r="F210" s="2640">
        <v>0.13</v>
      </c>
      <c r="G210" s="2641">
        <v>0.123</v>
      </c>
    </row>
    <row r="211" spans="1:7">
      <c r="A211" s="2650" t="s">
        <v>302</v>
      </c>
      <c r="B211" s="2639" t="s">
        <v>2840</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2852</v>
      </c>
      <c r="C214" s="2640">
        <v>0.128</v>
      </c>
      <c r="D214" s="2640">
        <v>0.128</v>
      </c>
      <c r="E214" s="2640">
        <v>0.13</v>
      </c>
      <c r="F214" s="2640">
        <v>0.13</v>
      </c>
      <c r="G214" s="2641">
        <v>0.13</v>
      </c>
    </row>
    <row r="215" spans="1:7">
      <c r="A215" s="2650" t="s">
        <v>302</v>
      </c>
      <c r="B215" s="2639" t="s">
        <v>2856</v>
      </c>
      <c r="C215" s="2640">
        <v>0.13</v>
      </c>
      <c r="D215" s="2640">
        <v>0.13</v>
      </c>
      <c r="E215" s="2640">
        <v>0.13</v>
      </c>
      <c r="F215" s="2640">
        <v>0.129</v>
      </c>
      <c r="G215" s="2641">
        <v>0.13</v>
      </c>
    </row>
    <row r="216" spans="1:7">
      <c r="A216" s="2650" t="s">
        <v>302</v>
      </c>
      <c r="B216" s="2639" t="s">
        <v>2863</v>
      </c>
      <c r="C216" s="2640">
        <v>0.13</v>
      </c>
      <c r="D216" s="2640">
        <v>0.13</v>
      </c>
      <c r="E216" s="2640">
        <v>0.13</v>
      </c>
      <c r="F216" s="2640">
        <v>0.13</v>
      </c>
      <c r="G216" s="2641">
        <v>0.13</v>
      </c>
    </row>
    <row r="217" spans="1:7">
      <c r="A217" s="2650" t="s">
        <v>302</v>
      </c>
      <c r="B217" s="2639" t="s">
        <v>2870</v>
      </c>
      <c r="C217" s="2640">
        <v>0.129</v>
      </c>
      <c r="D217" s="2640">
        <v>0.129</v>
      </c>
      <c r="E217" s="2640">
        <v>0.13</v>
      </c>
      <c r="F217" s="2640">
        <v>0.13</v>
      </c>
      <c r="G217" s="2641">
        <v>0.13</v>
      </c>
    </row>
    <row r="218" spans="1:7">
      <c r="A218" s="2650" t="s">
        <v>302</v>
      </c>
      <c r="B218" s="2639" t="s">
        <v>2876</v>
      </c>
      <c r="C218" s="2651"/>
      <c r="D218" s="2651"/>
      <c r="E218" s="2651"/>
      <c r="F218" s="2640">
        <v>0.05</v>
      </c>
      <c r="G218" s="2657"/>
    </row>
    <row r="219" spans="1:7">
      <c r="A219" s="2650" t="s">
        <v>302</v>
      </c>
      <c r="B219" s="2639" t="s">
        <v>2883</v>
      </c>
      <c r="C219" s="2651"/>
      <c r="D219" s="2651"/>
      <c r="E219" s="2651"/>
      <c r="F219" s="2640">
        <v>0.05</v>
      </c>
      <c r="G219" s="2657"/>
    </row>
    <row r="220" spans="1:7">
      <c r="A220" s="2650" t="s">
        <v>302</v>
      </c>
      <c r="B220" s="2639" t="s">
        <v>2889</v>
      </c>
      <c r="C220" s="2651"/>
      <c r="D220" s="2651"/>
      <c r="E220" s="2651"/>
      <c r="F220" s="2640">
        <v>0.05</v>
      </c>
      <c r="G220" s="2657"/>
    </row>
    <row r="221" spans="1:7">
      <c r="A221" s="2650" t="s">
        <v>302</v>
      </c>
      <c r="B221" s="2639" t="s">
        <v>2894</v>
      </c>
      <c r="C221" s="2651"/>
      <c r="D221" s="2651"/>
      <c r="E221" s="2651"/>
      <c r="F221" s="2640">
        <v>0.05</v>
      </c>
      <c r="G221" s="2657"/>
    </row>
    <row r="222" spans="1:7">
      <c r="A222" s="2650" t="s">
        <v>302</v>
      </c>
      <c r="B222" s="2639" t="s">
        <v>2898</v>
      </c>
      <c r="C222" s="2651"/>
      <c r="D222" s="2651"/>
      <c r="E222" s="2651"/>
      <c r="F222" s="2640">
        <v>0.05</v>
      </c>
      <c r="G222" s="2657"/>
    </row>
    <row r="223" spans="1:7">
      <c r="A223" s="2650" t="s">
        <v>302</v>
      </c>
      <c r="B223" s="2639" t="s">
        <v>2903</v>
      </c>
      <c r="C223" s="2651"/>
      <c r="D223" s="2651"/>
      <c r="E223" s="2651"/>
      <c r="F223" s="2640">
        <v>0.05</v>
      </c>
      <c r="G223" s="2657"/>
    </row>
    <row r="224" spans="1:7">
      <c r="A224" s="2650" t="s">
        <v>302</v>
      </c>
      <c r="B224" s="2639" t="s">
        <v>2908</v>
      </c>
      <c r="C224" s="2651"/>
      <c r="D224" s="2651"/>
      <c r="E224" s="2651"/>
      <c r="F224" s="2640">
        <v>0.05</v>
      </c>
      <c r="G224" s="2657"/>
    </row>
    <row r="225" spans="1:7">
      <c r="A225" s="2650" t="s">
        <v>302</v>
      </c>
      <c r="B225" s="2639" t="s">
        <v>2913</v>
      </c>
      <c r="C225" s="2651"/>
      <c r="D225" s="2651"/>
      <c r="E225" s="2651"/>
      <c r="F225" s="2640">
        <v>0.05</v>
      </c>
      <c r="G225" s="2657"/>
    </row>
    <row r="226" spans="1:7">
      <c r="A226" s="2650" t="s">
        <v>302</v>
      </c>
      <c r="B226" s="2639" t="s">
        <v>3115</v>
      </c>
      <c r="C226" s="2651"/>
      <c r="D226" s="2651"/>
      <c r="E226" s="2651"/>
      <c r="F226" s="2640">
        <v>0.05</v>
      </c>
      <c r="G226" s="2657"/>
    </row>
    <row r="227" spans="1:7">
      <c r="A227" s="2650" t="s">
        <v>302</v>
      </c>
      <c r="B227" s="2639" t="s">
        <v>3116</v>
      </c>
      <c r="C227" s="2651"/>
      <c r="D227" s="2651"/>
      <c r="E227" s="2651"/>
      <c r="F227" s="2640">
        <v>0.05</v>
      </c>
      <c r="G227" s="2657"/>
    </row>
    <row r="228" spans="1:7">
      <c r="A228" s="2650" t="s">
        <v>302</v>
      </c>
      <c r="B228" s="2639" t="s">
        <v>3117</v>
      </c>
      <c r="C228" s="2651"/>
      <c r="D228" s="2651"/>
      <c r="E228" s="2651"/>
      <c r="F228" s="2640">
        <v>0.05</v>
      </c>
      <c r="G228" s="2657"/>
    </row>
    <row r="229" spans="1:7">
      <c r="A229" s="2650" t="s">
        <v>302</v>
      </c>
      <c r="B229" s="2639" t="s">
        <v>3118</v>
      </c>
      <c r="C229" s="2651"/>
      <c r="D229" s="2651"/>
      <c r="E229" s="2651"/>
      <c r="F229" s="2640">
        <v>0.05</v>
      </c>
      <c r="G229" s="2657"/>
    </row>
    <row r="230" spans="1:7">
      <c r="A230" s="2650" t="s">
        <v>302</v>
      </c>
      <c r="B230" s="2639" t="s">
        <v>3119</v>
      </c>
      <c r="C230" s="2651"/>
      <c r="D230" s="2651"/>
      <c r="E230" s="2651"/>
      <c r="F230" s="2640">
        <v>0.05</v>
      </c>
      <c r="G230" s="2657"/>
    </row>
    <row r="231" spans="1:7">
      <c r="A231" s="2650" t="s">
        <v>302</v>
      </c>
      <c r="B231" s="2639" t="s">
        <v>3120</v>
      </c>
      <c r="C231" s="2651"/>
      <c r="D231" s="2651"/>
      <c r="E231" s="2651"/>
      <c r="F231" s="2640">
        <v>0.05</v>
      </c>
      <c r="G231" s="2657"/>
    </row>
    <row r="232" spans="1:7">
      <c r="A232" s="2650" t="s">
        <v>302</v>
      </c>
      <c r="B232" s="2639" t="s">
        <v>3121</v>
      </c>
      <c r="C232" s="2651"/>
      <c r="D232" s="2651"/>
      <c r="E232" s="2651"/>
      <c r="F232" s="2640">
        <v>0.05</v>
      </c>
      <c r="G232" s="2657"/>
    </row>
    <row r="233" spans="1:7" ht="14.25" thickBot="1">
      <c r="A233" s="2653" t="s">
        <v>302</v>
      </c>
      <c r="B233" s="2643" t="s">
        <v>3122</v>
      </c>
      <c r="C233" s="2645"/>
      <c r="D233" s="2645"/>
      <c r="E233" s="2645"/>
      <c r="F233" s="2644">
        <v>0.05</v>
      </c>
      <c r="G233" s="2658"/>
    </row>
    <row r="234" spans="1:7">
      <c r="A234" s="2649" t="s">
        <v>303</v>
      </c>
      <c r="B234" s="2635" t="s">
        <v>2771</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2791</v>
      </c>
      <c r="C238" s="2640">
        <v>0.14899999999999999</v>
      </c>
      <c r="D238" s="2640">
        <v>0.14899999999999999</v>
      </c>
      <c r="E238" s="2640">
        <v>0.15</v>
      </c>
      <c r="F238" s="2640">
        <v>0.15</v>
      </c>
      <c r="G238" s="2641">
        <v>0.15</v>
      </c>
    </row>
    <row r="239" spans="1:7">
      <c r="A239" s="2650" t="s">
        <v>303</v>
      </c>
      <c r="B239" s="2639" t="s">
        <v>2795</v>
      </c>
      <c r="C239" s="2640">
        <v>0.15</v>
      </c>
      <c r="D239" s="2640">
        <v>0.15</v>
      </c>
      <c r="E239" s="2640">
        <v>0.15</v>
      </c>
      <c r="F239" s="2640">
        <v>0.15</v>
      </c>
      <c r="G239" s="2641">
        <v>0.15</v>
      </c>
    </row>
    <row r="240" spans="1:7">
      <c r="A240" s="2650" t="s">
        <v>303</v>
      </c>
      <c r="B240" s="2639" t="s">
        <v>2800</v>
      </c>
      <c r="C240" s="2640">
        <v>0.15</v>
      </c>
      <c r="D240" s="2640">
        <v>0.15</v>
      </c>
      <c r="E240" s="2640">
        <v>0.15</v>
      </c>
      <c r="F240" s="2640">
        <v>0.15</v>
      </c>
      <c r="G240" s="2641">
        <v>0.15</v>
      </c>
    </row>
    <row r="241" spans="1:7">
      <c r="A241" s="2650" t="s">
        <v>303</v>
      </c>
      <c r="B241" s="2639" t="s">
        <v>2804</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2810</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2818</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2823</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2831</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2844</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2853</v>
      </c>
      <c r="C258" s="2640">
        <v>0.14299999999999999</v>
      </c>
      <c r="D258" s="2640">
        <v>0.14299999999999999</v>
      </c>
      <c r="E258" s="2640">
        <v>0.15</v>
      </c>
      <c r="F258" s="2640">
        <v>0.14799999999999999</v>
      </c>
      <c r="G258" s="2641">
        <v>0.14599999999999999</v>
      </c>
    </row>
    <row r="259" spans="1:7">
      <c r="A259" s="2650" t="s">
        <v>303</v>
      </c>
      <c r="B259" s="2639" t="s">
        <v>2857</v>
      </c>
      <c r="C259" s="2640">
        <v>0.14399999999999999</v>
      </c>
      <c r="D259" s="2640">
        <v>0.14399999999999999</v>
      </c>
      <c r="E259" s="2640">
        <v>0.14899999999999999</v>
      </c>
      <c r="F259" s="2640">
        <v>0.14699999999999999</v>
      </c>
      <c r="G259" s="2641">
        <v>0.14599999999999999</v>
      </c>
    </row>
    <row r="260" spans="1:7">
      <c r="A260" s="2650" t="s">
        <v>303</v>
      </c>
      <c r="B260" s="2639" t="s">
        <v>2864</v>
      </c>
      <c r="C260" s="2640">
        <v>0.109</v>
      </c>
      <c r="D260" s="2640">
        <v>0.111</v>
      </c>
      <c r="E260" s="2640">
        <v>0.13100000000000001</v>
      </c>
      <c r="F260" s="2640">
        <v>0.126</v>
      </c>
      <c r="G260" s="2641">
        <v>0.11899999999999999</v>
      </c>
    </row>
    <row r="261" spans="1:7">
      <c r="A261" s="2650" t="s">
        <v>303</v>
      </c>
      <c r="B261" s="2639" t="s">
        <v>2871</v>
      </c>
      <c r="C261" s="2640">
        <v>0.1</v>
      </c>
      <c r="D261" s="2640">
        <v>0.1</v>
      </c>
      <c r="E261" s="2640">
        <v>0.11799999999999999</v>
      </c>
      <c r="F261" s="2640">
        <v>0.108</v>
      </c>
      <c r="G261" s="2641">
        <v>0.107</v>
      </c>
    </row>
    <row r="262" spans="1:7">
      <c r="A262" s="2650" t="s">
        <v>303</v>
      </c>
      <c r="B262" s="2639" t="s">
        <v>2877</v>
      </c>
      <c r="C262" s="2640">
        <v>0.1</v>
      </c>
      <c r="D262" s="2640">
        <v>0.1</v>
      </c>
      <c r="E262" s="2640">
        <v>0.1</v>
      </c>
      <c r="F262" s="2640">
        <v>0.14099999999999999</v>
      </c>
      <c r="G262" s="2641">
        <v>0.1</v>
      </c>
    </row>
    <row r="263" spans="1:7">
      <c r="A263" s="2650" t="s">
        <v>303</v>
      </c>
      <c r="B263" s="2639" t="s">
        <v>2884</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2895</v>
      </c>
      <c r="C265" s="2651"/>
      <c r="D265" s="2651"/>
      <c r="E265" s="2651"/>
      <c r="F265" s="2640">
        <v>0.05</v>
      </c>
      <c r="G265" s="2657"/>
    </row>
    <row r="266" spans="1:7">
      <c r="A266" s="2650" t="s">
        <v>303</v>
      </c>
      <c r="B266" s="2639" t="s">
        <v>2899</v>
      </c>
      <c r="C266" s="2651"/>
      <c r="D266" s="2651"/>
      <c r="E266" s="2651"/>
      <c r="F266" s="2640">
        <v>0.05</v>
      </c>
      <c r="G266" s="2657"/>
    </row>
    <row r="267" spans="1:7">
      <c r="A267" s="2650" t="s">
        <v>303</v>
      </c>
      <c r="B267" s="2639" t="s">
        <v>2904</v>
      </c>
      <c r="C267" s="2651"/>
      <c r="D267" s="2651"/>
      <c r="E267" s="2651"/>
      <c r="F267" s="2640">
        <v>0.05</v>
      </c>
      <c r="G267" s="2657"/>
    </row>
    <row r="268" spans="1:7">
      <c r="A268" s="2650" t="s">
        <v>303</v>
      </c>
      <c r="B268" s="2639" t="s">
        <v>2909</v>
      </c>
      <c r="C268" s="2651"/>
      <c r="D268" s="2651"/>
      <c r="E268" s="2651"/>
      <c r="F268" s="2640">
        <v>0.05</v>
      </c>
      <c r="G268" s="2657"/>
    </row>
    <row r="269" spans="1:7">
      <c r="A269" s="2650" t="s">
        <v>303</v>
      </c>
      <c r="B269" s="2639" t="s">
        <v>2914</v>
      </c>
      <c r="C269" s="2651"/>
      <c r="D269" s="2651"/>
      <c r="E269" s="2651"/>
      <c r="F269" s="2640">
        <v>0.05</v>
      </c>
      <c r="G269" s="2657"/>
    </row>
    <row r="270" spans="1:7">
      <c r="A270" s="2650" t="s">
        <v>303</v>
      </c>
      <c r="B270" s="2639" t="s">
        <v>2919</v>
      </c>
      <c r="C270" s="2651"/>
      <c r="D270" s="2651"/>
      <c r="E270" s="2651"/>
      <c r="F270" s="2640">
        <v>0.05</v>
      </c>
      <c r="G270" s="2657"/>
    </row>
    <row r="271" spans="1:7">
      <c r="A271" s="2650" t="s">
        <v>303</v>
      </c>
      <c r="B271" s="2639" t="s">
        <v>3123</v>
      </c>
      <c r="C271" s="2651"/>
      <c r="D271" s="2651"/>
      <c r="E271" s="2651"/>
      <c r="F271" s="2640">
        <v>0.05</v>
      </c>
      <c r="G271" s="2657"/>
    </row>
    <row r="272" spans="1:7">
      <c r="A272" s="2650" t="s">
        <v>303</v>
      </c>
      <c r="B272" s="2639" t="s">
        <v>3124</v>
      </c>
      <c r="C272" s="2651"/>
      <c r="D272" s="2651"/>
      <c r="E272" s="2651"/>
      <c r="F272" s="2640">
        <v>0.05</v>
      </c>
      <c r="G272" s="2657"/>
    </row>
    <row r="273" spans="1:7">
      <c r="A273" s="2650" t="s">
        <v>303</v>
      </c>
      <c r="B273" s="2639" t="s">
        <v>3125</v>
      </c>
      <c r="C273" s="2651"/>
      <c r="D273" s="2651"/>
      <c r="E273" s="2651"/>
      <c r="F273" s="2640">
        <v>0.05</v>
      </c>
      <c r="G273" s="2657"/>
    </row>
    <row r="274" spans="1:7">
      <c r="A274" s="2650" t="s">
        <v>303</v>
      </c>
      <c r="B274" s="2639" t="s">
        <v>3126</v>
      </c>
      <c r="C274" s="2651"/>
      <c r="D274" s="2651"/>
      <c r="E274" s="2651"/>
      <c r="F274" s="2640">
        <v>0.05</v>
      </c>
      <c r="G274" s="2657"/>
    </row>
    <row r="275" spans="1:7">
      <c r="A275" s="2650" t="s">
        <v>303</v>
      </c>
      <c r="B275" s="2639" t="s">
        <v>3127</v>
      </c>
      <c r="C275" s="2651"/>
      <c r="D275" s="2651"/>
      <c r="E275" s="2651"/>
      <c r="F275" s="2640">
        <v>0.05</v>
      </c>
      <c r="G275" s="2657"/>
    </row>
    <row r="276" spans="1:7" ht="14.25" thickBot="1">
      <c r="A276" s="2653" t="s">
        <v>303</v>
      </c>
      <c r="B276" s="2643" t="s">
        <v>3128</v>
      </c>
      <c r="C276" s="2645"/>
      <c r="D276" s="2645"/>
      <c r="E276" s="2645"/>
      <c r="F276" s="2644">
        <v>0.05</v>
      </c>
      <c r="G276" s="2658"/>
    </row>
    <row r="277" spans="1:7">
      <c r="A277" s="2649" t="s">
        <v>304</v>
      </c>
      <c r="B277" s="2635" t="s">
        <v>2772</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2784</v>
      </c>
      <c r="C279" s="2640">
        <v>0.15</v>
      </c>
      <c r="D279" s="2640">
        <v>0.15</v>
      </c>
      <c r="E279" s="2640">
        <v>0.15</v>
      </c>
      <c r="F279" s="2640">
        <v>0.15</v>
      </c>
      <c r="G279" s="2641">
        <v>0.15</v>
      </c>
    </row>
    <row r="280" spans="1:7">
      <c r="A280" s="2650" t="s">
        <v>304</v>
      </c>
      <c r="B280" s="2639" t="s">
        <v>2788</v>
      </c>
      <c r="C280" s="2640">
        <v>0.15</v>
      </c>
      <c r="D280" s="2640">
        <v>0.15</v>
      </c>
      <c r="E280" s="2640">
        <v>0.15</v>
      </c>
      <c r="F280" s="2640">
        <v>0.15</v>
      </c>
      <c r="G280" s="2641">
        <v>0.15</v>
      </c>
    </row>
    <row r="281" spans="1:7">
      <c r="A281" s="2650" t="s">
        <v>304</v>
      </c>
      <c r="B281" s="2639" t="s">
        <v>2792</v>
      </c>
      <c r="C281" s="2640">
        <v>0.15</v>
      </c>
      <c r="D281" s="2640">
        <v>0.15</v>
      </c>
      <c r="E281" s="2640">
        <v>0.15</v>
      </c>
      <c r="F281" s="2640">
        <v>0.15</v>
      </c>
      <c r="G281" s="2641">
        <v>0.15</v>
      </c>
    </row>
    <row r="282" spans="1:7">
      <c r="A282" s="2650" t="s">
        <v>304</v>
      </c>
      <c r="B282" s="2639" t="s">
        <v>2796</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2811</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2816</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2826</v>
      </c>
      <c r="C293" s="2640">
        <v>0.15</v>
      </c>
      <c r="D293" s="2640">
        <v>0.15</v>
      </c>
      <c r="E293" s="2640">
        <v>0.15</v>
      </c>
      <c r="F293" s="2640">
        <v>0.14499999999999999</v>
      </c>
      <c r="G293" s="2641">
        <v>0.15</v>
      </c>
    </row>
    <row r="294" spans="1:7">
      <c r="A294" s="2650" t="s">
        <v>304</v>
      </c>
      <c r="B294" s="2639" t="s">
        <v>2828</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2845</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2858</v>
      </c>
      <c r="C302" s="2640">
        <v>0.15</v>
      </c>
      <c r="D302" s="2640">
        <v>0.15</v>
      </c>
      <c r="E302" s="2640">
        <v>0.15</v>
      </c>
      <c r="F302" s="2640">
        <v>0.14699999999999999</v>
      </c>
      <c r="G302" s="2641">
        <v>0.15</v>
      </c>
    </row>
    <row r="303" spans="1:7">
      <c r="A303" s="2650" t="s">
        <v>304</v>
      </c>
      <c r="B303" s="2639" t="s">
        <v>2865</v>
      </c>
      <c r="C303" s="2640">
        <v>0.15</v>
      </c>
      <c r="D303" s="2640">
        <v>0.15</v>
      </c>
      <c r="E303" s="2640">
        <v>0.15</v>
      </c>
      <c r="F303" s="2640">
        <v>0.14199999999999999</v>
      </c>
      <c r="G303" s="2641">
        <v>0.15</v>
      </c>
    </row>
    <row r="304" spans="1:7">
      <c r="A304" s="2650" t="s">
        <v>304</v>
      </c>
      <c r="B304" s="2639" t="s">
        <v>2872</v>
      </c>
      <c r="C304" s="2640">
        <v>0.15</v>
      </c>
      <c r="D304" s="2640">
        <v>0.15</v>
      </c>
      <c r="E304" s="2640">
        <v>0.15</v>
      </c>
      <c r="F304" s="2640">
        <v>0.14499999999999999</v>
      </c>
      <c r="G304" s="2641">
        <v>0.15</v>
      </c>
    </row>
    <row r="305" spans="1:7">
      <c r="A305" s="2650" t="s">
        <v>304</v>
      </c>
      <c r="B305" s="2639" t="s">
        <v>2878</v>
      </c>
      <c r="C305" s="2640">
        <v>0.15</v>
      </c>
      <c r="D305" s="2640">
        <v>0.15</v>
      </c>
      <c r="E305" s="2640">
        <v>0.15</v>
      </c>
      <c r="F305" s="2640">
        <v>0.111</v>
      </c>
      <c r="G305" s="2641">
        <v>0.15</v>
      </c>
    </row>
    <row r="306" spans="1:7">
      <c r="A306" s="2650" t="s">
        <v>304</v>
      </c>
      <c r="B306" s="2639" t="s">
        <v>2885</v>
      </c>
      <c r="C306" s="2640">
        <v>0.15</v>
      </c>
      <c r="D306" s="2640">
        <v>0.15</v>
      </c>
      <c r="E306" s="2640">
        <v>0.15</v>
      </c>
      <c r="F306" s="2640">
        <v>0.126</v>
      </c>
      <c r="G306" s="2641">
        <v>0.15</v>
      </c>
    </row>
    <row r="307" spans="1:7">
      <c r="A307" s="2650" t="s">
        <v>304</v>
      </c>
      <c r="B307" s="2639" t="s">
        <v>2890</v>
      </c>
      <c r="C307" s="2640">
        <v>0.15</v>
      </c>
      <c r="D307" s="2640">
        <v>0.15</v>
      </c>
      <c r="E307" s="2640">
        <v>0.15</v>
      </c>
      <c r="F307" s="2640">
        <v>0.12</v>
      </c>
      <c r="G307" s="2641">
        <v>0.15</v>
      </c>
    </row>
    <row r="308" spans="1:7">
      <c r="A308" s="2650" t="s">
        <v>304</v>
      </c>
      <c r="B308" s="2639" t="s">
        <v>2896</v>
      </c>
      <c r="C308" s="2640">
        <v>0.15</v>
      </c>
      <c r="D308" s="2640">
        <v>0.15</v>
      </c>
      <c r="E308" s="2640">
        <v>0.15</v>
      </c>
      <c r="F308" s="2640">
        <v>0.13</v>
      </c>
      <c r="G308" s="2641">
        <v>0.15</v>
      </c>
    </row>
    <row r="309" spans="1:7">
      <c r="A309" s="2650" t="s">
        <v>304</v>
      </c>
      <c r="B309" s="2639" t="s">
        <v>2900</v>
      </c>
      <c r="C309" s="2640">
        <v>0.15</v>
      </c>
      <c r="D309" s="2640">
        <v>0.15</v>
      </c>
      <c r="E309" s="2640">
        <v>0.15</v>
      </c>
      <c r="F309" s="2640">
        <v>0.14099999999999999</v>
      </c>
      <c r="G309" s="2641">
        <v>0.15</v>
      </c>
    </row>
    <row r="310" spans="1:7">
      <c r="A310" s="2650" t="s">
        <v>304</v>
      </c>
      <c r="B310" s="2639" t="s">
        <v>2905</v>
      </c>
      <c r="C310" s="2640">
        <v>0.15</v>
      </c>
      <c r="D310" s="2640">
        <v>0.15</v>
      </c>
      <c r="E310" s="2640">
        <v>0.15</v>
      </c>
      <c r="F310" s="2640">
        <v>0.15</v>
      </c>
      <c r="G310" s="2641">
        <v>0.15</v>
      </c>
    </row>
    <row r="311" spans="1:7">
      <c r="A311" s="2650" t="s">
        <v>304</v>
      </c>
      <c r="B311" s="2639" t="s">
        <v>2910</v>
      </c>
      <c r="C311" s="2640">
        <v>0.13200000000000001</v>
      </c>
      <c r="D311" s="2640">
        <v>0.13300000000000001</v>
      </c>
      <c r="E311" s="2640">
        <v>0.14499999999999999</v>
      </c>
      <c r="F311" s="2640">
        <v>0.14199999999999999</v>
      </c>
      <c r="G311" s="2641">
        <v>0.14000000000000001</v>
      </c>
    </row>
    <row r="312" spans="1:7">
      <c r="A312" s="2650" t="s">
        <v>304</v>
      </c>
      <c r="B312" s="2639" t="s">
        <v>2915</v>
      </c>
      <c r="C312" s="2640">
        <v>0.13800000000000001</v>
      </c>
      <c r="D312" s="2640">
        <v>0.14000000000000001</v>
      </c>
      <c r="E312" s="2640">
        <v>0.14599999999999999</v>
      </c>
      <c r="F312" s="2640">
        <v>0.14899999999999999</v>
      </c>
      <c r="G312" s="2641">
        <v>0.14199999999999999</v>
      </c>
    </row>
    <row r="313" spans="1:7">
      <c r="A313" s="2650" t="s">
        <v>304</v>
      </c>
      <c r="B313" s="2639" t="s">
        <v>2920</v>
      </c>
      <c r="C313" s="2640">
        <v>0.125</v>
      </c>
      <c r="D313" s="2640">
        <v>0.127</v>
      </c>
      <c r="E313" s="2640">
        <v>0.14399999999999999</v>
      </c>
      <c r="F313" s="2640">
        <v>0.115</v>
      </c>
      <c r="G313" s="2641">
        <v>0.13600000000000001</v>
      </c>
    </row>
    <row r="314" spans="1:7">
      <c r="A314" s="2650" t="s">
        <v>304</v>
      </c>
      <c r="B314" s="2639" t="s">
        <v>3129</v>
      </c>
      <c r="C314" s="2656"/>
      <c r="D314" s="2656"/>
      <c r="E314" s="2656"/>
      <c r="F314" s="2640">
        <v>0.05</v>
      </c>
      <c r="G314" s="2657"/>
    </row>
    <row r="315" spans="1:7">
      <c r="A315" s="2650" t="s">
        <v>304</v>
      </c>
      <c r="B315" s="2639" t="s">
        <v>3130</v>
      </c>
      <c r="C315" s="2656"/>
      <c r="D315" s="2656"/>
      <c r="E315" s="2656"/>
      <c r="F315" s="2640">
        <v>0.05</v>
      </c>
      <c r="G315" s="2657"/>
    </row>
    <row r="316" spans="1:7">
      <c r="A316" s="2650" t="s">
        <v>304</v>
      </c>
      <c r="B316" s="2639" t="s">
        <v>3131</v>
      </c>
      <c r="C316" s="2651"/>
      <c r="D316" s="2651"/>
      <c r="E316" s="2651"/>
      <c r="F316" s="2640">
        <v>0.05</v>
      </c>
      <c r="G316" s="2657"/>
    </row>
    <row r="317" spans="1:7">
      <c r="A317" s="2650" t="s">
        <v>304</v>
      </c>
      <c r="B317" s="2639" t="s">
        <v>3132</v>
      </c>
      <c r="C317" s="2651"/>
      <c r="D317" s="2651"/>
      <c r="E317" s="2651"/>
      <c r="F317" s="2640">
        <v>0.05</v>
      </c>
      <c r="G317" s="2657"/>
    </row>
    <row r="318" spans="1:7">
      <c r="A318" s="2650" t="s">
        <v>304</v>
      </c>
      <c r="B318" s="2639" t="s">
        <v>3133</v>
      </c>
      <c r="C318" s="2651"/>
      <c r="D318" s="2651"/>
      <c r="E318" s="2651"/>
      <c r="F318" s="2640">
        <v>0.05</v>
      </c>
      <c r="G318" s="2657"/>
    </row>
    <row r="319" spans="1:7">
      <c r="A319" s="2650" t="s">
        <v>304</v>
      </c>
      <c r="B319" s="2639" t="s">
        <v>3134</v>
      </c>
      <c r="C319" s="2651"/>
      <c r="D319" s="2651"/>
      <c r="E319" s="2651"/>
      <c r="F319" s="2640">
        <v>0.05</v>
      </c>
      <c r="G319" s="2657"/>
    </row>
    <row r="320" spans="1:7">
      <c r="A320" s="2650" t="s">
        <v>304</v>
      </c>
      <c r="B320" s="2639" t="s">
        <v>3135</v>
      </c>
      <c r="C320" s="2651"/>
      <c r="D320" s="2651"/>
      <c r="E320" s="2651"/>
      <c r="F320" s="2640">
        <v>0.05</v>
      </c>
      <c r="G320" s="2657"/>
    </row>
    <row r="321" spans="1:7">
      <c r="A321" s="2650" t="s">
        <v>304</v>
      </c>
      <c r="B321" s="2639" t="s">
        <v>3136</v>
      </c>
      <c r="C321" s="2651"/>
      <c r="D321" s="2651"/>
      <c r="E321" s="2651"/>
      <c r="F321" s="2640">
        <v>0.05</v>
      </c>
      <c r="G321" s="2657"/>
    </row>
    <row r="322" spans="1:7">
      <c r="A322" s="2650" t="s">
        <v>304</v>
      </c>
      <c r="B322" s="2639" t="s">
        <v>3137</v>
      </c>
      <c r="C322" s="2651"/>
      <c r="D322" s="2651"/>
      <c r="E322" s="2651"/>
      <c r="F322" s="2640">
        <v>0.05</v>
      </c>
      <c r="G322" s="2657"/>
    </row>
    <row r="323" spans="1:7">
      <c r="A323" s="2650" t="s">
        <v>304</v>
      </c>
      <c r="B323" s="2639" t="s">
        <v>3138</v>
      </c>
      <c r="C323" s="2651"/>
      <c r="D323" s="2651"/>
      <c r="E323" s="2651"/>
      <c r="F323" s="2640">
        <v>0.05</v>
      </c>
      <c r="G323" s="2657"/>
    </row>
    <row r="324" spans="1:7">
      <c r="A324" s="2650" t="s">
        <v>304</v>
      </c>
      <c r="B324" s="2639" t="s">
        <v>3139</v>
      </c>
      <c r="C324" s="2651"/>
      <c r="D324" s="2651"/>
      <c r="E324" s="2651"/>
      <c r="F324" s="2640">
        <v>0.05</v>
      </c>
      <c r="G324" s="2657"/>
    </row>
    <row r="325" spans="1:7">
      <c r="A325" s="2650" t="s">
        <v>304</v>
      </c>
      <c r="B325" s="2639" t="s">
        <v>3140</v>
      </c>
      <c r="C325" s="2651"/>
      <c r="D325" s="2651"/>
      <c r="E325" s="2651"/>
      <c r="F325" s="2640">
        <v>0.05</v>
      </c>
      <c r="G325" s="2657"/>
    </row>
    <row r="326" spans="1:7" ht="14.25" thickBot="1">
      <c r="A326" s="2653" t="s">
        <v>304</v>
      </c>
      <c r="B326" s="2643" t="s">
        <v>3141</v>
      </c>
      <c r="C326" s="2645"/>
      <c r="D326" s="2645"/>
      <c r="E326" s="2645"/>
      <c r="F326" s="2644">
        <v>0.05</v>
      </c>
      <c r="G326" s="2658"/>
    </row>
    <row r="327" spans="1:7">
      <c r="A327" s="2649" t="s">
        <v>305</v>
      </c>
      <c r="B327" s="2635" t="s">
        <v>2773</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2785</v>
      </c>
      <c r="C329" s="2640">
        <v>0.15</v>
      </c>
      <c r="D329" s="2640">
        <v>0.15</v>
      </c>
      <c r="E329" s="2640">
        <v>0.15</v>
      </c>
      <c r="F329" s="2640">
        <v>0.15</v>
      </c>
      <c r="G329" s="2641">
        <v>0.15</v>
      </c>
    </row>
    <row r="330" spans="1:7">
      <c r="A330" s="2650" t="s">
        <v>305</v>
      </c>
      <c r="B330" s="2639" t="s">
        <v>2789</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2797</v>
      </c>
      <c r="C332" s="2640">
        <v>0.15</v>
      </c>
      <c r="D332" s="2640">
        <v>0.15</v>
      </c>
      <c r="E332" s="2640">
        <v>0.15</v>
      </c>
      <c r="F332" s="2640">
        <v>0.15</v>
      </c>
      <c r="G332" s="2641">
        <v>0.15</v>
      </c>
    </row>
    <row r="333" spans="1:7">
      <c r="A333" s="2650" t="s">
        <v>305</v>
      </c>
      <c r="B333" s="2639" t="s">
        <v>2801</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2807</v>
      </c>
      <c r="C336" s="2640">
        <v>0.15</v>
      </c>
      <c r="D336" s="2640">
        <v>0.15</v>
      </c>
      <c r="E336" s="2640">
        <v>0.15</v>
      </c>
      <c r="F336" s="2640">
        <v>0.14199999999999999</v>
      </c>
      <c r="G336" s="2641">
        <v>0.15</v>
      </c>
    </row>
    <row r="337" spans="1:7">
      <c r="A337" s="2650" t="s">
        <v>305</v>
      </c>
      <c r="B337" s="2639" t="s">
        <v>2812</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2819</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2824</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2832</v>
      </c>
      <c r="C345" s="2640">
        <v>0.15</v>
      </c>
      <c r="D345" s="2640">
        <v>0.15</v>
      </c>
      <c r="E345" s="2640">
        <v>0.15</v>
      </c>
      <c r="F345" s="2640">
        <v>0.13800000000000001</v>
      </c>
      <c r="G345" s="2641">
        <v>0.15</v>
      </c>
    </row>
    <row r="346" spans="1:7">
      <c r="A346" s="2650" t="s">
        <v>305</v>
      </c>
      <c r="B346" s="2639" t="s">
        <v>2834</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2841</v>
      </c>
      <c r="C348" s="2640">
        <v>0.15</v>
      </c>
      <c r="D348" s="2640">
        <v>0.15</v>
      </c>
      <c r="E348" s="2640">
        <v>0.15</v>
      </c>
      <c r="F348" s="2640">
        <v>0.14399999999999999</v>
      </c>
      <c r="G348" s="2641">
        <v>0.15</v>
      </c>
    </row>
    <row r="349" spans="1:7">
      <c r="A349" s="2650" t="s">
        <v>305</v>
      </c>
      <c r="B349" s="2639" t="s">
        <v>2846</v>
      </c>
      <c r="C349" s="2640">
        <v>0.15</v>
      </c>
      <c r="D349" s="2640">
        <v>0.15</v>
      </c>
      <c r="E349" s="2640">
        <v>0.15</v>
      </c>
      <c r="F349" s="2640">
        <v>0.15</v>
      </c>
      <c r="G349" s="2641">
        <v>0.15</v>
      </c>
    </row>
    <row r="350" spans="1:7">
      <c r="A350" s="2650" t="s">
        <v>305</v>
      </c>
      <c r="B350" s="2639" t="s">
        <v>2849</v>
      </c>
      <c r="C350" s="2640">
        <v>0.15</v>
      </c>
      <c r="D350" s="2640">
        <v>0.15</v>
      </c>
      <c r="E350" s="2640">
        <v>0.15</v>
      </c>
      <c r="F350" s="2640">
        <v>0.14699999999999999</v>
      </c>
      <c r="G350" s="2641">
        <v>0.15</v>
      </c>
    </row>
    <row r="351" spans="1:7">
      <c r="A351" s="2650" t="s">
        <v>305</v>
      </c>
      <c r="B351" s="2639" t="s">
        <v>2854</v>
      </c>
      <c r="C351" s="2640">
        <v>0.15</v>
      </c>
      <c r="D351" s="2640">
        <v>0.15</v>
      </c>
      <c r="E351" s="2640">
        <v>0.15</v>
      </c>
      <c r="F351" s="2640">
        <v>0.13</v>
      </c>
      <c r="G351" s="2641">
        <v>0.15</v>
      </c>
    </row>
    <row r="352" spans="1:7">
      <c r="A352" s="2650" t="s">
        <v>305</v>
      </c>
      <c r="B352" s="2639" t="s">
        <v>2859</v>
      </c>
      <c r="C352" s="2640">
        <v>0.15</v>
      </c>
      <c r="D352" s="2640">
        <v>0.15</v>
      </c>
      <c r="E352" s="2640">
        <v>0.15</v>
      </c>
      <c r="F352" s="2640">
        <v>0.14599999999999999</v>
      </c>
      <c r="G352" s="2641">
        <v>0.15</v>
      </c>
    </row>
    <row r="353" spans="1:7">
      <c r="A353" s="2650" t="s">
        <v>305</v>
      </c>
      <c r="B353" s="2639" t="s">
        <v>2866</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2879</v>
      </c>
      <c r="C355" s="2640">
        <v>0.15</v>
      </c>
      <c r="D355" s="2640">
        <v>0.15</v>
      </c>
      <c r="E355" s="2640">
        <v>0.15</v>
      </c>
      <c r="F355" s="2640">
        <v>0.15</v>
      </c>
      <c r="G355" s="2641">
        <v>0.15</v>
      </c>
    </row>
    <row r="356" spans="1:7">
      <c r="A356" s="2650" t="s">
        <v>305</v>
      </c>
      <c r="B356" s="2639" t="s">
        <v>2886</v>
      </c>
      <c r="C356" s="2640">
        <v>0.15</v>
      </c>
      <c r="D356" s="2640">
        <v>0.15</v>
      </c>
      <c r="E356" s="2640">
        <v>0.15</v>
      </c>
      <c r="F356" s="2640">
        <v>0.15</v>
      </c>
      <c r="G356" s="2641">
        <v>0.15</v>
      </c>
    </row>
    <row r="357" spans="1:7" ht="14.25" thickBot="1">
      <c r="A357" s="2653" t="s">
        <v>305</v>
      </c>
      <c r="B357" s="2643" t="s">
        <v>2891</v>
      </c>
      <c r="C357" s="2644">
        <v>0.126</v>
      </c>
      <c r="D357" s="2644">
        <v>0.127</v>
      </c>
      <c r="E357" s="2644">
        <v>0.14299999999999999</v>
      </c>
      <c r="F357" s="2644">
        <v>0.125</v>
      </c>
      <c r="G357" s="2646">
        <v>0.129</v>
      </c>
    </row>
    <row r="358" spans="1:7">
      <c r="A358" s="2649" t="s">
        <v>2760</v>
      </c>
      <c r="B358" s="2635" t="s">
        <v>2774</v>
      </c>
      <c r="C358" s="2636">
        <v>0.15</v>
      </c>
      <c r="D358" s="2636">
        <v>0.15</v>
      </c>
      <c r="E358" s="2636">
        <v>0.15</v>
      </c>
      <c r="F358" s="2636">
        <v>0.15</v>
      </c>
      <c r="G358" s="2637">
        <v>0.15</v>
      </c>
    </row>
    <row r="359" spans="1:7">
      <c r="A359" s="2650" t="s">
        <v>2760</v>
      </c>
      <c r="B359" s="2639" t="s">
        <v>2780</v>
      </c>
      <c r="C359" s="2640">
        <v>0.1</v>
      </c>
      <c r="D359" s="2640">
        <v>0.1</v>
      </c>
      <c r="E359" s="2640">
        <v>0.1</v>
      </c>
      <c r="F359" s="2640">
        <v>0.1</v>
      </c>
      <c r="G359" s="2641">
        <v>0.1</v>
      </c>
    </row>
    <row r="360" spans="1:7">
      <c r="A360" s="2650" t="s">
        <v>2760</v>
      </c>
      <c r="B360" s="2639" t="s">
        <v>2786</v>
      </c>
      <c r="C360" s="2640">
        <v>0.15</v>
      </c>
      <c r="D360" s="2640">
        <v>0.15</v>
      </c>
      <c r="E360" s="2640">
        <v>0.15</v>
      </c>
      <c r="F360" s="2640">
        <v>0.14899999999999999</v>
      </c>
      <c r="G360" s="2641">
        <v>0.15</v>
      </c>
    </row>
    <row r="361" spans="1:7">
      <c r="A361" s="2650" t="s">
        <v>2760</v>
      </c>
      <c r="B361" s="2639" t="s">
        <v>151</v>
      </c>
      <c r="C361" s="2640">
        <v>0.15</v>
      </c>
      <c r="D361" s="2640">
        <v>0.15</v>
      </c>
      <c r="E361" s="2640">
        <v>0.15</v>
      </c>
      <c r="F361" s="2640">
        <v>0.115</v>
      </c>
      <c r="G361" s="2641">
        <v>0.15</v>
      </c>
    </row>
    <row r="362" spans="1:7">
      <c r="A362" s="2650" t="s">
        <v>2760</v>
      </c>
      <c r="B362" s="2639" t="s">
        <v>2793</v>
      </c>
      <c r="C362" s="2640">
        <v>0.15</v>
      </c>
      <c r="D362" s="2640">
        <v>0.15</v>
      </c>
      <c r="E362" s="2640">
        <v>0.15</v>
      </c>
      <c r="F362" s="2640">
        <v>0.106</v>
      </c>
      <c r="G362" s="2641">
        <v>0.15</v>
      </c>
    </row>
    <row r="363" spans="1:7">
      <c r="A363" s="2650" t="s">
        <v>2760</v>
      </c>
      <c r="B363" s="2639" t="s">
        <v>2798</v>
      </c>
      <c r="C363" s="2640">
        <v>0.15</v>
      </c>
      <c r="D363" s="2640">
        <v>0.15</v>
      </c>
      <c r="E363" s="2640">
        <v>0.15</v>
      </c>
      <c r="F363" s="2640">
        <v>0.14699999999999999</v>
      </c>
      <c r="G363" s="2641">
        <v>0.15</v>
      </c>
    </row>
    <row r="364" spans="1:7">
      <c r="A364" s="2650" t="s">
        <v>2760</v>
      </c>
      <c r="B364" s="2639" t="s">
        <v>2802</v>
      </c>
      <c r="C364" s="2640">
        <v>0.15</v>
      </c>
      <c r="D364" s="2640">
        <v>0.15</v>
      </c>
      <c r="E364" s="2640">
        <v>0.15</v>
      </c>
      <c r="F364" s="2640">
        <v>0.14799999999999999</v>
      </c>
      <c r="G364" s="2641">
        <v>0.15</v>
      </c>
    </row>
    <row r="365" spans="1:7">
      <c r="A365" s="2650" t="s">
        <v>2760</v>
      </c>
      <c r="B365" s="2639" t="s">
        <v>198</v>
      </c>
      <c r="C365" s="2640">
        <v>0.15</v>
      </c>
      <c r="D365" s="2640">
        <v>0.15</v>
      </c>
      <c r="E365" s="2640">
        <v>0.15</v>
      </c>
      <c r="F365" s="2640">
        <v>0.15</v>
      </c>
      <c r="G365" s="2641">
        <v>0.15</v>
      </c>
    </row>
    <row r="366" spans="1:7">
      <c r="A366" s="2650" t="s">
        <v>2760</v>
      </c>
      <c r="B366" s="2639" t="s">
        <v>2805</v>
      </c>
      <c r="C366" s="2640">
        <v>0.15</v>
      </c>
      <c r="D366" s="2640">
        <v>0.15</v>
      </c>
      <c r="E366" s="2640">
        <v>0.15</v>
      </c>
      <c r="F366" s="2640">
        <v>0.15</v>
      </c>
      <c r="G366" s="2641">
        <v>0.15</v>
      </c>
    </row>
    <row r="367" spans="1:7">
      <c r="A367" s="2650" t="s">
        <v>2760</v>
      </c>
      <c r="B367" s="2639" t="s">
        <v>2808</v>
      </c>
      <c r="C367" s="2640">
        <v>0.15</v>
      </c>
      <c r="D367" s="2640">
        <v>0.15</v>
      </c>
      <c r="E367" s="2640">
        <v>0.15</v>
      </c>
      <c r="F367" s="2640">
        <v>0.14699999999999999</v>
      </c>
      <c r="G367" s="2641">
        <v>0.15</v>
      </c>
    </row>
    <row r="368" spans="1:7">
      <c r="A368" s="2650" t="s">
        <v>2760</v>
      </c>
      <c r="B368" s="2639" t="s">
        <v>2813</v>
      </c>
      <c r="C368" s="2640">
        <v>0.15</v>
      </c>
      <c r="D368" s="2640">
        <v>0.15</v>
      </c>
      <c r="E368" s="2640">
        <v>0.15</v>
      </c>
      <c r="F368" s="2640">
        <v>0.13600000000000001</v>
      </c>
      <c r="G368" s="2641">
        <v>0.15</v>
      </c>
    </row>
    <row r="369" spans="1:7">
      <c r="A369" s="2650" t="s">
        <v>2760</v>
      </c>
      <c r="B369" s="2639" t="s">
        <v>212</v>
      </c>
      <c r="C369" s="2640">
        <v>0.15</v>
      </c>
      <c r="D369" s="2640">
        <v>0.15</v>
      </c>
      <c r="E369" s="2640">
        <v>0.15</v>
      </c>
      <c r="F369" s="2640">
        <v>0.14399999999999999</v>
      </c>
      <c r="G369" s="2641">
        <v>0.15</v>
      </c>
    </row>
    <row r="370" spans="1:7">
      <c r="A370" s="2650" t="s">
        <v>2760</v>
      </c>
      <c r="B370" s="2639" t="s">
        <v>219</v>
      </c>
      <c r="C370" s="2640">
        <v>0.15</v>
      </c>
      <c r="D370" s="2640">
        <v>0.15</v>
      </c>
      <c r="E370" s="2640">
        <v>0.15</v>
      </c>
      <c r="F370" s="2640">
        <v>0.14599999999999999</v>
      </c>
      <c r="G370" s="2641">
        <v>0.15</v>
      </c>
    </row>
    <row r="371" spans="1:7">
      <c r="A371" s="2650" t="s">
        <v>2760</v>
      </c>
      <c r="B371" s="2639" t="s">
        <v>227</v>
      </c>
      <c r="C371" s="2640">
        <v>0.15</v>
      </c>
      <c r="D371" s="2640">
        <v>0.15</v>
      </c>
      <c r="E371" s="2640">
        <v>0.15</v>
      </c>
      <c r="F371" s="2640">
        <v>0.12</v>
      </c>
      <c r="G371" s="2641">
        <v>0.15</v>
      </c>
    </row>
    <row r="372" spans="1:7">
      <c r="A372" s="2650" t="s">
        <v>2760</v>
      </c>
      <c r="B372" s="2639" t="s">
        <v>2821</v>
      </c>
      <c r="C372" s="2640">
        <v>0.15</v>
      </c>
      <c r="D372" s="2640">
        <v>0.15</v>
      </c>
      <c r="E372" s="2640">
        <v>0.15</v>
      </c>
      <c r="F372" s="2640">
        <v>0.14299999999999999</v>
      </c>
      <c r="G372" s="2641">
        <v>0.15</v>
      </c>
    </row>
    <row r="373" spans="1:7">
      <c r="A373" s="2650" t="s">
        <v>2760</v>
      </c>
      <c r="B373" s="2639" t="s">
        <v>256</v>
      </c>
      <c r="C373" s="2640">
        <v>0.15</v>
      </c>
      <c r="D373" s="2640">
        <v>0.15</v>
      </c>
      <c r="E373" s="2640">
        <v>0.15</v>
      </c>
      <c r="F373" s="2640">
        <v>0.14599999999999999</v>
      </c>
      <c r="G373" s="2641">
        <v>0.15</v>
      </c>
    </row>
    <row r="374" spans="1:7">
      <c r="A374" s="2650" t="s">
        <v>2760</v>
      </c>
      <c r="B374" s="2639" t="s">
        <v>264</v>
      </c>
      <c r="C374" s="2640">
        <v>0.15</v>
      </c>
      <c r="D374" s="2640">
        <v>0.15</v>
      </c>
      <c r="E374" s="2640">
        <v>0.15</v>
      </c>
      <c r="F374" s="2640">
        <v>0.14399999999999999</v>
      </c>
      <c r="G374" s="2641">
        <v>0.15</v>
      </c>
    </row>
    <row r="375" spans="1:7">
      <c r="A375" s="2650" t="s">
        <v>2760</v>
      </c>
      <c r="B375" s="2639" t="s">
        <v>2829</v>
      </c>
      <c r="C375" s="2640">
        <v>0.15</v>
      </c>
      <c r="D375" s="2640">
        <v>0.15</v>
      </c>
      <c r="E375" s="2640">
        <v>0.15</v>
      </c>
      <c r="F375" s="2640">
        <v>0.13</v>
      </c>
      <c r="G375" s="2641">
        <v>0.15</v>
      </c>
    </row>
    <row r="376" spans="1:7">
      <c r="A376" s="2650" t="s">
        <v>2760</v>
      </c>
      <c r="B376" s="2639" t="s">
        <v>275</v>
      </c>
      <c r="C376" s="2640">
        <v>0.15</v>
      </c>
      <c r="D376" s="2640">
        <v>0.15</v>
      </c>
      <c r="E376" s="2640">
        <v>0.15</v>
      </c>
      <c r="F376" s="2640">
        <v>0.14199999999999999</v>
      </c>
      <c r="G376" s="2641">
        <v>0.15</v>
      </c>
    </row>
    <row r="377" spans="1:7" ht="14.25" thickBot="1">
      <c r="A377" s="2653" t="s">
        <v>2760</v>
      </c>
      <c r="B377" s="2643" t="s">
        <v>2835</v>
      </c>
      <c r="C377" s="2644">
        <v>0.15</v>
      </c>
      <c r="D377" s="2644">
        <v>0.15</v>
      </c>
      <c r="E377" s="2644">
        <v>0.15</v>
      </c>
      <c r="F377" s="2644">
        <v>0.14000000000000001</v>
      </c>
      <c r="G377" s="2646">
        <v>0.15</v>
      </c>
    </row>
    <row r="378" spans="1:7">
      <c r="A378" s="2649" t="s">
        <v>2761</v>
      </c>
      <c r="B378" s="2635" t="s">
        <v>2775</v>
      </c>
      <c r="C378" s="2636">
        <v>0.15</v>
      </c>
      <c r="D378" s="2636">
        <v>0.15</v>
      </c>
      <c r="E378" s="2636">
        <v>0.15</v>
      </c>
      <c r="F378" s="2636">
        <v>0.107</v>
      </c>
      <c r="G378" s="2637">
        <v>0.15</v>
      </c>
    </row>
    <row r="379" spans="1:7">
      <c r="A379" s="2650" t="s">
        <v>2761</v>
      </c>
      <c r="B379" s="2639" t="s">
        <v>2781</v>
      </c>
      <c r="C379" s="2640">
        <v>0.15</v>
      </c>
      <c r="D379" s="2640">
        <v>0.15</v>
      </c>
      <c r="E379" s="2640">
        <v>0.15</v>
      </c>
      <c r="F379" s="2640">
        <v>0.115</v>
      </c>
      <c r="G379" s="2641">
        <v>0.14899999999999999</v>
      </c>
    </row>
    <row r="380" spans="1:7">
      <c r="A380" s="2650" t="s">
        <v>2761</v>
      </c>
      <c r="B380" s="2639" t="s">
        <v>2787</v>
      </c>
      <c r="C380" s="2640">
        <v>0.15</v>
      </c>
      <c r="D380" s="2640">
        <v>0.15</v>
      </c>
      <c r="E380" s="2640">
        <v>0.15</v>
      </c>
      <c r="F380" s="2640">
        <v>0.1</v>
      </c>
      <c r="G380" s="2641">
        <v>0.14799999999999999</v>
      </c>
    </row>
    <row r="381" spans="1:7">
      <c r="A381" s="2650" t="s">
        <v>2761</v>
      </c>
      <c r="B381" s="2639" t="s">
        <v>2790</v>
      </c>
      <c r="C381" s="2640">
        <v>0.15</v>
      </c>
      <c r="D381" s="2640">
        <v>0.15</v>
      </c>
      <c r="E381" s="2640">
        <v>0.15</v>
      </c>
      <c r="F381" s="2640">
        <v>0.126</v>
      </c>
      <c r="G381" s="2641">
        <v>0.15</v>
      </c>
    </row>
    <row r="382" spans="1:7">
      <c r="A382" s="2650" t="s">
        <v>2761</v>
      </c>
      <c r="B382" s="2639" t="s">
        <v>2794</v>
      </c>
      <c r="C382" s="2640">
        <v>0.15</v>
      </c>
      <c r="D382" s="2640">
        <v>0.15</v>
      </c>
      <c r="E382" s="2640">
        <v>0.15</v>
      </c>
      <c r="F382" s="2640">
        <v>0.15</v>
      </c>
      <c r="G382" s="2641">
        <v>0.15</v>
      </c>
    </row>
    <row r="383" spans="1:7">
      <c r="A383" s="2650" t="s">
        <v>2761</v>
      </c>
      <c r="B383" s="2639" t="s">
        <v>2799</v>
      </c>
      <c r="C383" s="2640">
        <v>0.15</v>
      </c>
      <c r="D383" s="2640">
        <v>0.15</v>
      </c>
      <c r="E383" s="2640">
        <v>0.15</v>
      </c>
      <c r="F383" s="2640">
        <v>0.14699999999999999</v>
      </c>
      <c r="G383" s="2641">
        <v>0.15</v>
      </c>
    </row>
    <row r="384" spans="1:7" ht="14.25" thickBot="1">
      <c r="A384" s="2660" t="s">
        <v>2761</v>
      </c>
      <c r="B384" s="2661" t="s">
        <v>2803</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887" t="s">
        <v>3142</v>
      </c>
      <c r="B1" s="4887"/>
      <c r="C1" s="4887"/>
      <c r="D1" s="4887"/>
      <c r="E1" s="4887"/>
      <c r="F1" s="4888"/>
    </row>
    <row r="2" spans="1:6">
      <c r="A2" s="2666" t="s">
        <v>3143</v>
      </c>
      <c r="B2" s="2667"/>
      <c r="C2" s="2667"/>
      <c r="D2" s="2667"/>
      <c r="E2" s="2667"/>
      <c r="F2" s="2667"/>
    </row>
    <row r="3" spans="1:6">
      <c r="A3" s="2666" t="s">
        <v>3144</v>
      </c>
      <c r="B3" s="2667"/>
      <c r="C3" s="2667"/>
      <c r="D3" s="2667"/>
      <c r="E3" s="2667"/>
      <c r="F3" s="2668" t="s">
        <v>3145</v>
      </c>
    </row>
    <row r="4" spans="1:6">
      <c r="A4" s="2669" t="s">
        <v>659</v>
      </c>
      <c r="B4" s="2669" t="s">
        <v>660</v>
      </c>
      <c r="C4" s="2669" t="s">
        <v>19</v>
      </c>
      <c r="D4" s="2669" t="s">
        <v>661</v>
      </c>
      <c r="E4" s="2669" t="s">
        <v>3</v>
      </c>
      <c r="F4" s="2669" t="s">
        <v>3146</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RowHeight="13.5"/>
  <cols>
    <col min="1" max="1" width="13.875" customWidth="1"/>
    <col min="11" max="17" width="0" hidden="1" customWidth="1"/>
    <col min="25" max="30" width="0" hidden="1" customWidth="1"/>
  </cols>
  <sheetData>
    <row r="1" spans="1:44">
      <c r="A1" s="2600">
        <f>基准地价修正!G23</f>
        <v>46041</v>
      </c>
      <c r="B1" s="2589" t="s">
        <v>3285</v>
      </c>
      <c r="C1" s="2590"/>
      <c r="D1" s="2590"/>
      <c r="E1" s="2590"/>
      <c r="F1" s="2590"/>
      <c r="G1" s="2590"/>
      <c r="H1" s="2590"/>
      <c r="I1" s="2590"/>
      <c r="J1" s="2556"/>
      <c r="K1" s="2590" t="s">
        <v>448</v>
      </c>
      <c r="L1" s="2590"/>
      <c r="M1" s="2590"/>
      <c r="N1" s="2590"/>
      <c r="O1" s="2590"/>
      <c r="P1" s="2590"/>
      <c r="Q1" s="2556"/>
      <c r="R1" s="4889" t="s">
        <v>450</v>
      </c>
      <c r="S1" s="4890"/>
      <c r="T1" s="4890"/>
      <c r="U1" s="4890"/>
      <c r="V1" s="4890"/>
      <c r="W1" s="4890"/>
      <c r="X1" s="2556"/>
      <c r="Y1" s="4889" t="s">
        <v>451</v>
      </c>
      <c r="Z1" s="4890"/>
      <c r="AA1" s="4890"/>
      <c r="AB1" s="4890"/>
      <c r="AC1" s="4890"/>
      <c r="AD1" s="4890"/>
    </row>
    <row r="2" spans="1:44" s="2535" customFormat="1" ht="14.25" thickBot="1">
      <c r="B2" s="2536"/>
      <c r="C2" s="2537"/>
      <c r="D2" s="2538" t="s">
        <v>2720</v>
      </c>
      <c r="E2" s="2539" t="s">
        <v>2721</v>
      </c>
      <c r="F2" s="2539" t="s">
        <v>2722</v>
      </c>
      <c r="G2" s="2539" t="s">
        <v>2723</v>
      </c>
      <c r="H2" s="2539" t="s">
        <v>2724</v>
      </c>
      <c r="I2" s="2539" t="s">
        <v>2541</v>
      </c>
      <c r="J2" s="2540"/>
      <c r="K2" s="2538" t="s">
        <v>2720</v>
      </c>
      <c r="L2" s="2539" t="s">
        <v>2721</v>
      </c>
      <c r="M2" s="2539" t="s">
        <v>2722</v>
      </c>
      <c r="N2" s="2539" t="s">
        <v>2723</v>
      </c>
      <c r="O2" s="2539" t="s">
        <v>2725</v>
      </c>
      <c r="P2" s="2539" t="s">
        <v>2541</v>
      </c>
      <c r="Q2" s="2540"/>
      <c r="R2" s="2538" t="s">
        <v>2720</v>
      </c>
      <c r="S2" s="2539" t="s">
        <v>2721</v>
      </c>
      <c r="T2" s="2539" t="s">
        <v>2722</v>
      </c>
      <c r="U2" s="2539" t="s">
        <v>2726</v>
      </c>
      <c r="V2" s="2539" t="s">
        <v>2727</v>
      </c>
      <c r="W2" s="2539" t="s">
        <v>2541</v>
      </c>
      <c r="X2" s="2540"/>
      <c r="Y2" s="2538" t="s">
        <v>2720</v>
      </c>
      <c r="Z2" s="2539" t="s">
        <v>2721</v>
      </c>
      <c r="AA2" s="2539" t="s">
        <v>2722</v>
      </c>
      <c r="AB2" s="2539" t="s">
        <v>2728</v>
      </c>
      <c r="AC2" s="2539" t="s">
        <v>2727</v>
      </c>
      <c r="AD2" s="2539" t="s">
        <v>2541</v>
      </c>
      <c r="AF2" t="s">
        <v>3293</v>
      </c>
      <c r="AG2" t="s">
        <v>660</v>
      </c>
      <c r="AH2" t="s">
        <v>19</v>
      </c>
      <c r="AI2" t="s">
        <v>3294</v>
      </c>
      <c r="AJ2" t="s">
        <v>3</v>
      </c>
      <c r="AK2" t="s">
        <v>3295</v>
      </c>
      <c r="AM2" t="s">
        <v>3293</v>
      </c>
      <c r="AN2" t="s">
        <v>660</v>
      </c>
      <c r="AO2" t="s">
        <v>19</v>
      </c>
      <c r="AP2" t="s">
        <v>3294</v>
      </c>
      <c r="AQ2" t="s">
        <v>3</v>
      </c>
      <c r="AR2" t="s">
        <v>3295</v>
      </c>
    </row>
    <row r="3" spans="1:44" s="2552" customFormat="1" ht="12.75">
      <c r="A3" s="2541" t="s">
        <v>2729</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3691</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3690</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3689</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3692</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3688</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3693</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3307</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3298</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3297</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3289</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3283</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3282</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3278</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3277</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3275</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3274</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3273</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3271</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3262</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2730</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2731</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2732</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2733</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2734</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3288</v>
      </c>
    </row>
    <row r="31" spans="1:44" s="2433" customFormat="1">
      <c r="I31" s="2587" t="s">
        <v>2735</v>
      </c>
    </row>
    <row r="32" spans="1:44" s="2433" customFormat="1"/>
    <row r="33" spans="1:44" s="2588" customFormat="1" ht="12.75">
      <c r="B33" s="2589" t="s">
        <v>3286</v>
      </c>
      <c r="C33" s="2590"/>
      <c r="D33" s="2590"/>
      <c r="E33" s="2590"/>
      <c r="F33" s="2590"/>
      <c r="G33" s="2590"/>
      <c r="H33" s="2590"/>
      <c r="I33" s="2590"/>
      <c r="J33" s="2556"/>
      <c r="K33" s="2590" t="s">
        <v>2736</v>
      </c>
      <c r="L33" s="2590"/>
      <c r="M33" s="2590"/>
      <c r="N33" s="2590"/>
      <c r="O33" s="2590"/>
      <c r="P33" s="2590"/>
      <c r="Q33" s="2556"/>
      <c r="R33" s="4889" t="s">
        <v>2737</v>
      </c>
      <c r="S33" s="4890"/>
      <c r="T33" s="4890"/>
      <c r="U33" s="4890"/>
      <c r="V33" s="4890"/>
      <c r="W33" s="4890"/>
      <c r="X33" s="2556"/>
      <c r="Y33" s="4889" t="s">
        <v>2738</v>
      </c>
      <c r="Z33" s="4890"/>
      <c r="AA33" s="4890"/>
      <c r="AB33" s="4890"/>
      <c r="AC33" s="4890"/>
      <c r="AD33" s="4890"/>
    </row>
    <row r="34" spans="1:44" s="2535" customFormat="1" ht="14.25" thickBot="1">
      <c r="B34" s="2536"/>
      <c r="C34" s="2537"/>
      <c r="D34" s="2538" t="s">
        <v>2739</v>
      </c>
      <c r="E34" s="2539" t="s">
        <v>2740</v>
      </c>
      <c r="F34" s="2539" t="s">
        <v>2741</v>
      </c>
      <c r="G34" s="2539" t="s">
        <v>2742</v>
      </c>
      <c r="H34" s="2539"/>
      <c r="I34" s="2539" t="s">
        <v>2743</v>
      </c>
      <c r="J34" s="2540"/>
      <c r="K34" s="2538" t="s">
        <v>2739</v>
      </c>
      <c r="L34" s="2539" t="s">
        <v>2740</v>
      </c>
      <c r="M34" s="2539" t="s">
        <v>2741</v>
      </c>
      <c r="N34" s="2539" t="s">
        <v>2742</v>
      </c>
      <c r="O34" s="2539"/>
      <c r="P34" s="2539" t="s">
        <v>2743</v>
      </c>
      <c r="Q34" s="2540"/>
      <c r="R34" s="2538" t="s">
        <v>2739</v>
      </c>
      <c r="S34" s="2539" t="s">
        <v>2740</v>
      </c>
      <c r="T34" s="2539" t="s">
        <v>2741</v>
      </c>
      <c r="U34" s="2539" t="s">
        <v>2742</v>
      </c>
      <c r="V34" s="2539"/>
      <c r="W34" s="2539" t="s">
        <v>2743</v>
      </c>
      <c r="X34" s="2540"/>
      <c r="Y34" s="2538" t="s">
        <v>2739</v>
      </c>
      <c r="Z34" s="2539" t="s">
        <v>2740</v>
      </c>
      <c r="AA34" s="2539" t="s">
        <v>2741</v>
      </c>
      <c r="AB34" s="2539" t="s">
        <v>2742</v>
      </c>
      <c r="AC34" s="2539"/>
      <c r="AD34" s="2539" t="s">
        <v>2743</v>
      </c>
      <c r="AG34" t="s">
        <v>660</v>
      </c>
      <c r="AH34" t="s">
        <v>19</v>
      </c>
      <c r="AI34" t="s">
        <v>3294</v>
      </c>
      <c r="AJ34"/>
      <c r="AK34" t="s">
        <v>3295</v>
      </c>
      <c r="AN34" t="s">
        <v>660</v>
      </c>
      <c r="AO34" t="s">
        <v>19</v>
      </c>
      <c r="AP34" t="s">
        <v>3294</v>
      </c>
      <c r="AQ34"/>
      <c r="AR34" t="s">
        <v>3295</v>
      </c>
    </row>
    <row r="35" spans="1:44" s="2552" customFormat="1" ht="12.75">
      <c r="A35" s="2541" t="s">
        <v>2744</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3691</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3690</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3689</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3694</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3688</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3306</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3307</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3296</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3297</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3280</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3284</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3281</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3279</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3277</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3276</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3274</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3273</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3272</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3262</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2745</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2746</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2747</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2748</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2734</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896" t="s">
        <v>446</v>
      </c>
      <c r="C1" s="4896"/>
      <c r="D1" s="4896"/>
      <c r="E1" s="4896"/>
      <c r="F1" s="4896"/>
      <c r="G1" s="4892" t="s">
        <v>447</v>
      </c>
      <c r="H1" s="4892"/>
      <c r="I1" s="4892"/>
      <c r="J1" s="4892"/>
      <c r="K1" s="4892"/>
      <c r="L1" s="4892"/>
      <c r="N1" s="4892" t="s">
        <v>448</v>
      </c>
      <c r="O1" s="4892"/>
      <c r="P1" s="4892"/>
      <c r="Q1" s="4892"/>
      <c r="S1" s="4892" t="s">
        <v>449</v>
      </c>
      <c r="T1" s="4892"/>
      <c r="U1" s="4892"/>
      <c r="V1" s="4892"/>
      <c r="X1" s="4891" t="s">
        <v>450</v>
      </c>
      <c r="Y1" s="4892"/>
      <c r="Z1" s="4892"/>
      <c r="AA1" s="4892"/>
      <c r="AB1" s="4892"/>
      <c r="AD1" s="4891" t="s">
        <v>451</v>
      </c>
      <c r="AE1" s="4892"/>
      <c r="AF1" s="4892"/>
      <c r="AG1" s="4892"/>
      <c r="AH1" s="4892"/>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2030</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3270</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3267</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2031</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3268</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3269</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2346</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2228</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2227</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2226</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2223</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2222</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2046</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2044</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2043</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2042</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2040</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2039</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2041</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894">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2037</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894"/>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2036</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894"/>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2029</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01"/>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2027</v>
      </c>
      <c r="B25" s="1790">
        <v>439</v>
      </c>
      <c r="C25" s="1790">
        <v>327</v>
      </c>
      <c r="D25" s="1790">
        <f>C25</f>
        <v>327</v>
      </c>
      <c r="E25" s="1790">
        <v>627</v>
      </c>
      <c r="F25" s="1791">
        <v>283</v>
      </c>
      <c r="G25" s="4897">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2028</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894"/>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894"/>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01"/>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897">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894"/>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894"/>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895"/>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893">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894"/>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894"/>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895"/>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893">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894"/>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894"/>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895"/>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898">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899"/>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899"/>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00"/>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893">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894"/>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894"/>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895"/>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893">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894">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894">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895">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893">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894">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894">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895">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893">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894">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894">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895">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893">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894">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894">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895">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893">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894">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894">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895">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893">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894">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894">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895">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893">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894">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894">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895">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893">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894">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894">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895">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893">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894">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894">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895">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893">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894">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894">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895">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04" t="s">
        <v>2749</v>
      </c>
      <c r="B1" s="4904"/>
      <c r="C1" s="4904"/>
      <c r="D1" s="4904"/>
      <c r="E1" s="4904"/>
      <c r="F1" s="4904"/>
      <c r="G1" s="4905"/>
      <c r="I1" s="2602" t="s">
        <v>2750</v>
      </c>
      <c r="J1" s="2603" t="s">
        <v>2751</v>
      </c>
      <c r="K1" s="2603" t="s">
        <v>2752</v>
      </c>
      <c r="L1" s="2603" t="s">
        <v>2753</v>
      </c>
      <c r="M1" s="2603" t="s">
        <v>2754</v>
      </c>
      <c r="N1" s="2603" t="s">
        <v>2755</v>
      </c>
      <c r="O1" s="2603" t="s">
        <v>2756</v>
      </c>
      <c r="P1" s="2603" t="s">
        <v>2757</v>
      </c>
      <c r="Q1" s="2603" t="s">
        <v>2758</v>
      </c>
      <c r="R1" s="2603" t="s">
        <v>2759</v>
      </c>
      <c r="S1" s="2603" t="s">
        <v>2760</v>
      </c>
      <c r="T1" s="2604" t="s">
        <v>2761</v>
      </c>
    </row>
    <row r="2" spans="1:20" ht="12" thickBot="1">
      <c r="A2" s="2606" t="s">
        <v>2762</v>
      </c>
      <c r="B2" s="2606"/>
      <c r="C2" s="2606"/>
      <c r="D2" s="2606"/>
      <c r="E2" s="2606"/>
      <c r="F2" s="2606"/>
      <c r="G2" s="2607" t="s">
        <v>2763</v>
      </c>
      <c r="I2" s="2608" t="s">
        <v>2764</v>
      </c>
      <c r="J2" s="2608" t="s">
        <v>2765</v>
      </c>
      <c r="K2" s="2608" t="s">
        <v>2766</v>
      </c>
      <c r="L2" s="2608" t="s">
        <v>2767</v>
      </c>
      <c r="M2" s="2608" t="s">
        <v>2768</v>
      </c>
      <c r="N2" s="2608" t="s">
        <v>2769</v>
      </c>
      <c r="O2" s="2608" t="s">
        <v>2770</v>
      </c>
      <c r="P2" s="2608" t="s">
        <v>2771</v>
      </c>
      <c r="Q2" s="2608" t="s">
        <v>2772</v>
      </c>
      <c r="R2" s="2608" t="s">
        <v>2773</v>
      </c>
      <c r="S2" s="2608" t="s">
        <v>2774</v>
      </c>
      <c r="T2" s="2608" t="s">
        <v>2775</v>
      </c>
    </row>
    <row r="3" spans="1:20" s="2614" customFormat="1">
      <c r="A3" s="4902" t="s">
        <v>2776</v>
      </c>
      <c r="B3" s="2609"/>
      <c r="C3" s="2610" t="s">
        <v>2721</v>
      </c>
      <c r="D3" s="2610" t="s">
        <v>2777</v>
      </c>
      <c r="E3" s="2610" t="s">
        <v>2723</v>
      </c>
      <c r="F3" s="2610" t="s">
        <v>2778</v>
      </c>
      <c r="G3" s="2610" t="s">
        <v>2541</v>
      </c>
      <c r="H3" s="2611"/>
      <c r="I3" s="2612" t="s">
        <v>2779</v>
      </c>
      <c r="J3" s="2613" t="s">
        <v>126</v>
      </c>
      <c r="K3" s="2613" t="s">
        <v>127</v>
      </c>
      <c r="L3" s="2612" t="s">
        <v>128</v>
      </c>
      <c r="M3" s="2612" t="s">
        <v>129</v>
      </c>
      <c r="N3" s="2612" t="s">
        <v>130</v>
      </c>
      <c r="O3" s="2612" t="s">
        <v>131</v>
      </c>
      <c r="P3" s="2612" t="s">
        <v>132</v>
      </c>
      <c r="Q3" s="2612" t="s">
        <v>133</v>
      </c>
      <c r="R3" s="2612" t="s">
        <v>134</v>
      </c>
      <c r="S3" s="2612" t="s">
        <v>2780</v>
      </c>
      <c r="T3" s="2612" t="s">
        <v>2781</v>
      </c>
    </row>
    <row r="4" spans="1:20" s="2614" customFormat="1" ht="12" thickBot="1">
      <c r="A4" s="4903"/>
      <c r="B4" s="2615" t="s">
        <v>2782</v>
      </c>
      <c r="C4" s="2615" t="s">
        <v>2783</v>
      </c>
      <c r="D4" s="2615" t="s">
        <v>2783</v>
      </c>
      <c r="E4" s="2615" t="s">
        <v>2783</v>
      </c>
      <c r="F4" s="2616" t="s">
        <v>2783</v>
      </c>
      <c r="G4" s="2616" t="s">
        <v>2783</v>
      </c>
      <c r="H4" s="2611"/>
      <c r="I4" s="2613" t="s">
        <v>135</v>
      </c>
      <c r="J4" s="2613" t="s">
        <v>109</v>
      </c>
      <c r="K4" s="2613" t="s">
        <v>136</v>
      </c>
      <c r="L4" s="2612" t="s">
        <v>137</v>
      </c>
      <c r="M4" s="2612" t="s">
        <v>138</v>
      </c>
      <c r="N4" s="2612" t="s">
        <v>139</v>
      </c>
      <c r="O4" s="2612" t="s">
        <v>140</v>
      </c>
      <c r="P4" s="2612" t="s">
        <v>141</v>
      </c>
      <c r="Q4" s="2612" t="s">
        <v>2784</v>
      </c>
      <c r="R4" s="2612" t="s">
        <v>2785</v>
      </c>
      <c r="S4" s="2612" t="s">
        <v>2786</v>
      </c>
      <c r="T4" s="2612" t="s">
        <v>2787</v>
      </c>
    </row>
    <row r="5" spans="1:20">
      <c r="A5" s="2617" t="s">
        <v>2750</v>
      </c>
      <c r="B5" s="2608" t="s">
        <v>2764</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2788</v>
      </c>
      <c r="R5" s="2612" t="s">
        <v>2789</v>
      </c>
      <c r="S5" s="2612" t="s">
        <v>151</v>
      </c>
      <c r="T5" s="2612" t="s">
        <v>2790</v>
      </c>
    </row>
    <row r="6" spans="1:20" ht="12" thickBot="1">
      <c r="A6" s="2612" t="s">
        <v>142</v>
      </c>
      <c r="B6" s="2612" t="s">
        <v>2779</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2791</v>
      </c>
      <c r="Q6" s="2612" t="s">
        <v>2792</v>
      </c>
      <c r="R6" s="2612" t="s">
        <v>159</v>
      </c>
      <c r="S6" s="2612" t="s">
        <v>2793</v>
      </c>
      <c r="T6" s="2612" t="s">
        <v>2794</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2795</v>
      </c>
      <c r="Q7" s="2612" t="s">
        <v>2796</v>
      </c>
      <c r="R7" s="2612" t="s">
        <v>2797</v>
      </c>
      <c r="S7" s="2612" t="s">
        <v>2798</v>
      </c>
      <c r="T7" s="2612" t="s">
        <v>2799</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2800</v>
      </c>
      <c r="Q8" s="2612" t="s">
        <v>172</v>
      </c>
      <c r="R8" s="2612" t="s">
        <v>2801</v>
      </c>
      <c r="S8" s="2612" t="s">
        <v>2802</v>
      </c>
      <c r="T8" s="2619" t="s">
        <v>2803</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2804</v>
      </c>
      <c r="Q9" s="2612" t="s">
        <v>180</v>
      </c>
      <c r="R9" s="2612" t="s">
        <v>181</v>
      </c>
      <c r="S9" s="2612" t="s">
        <v>198</v>
      </c>
    </row>
    <row r="10" spans="1:20">
      <c r="A10" s="2617" t="s">
        <v>182</v>
      </c>
      <c r="B10" s="2608" t="s">
        <v>2765</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2805</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2806</v>
      </c>
      <c r="P11" s="2612" t="s">
        <v>189</v>
      </c>
      <c r="Q11" s="2612" t="s">
        <v>197</v>
      </c>
      <c r="R11" s="2612" t="s">
        <v>2807</v>
      </c>
      <c r="S11" s="2612" t="s">
        <v>2808</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2809</v>
      </c>
      <c r="P12" s="2612" t="s">
        <v>2810</v>
      </c>
      <c r="Q12" s="2612" t="s">
        <v>2811</v>
      </c>
      <c r="R12" s="2612" t="s">
        <v>2812</v>
      </c>
      <c r="S12" s="2612" t="s">
        <v>2813</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2814</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2815</v>
      </c>
      <c r="K14" s="2613" t="s">
        <v>213</v>
      </c>
      <c r="L14" s="2612" t="s">
        <v>214</v>
      </c>
      <c r="M14" s="2612" t="s">
        <v>215</v>
      </c>
      <c r="N14" s="2612" t="s">
        <v>216</v>
      </c>
      <c r="O14" s="2612" t="s">
        <v>238</v>
      </c>
      <c r="P14" s="2612" t="s">
        <v>211</v>
      </c>
      <c r="Q14" s="2612" t="s">
        <v>2816</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2817</v>
      </c>
      <c r="P15" s="2612" t="s">
        <v>2818</v>
      </c>
      <c r="Q15" s="2612" t="s">
        <v>240</v>
      </c>
      <c r="R15" s="2612" t="s">
        <v>2819</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2820</v>
      </c>
      <c r="P16" s="2612" t="s">
        <v>225</v>
      </c>
      <c r="Q16" s="2612" t="s">
        <v>248</v>
      </c>
      <c r="R16" s="2612" t="s">
        <v>205</v>
      </c>
      <c r="S16" s="2612" t="s">
        <v>2821</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2822</v>
      </c>
      <c r="P17" s="2612" t="s">
        <v>2823</v>
      </c>
      <c r="Q17" s="2612" t="s">
        <v>254</v>
      </c>
      <c r="R17" s="2612" t="s">
        <v>2824</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2825</v>
      </c>
      <c r="P18" s="2612" t="s">
        <v>239</v>
      </c>
      <c r="Q18" s="2612" t="s">
        <v>2826</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2827</v>
      </c>
      <c r="P19" s="2612" t="s">
        <v>247</v>
      </c>
      <c r="Q19" s="2612" t="s">
        <v>2828</v>
      </c>
      <c r="R19" s="2612" t="s">
        <v>263</v>
      </c>
      <c r="S19" s="2612" t="s">
        <v>2829</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2830</v>
      </c>
      <c r="P20" s="2612" t="s">
        <v>2831</v>
      </c>
      <c r="Q20" s="2612" t="s">
        <v>288</v>
      </c>
      <c r="R20" s="2612" t="s">
        <v>2832</v>
      </c>
      <c r="S20" s="2612" t="s">
        <v>275</v>
      </c>
    </row>
    <row r="21" spans="1:19" ht="14.25" customHeight="1" thickBot="1">
      <c r="A21" s="2612" t="s">
        <v>182</v>
      </c>
      <c r="B21" s="2613" t="s">
        <v>206</v>
      </c>
      <c r="C21" s="3407">
        <v>32370</v>
      </c>
      <c r="D21" s="3407">
        <v>26730</v>
      </c>
      <c r="E21" s="3407">
        <v>26640</v>
      </c>
      <c r="F21" s="3407"/>
      <c r="G21" s="3407">
        <v>19440</v>
      </c>
      <c r="J21" s="2619" t="s">
        <v>2833</v>
      </c>
      <c r="K21" s="2613" t="s">
        <v>265</v>
      </c>
      <c r="L21" s="2612" t="s">
        <v>266</v>
      </c>
      <c r="M21" s="2612" t="s">
        <v>267</v>
      </c>
      <c r="N21" s="2612" t="s">
        <v>268</v>
      </c>
      <c r="O21" s="2612" t="s">
        <v>262</v>
      </c>
      <c r="P21" s="2612" t="s">
        <v>281</v>
      </c>
      <c r="Q21" s="2612" t="s">
        <v>291</v>
      </c>
      <c r="R21" s="2612" t="s">
        <v>2834</v>
      </c>
      <c r="S21" s="2619" t="s">
        <v>2835</v>
      </c>
    </row>
    <row r="22" spans="1:19" ht="14.25" customHeight="1">
      <c r="A22" s="2612" t="s">
        <v>182</v>
      </c>
      <c r="B22" s="2613" t="s">
        <v>2815</v>
      </c>
      <c r="C22" s="3407">
        <v>29830</v>
      </c>
      <c r="D22" s="3407">
        <v>27600</v>
      </c>
      <c r="E22" s="3407">
        <v>28150</v>
      </c>
      <c r="F22" s="3407"/>
      <c r="G22" s="3407">
        <v>20080</v>
      </c>
      <c r="K22" s="2613" t="s">
        <v>2836</v>
      </c>
      <c r="L22" s="2612" t="s">
        <v>270</v>
      </c>
      <c r="M22" s="2612" t="s">
        <v>271</v>
      </c>
      <c r="N22" s="2612" t="s">
        <v>272</v>
      </c>
      <c r="O22" s="2612" t="s">
        <v>2837</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2838</v>
      </c>
      <c r="L23" s="2612" t="s">
        <v>276</v>
      </c>
      <c r="M23" s="2612" t="s">
        <v>277</v>
      </c>
      <c r="N23" s="2612" t="s">
        <v>2839</v>
      </c>
      <c r="O23" s="2612" t="s">
        <v>2840</v>
      </c>
      <c r="P23" s="2612" t="s">
        <v>287</v>
      </c>
      <c r="Q23" s="2612" t="s">
        <v>296</v>
      </c>
      <c r="R23" s="2612" t="s">
        <v>2841</v>
      </c>
    </row>
    <row r="24" spans="1:19" ht="14.25" customHeight="1">
      <c r="A24" s="2612" t="s">
        <v>182</v>
      </c>
      <c r="B24" s="2613" t="s">
        <v>228</v>
      </c>
      <c r="C24" s="3407">
        <v>27930</v>
      </c>
      <c r="D24" s="3407">
        <v>32260</v>
      </c>
      <c r="E24" s="3407">
        <v>32120</v>
      </c>
      <c r="F24" s="3407"/>
      <c r="G24" s="3407">
        <v>23470</v>
      </c>
      <c r="K24" s="2613" t="s">
        <v>2842</v>
      </c>
      <c r="L24" s="2612" t="s">
        <v>279</v>
      </c>
      <c r="M24" s="2612" t="s">
        <v>280</v>
      </c>
      <c r="N24" s="2612" t="s">
        <v>2843</v>
      </c>
      <c r="O24" s="2612" t="s">
        <v>283</v>
      </c>
      <c r="P24" s="2612" t="s">
        <v>2844</v>
      </c>
      <c r="Q24" s="2621" t="s">
        <v>2845</v>
      </c>
      <c r="R24" s="2612" t="s">
        <v>2846</v>
      </c>
    </row>
    <row r="25" spans="1:19" ht="14.25" customHeight="1">
      <c r="A25" s="2612" t="s">
        <v>182</v>
      </c>
      <c r="B25" s="2613" t="s">
        <v>233</v>
      </c>
      <c r="C25" s="3407">
        <v>32230</v>
      </c>
      <c r="D25" s="3407">
        <v>29640</v>
      </c>
      <c r="E25" s="3407">
        <v>29510</v>
      </c>
      <c r="F25" s="3407"/>
      <c r="G25" s="3407">
        <v>21560</v>
      </c>
      <c r="K25" s="2613" t="s">
        <v>2847</v>
      </c>
      <c r="L25" s="2612" t="s">
        <v>2848</v>
      </c>
      <c r="M25" s="2612" t="s">
        <v>282</v>
      </c>
      <c r="N25" s="2612" t="s">
        <v>290</v>
      </c>
      <c r="O25" s="2612" t="s">
        <v>286</v>
      </c>
      <c r="P25" s="2612" t="s">
        <v>273</v>
      </c>
      <c r="Q25" s="2621" t="s">
        <v>269</v>
      </c>
      <c r="R25" s="2612" t="s">
        <v>2849</v>
      </c>
    </row>
    <row r="26" spans="1:19" ht="14.25" customHeight="1" thickBot="1">
      <c r="A26" s="2612" t="s">
        <v>182</v>
      </c>
      <c r="B26" s="2613" t="s">
        <v>242</v>
      </c>
      <c r="C26" s="3407">
        <v>31690</v>
      </c>
      <c r="D26" s="3407">
        <v>27650</v>
      </c>
      <c r="E26" s="3407">
        <v>28200</v>
      </c>
      <c r="F26" s="3407"/>
      <c r="G26" s="3407">
        <v>20110</v>
      </c>
      <c r="K26" s="2618" t="s">
        <v>2850</v>
      </c>
      <c r="L26" s="2612" t="s">
        <v>2851</v>
      </c>
      <c r="M26" s="2612" t="s">
        <v>285</v>
      </c>
      <c r="N26" s="2612" t="s">
        <v>292</v>
      </c>
      <c r="O26" s="2612" t="s">
        <v>2852</v>
      </c>
      <c r="P26" s="2612" t="s">
        <v>2853</v>
      </c>
      <c r="Q26" s="2621" t="s">
        <v>274</v>
      </c>
      <c r="R26" s="2612" t="s">
        <v>2854</v>
      </c>
    </row>
    <row r="27" spans="1:19" ht="14.25" customHeight="1">
      <c r="A27" s="2612" t="s">
        <v>182</v>
      </c>
      <c r="B27" s="2613" t="s">
        <v>249</v>
      </c>
      <c r="C27" s="3407">
        <v>29610</v>
      </c>
      <c r="D27" s="3407">
        <v>27770</v>
      </c>
      <c r="E27" s="3407">
        <v>28300</v>
      </c>
      <c r="F27" s="3407"/>
      <c r="G27" s="3407">
        <v>20210</v>
      </c>
      <c r="L27" s="2612" t="s">
        <v>2855</v>
      </c>
      <c r="M27" s="2612" t="s">
        <v>289</v>
      </c>
      <c r="N27" s="2612" t="s">
        <v>295</v>
      </c>
      <c r="O27" s="2612" t="s">
        <v>2856</v>
      </c>
      <c r="P27" s="2612" t="s">
        <v>2857</v>
      </c>
      <c r="Q27" s="2612" t="s">
        <v>2858</v>
      </c>
      <c r="R27" s="2612" t="s">
        <v>2859</v>
      </c>
    </row>
    <row r="28" spans="1:19" ht="14.25" customHeight="1">
      <c r="A28" s="2612" t="s">
        <v>182</v>
      </c>
      <c r="B28" s="2613" t="s">
        <v>257</v>
      </c>
      <c r="C28" s="3407"/>
      <c r="D28" s="3407">
        <v>31520</v>
      </c>
      <c r="E28" s="3407">
        <v>31410</v>
      </c>
      <c r="F28" s="3407"/>
      <c r="G28" s="3407">
        <v>22940</v>
      </c>
      <c r="L28" s="2612" t="s">
        <v>2860</v>
      </c>
      <c r="M28" s="2612" t="s">
        <v>2861</v>
      </c>
      <c r="N28" s="2612" t="s">
        <v>2862</v>
      </c>
      <c r="O28" s="2612" t="s">
        <v>2863</v>
      </c>
      <c r="P28" s="2612" t="s">
        <v>2864</v>
      </c>
      <c r="Q28" s="2612" t="s">
        <v>2865</v>
      </c>
      <c r="R28" s="2612" t="s">
        <v>2866</v>
      </c>
    </row>
    <row r="29" spans="1:19" ht="14.25" customHeight="1" thickBot="1">
      <c r="A29" s="2620" t="s">
        <v>182</v>
      </c>
      <c r="B29" s="2622" t="s">
        <v>2833</v>
      </c>
      <c r="C29" s="3409"/>
      <c r="D29" s="3409">
        <v>29460</v>
      </c>
      <c r="E29" s="3409">
        <v>28640</v>
      </c>
      <c r="F29" s="3409"/>
      <c r="G29" s="3409">
        <v>21430</v>
      </c>
      <c r="L29" s="2612" t="s">
        <v>2867</v>
      </c>
      <c r="M29" s="2612" t="s">
        <v>2868</v>
      </c>
      <c r="N29" s="2612" t="s">
        <v>2869</v>
      </c>
      <c r="O29" s="2612" t="s">
        <v>2870</v>
      </c>
      <c r="P29" s="2612" t="s">
        <v>2871</v>
      </c>
      <c r="Q29" s="2612" t="s">
        <v>2872</v>
      </c>
      <c r="R29" s="2612" t="s">
        <v>278</v>
      </c>
    </row>
    <row r="30" spans="1:19" ht="14.25" customHeight="1">
      <c r="A30" s="2617" t="s">
        <v>294</v>
      </c>
      <c r="B30" s="2608" t="s">
        <v>2766</v>
      </c>
      <c r="C30" s="3406">
        <v>26890</v>
      </c>
      <c r="D30" s="3406">
        <v>26770</v>
      </c>
      <c r="E30" s="3406">
        <v>25700</v>
      </c>
      <c r="F30" s="3406">
        <v>8180</v>
      </c>
      <c r="G30" s="3410">
        <v>18740</v>
      </c>
      <c r="L30" s="2612" t="s">
        <v>2873</v>
      </c>
      <c r="M30" s="2612" t="s">
        <v>2874</v>
      </c>
      <c r="N30" s="2612" t="s">
        <v>2875</v>
      </c>
      <c r="O30" s="2612" t="s">
        <v>2876</v>
      </c>
      <c r="P30" s="2612" t="s">
        <v>2877</v>
      </c>
      <c r="Q30" s="2612" t="s">
        <v>2878</v>
      </c>
      <c r="R30" s="2612" t="s">
        <v>2879</v>
      </c>
    </row>
    <row r="31" spans="1:19" ht="14.25" customHeight="1">
      <c r="A31" s="2612" t="s">
        <v>294</v>
      </c>
      <c r="B31" s="2613" t="s">
        <v>127</v>
      </c>
      <c r="C31" s="3407">
        <v>24550</v>
      </c>
      <c r="D31" s="3407">
        <v>23990</v>
      </c>
      <c r="E31" s="3407">
        <v>22930</v>
      </c>
      <c r="F31" s="3407">
        <v>7470</v>
      </c>
      <c r="G31" s="3411">
        <v>16790</v>
      </c>
      <c r="L31" s="2612" t="s">
        <v>2880</v>
      </c>
      <c r="M31" s="2612" t="s">
        <v>2881</v>
      </c>
      <c r="N31" s="2612" t="s">
        <v>2882</v>
      </c>
      <c r="O31" s="2612" t="s">
        <v>2883</v>
      </c>
      <c r="P31" s="2612" t="s">
        <v>2884</v>
      </c>
      <c r="Q31" s="2612" t="s">
        <v>2885</v>
      </c>
      <c r="R31" s="2612" t="s">
        <v>2886</v>
      </c>
    </row>
    <row r="32" spans="1:19" ht="14.25" customHeight="1" thickBot="1">
      <c r="A32" s="2612" t="s">
        <v>294</v>
      </c>
      <c r="B32" s="2613" t="s">
        <v>136</v>
      </c>
      <c r="C32" s="3407">
        <v>27210</v>
      </c>
      <c r="D32" s="3407">
        <v>23240</v>
      </c>
      <c r="E32" s="3407">
        <v>23260</v>
      </c>
      <c r="F32" s="3407">
        <v>7130</v>
      </c>
      <c r="G32" s="3411">
        <v>16270</v>
      </c>
      <c r="L32" s="2612" t="s">
        <v>2887</v>
      </c>
      <c r="M32" s="2612" t="s">
        <v>2888</v>
      </c>
      <c r="N32" s="2612" t="s">
        <v>298</v>
      </c>
      <c r="O32" s="2612" t="s">
        <v>2889</v>
      </c>
      <c r="P32" s="2612" t="s">
        <v>297</v>
      </c>
      <c r="Q32" s="2612" t="s">
        <v>2890</v>
      </c>
      <c r="R32" s="2619" t="s">
        <v>2891</v>
      </c>
    </row>
    <row r="33" spans="1:17" ht="14.25" customHeight="1" thickBot="1">
      <c r="A33" s="2612" t="s">
        <v>294</v>
      </c>
      <c r="B33" s="2613" t="s">
        <v>145</v>
      </c>
      <c r="C33" s="3407">
        <v>27300</v>
      </c>
      <c r="D33" s="3407">
        <v>22980</v>
      </c>
      <c r="E33" s="3407">
        <v>24260</v>
      </c>
      <c r="F33" s="3407">
        <v>5860</v>
      </c>
      <c r="G33" s="3411">
        <v>16090</v>
      </c>
      <c r="L33" s="2619" t="s">
        <v>2892</v>
      </c>
      <c r="M33" s="2612" t="s">
        <v>2893</v>
      </c>
      <c r="N33" s="2612" t="s">
        <v>299</v>
      </c>
      <c r="O33" s="2612" t="s">
        <v>2894</v>
      </c>
      <c r="P33" s="2612" t="s">
        <v>2895</v>
      </c>
      <c r="Q33" s="2612" t="s">
        <v>2896</v>
      </c>
    </row>
    <row r="34" spans="1:17" ht="14.25" customHeight="1">
      <c r="A34" s="2612" t="s">
        <v>294</v>
      </c>
      <c r="B34" s="2613" t="s">
        <v>154</v>
      </c>
      <c r="C34" s="3407">
        <v>23090</v>
      </c>
      <c r="D34" s="3407">
        <v>23390</v>
      </c>
      <c r="E34" s="3407">
        <v>23510</v>
      </c>
      <c r="F34" s="3407">
        <v>6700</v>
      </c>
      <c r="G34" s="3411">
        <v>16370</v>
      </c>
      <c r="M34" s="2612" t="s">
        <v>2897</v>
      </c>
      <c r="N34" s="2612" t="s">
        <v>300</v>
      </c>
      <c r="O34" s="2612" t="s">
        <v>2898</v>
      </c>
      <c r="P34" s="2612" t="s">
        <v>2899</v>
      </c>
      <c r="Q34" s="2612" t="s">
        <v>2900</v>
      </c>
    </row>
    <row r="35" spans="1:17" ht="14.25" customHeight="1">
      <c r="A35" s="2612" t="s">
        <v>294</v>
      </c>
      <c r="B35" s="2613" t="s">
        <v>161</v>
      </c>
      <c r="C35" s="3407">
        <v>27270</v>
      </c>
      <c r="D35" s="3407">
        <v>24270</v>
      </c>
      <c r="E35" s="3407">
        <v>24950</v>
      </c>
      <c r="F35" s="3407">
        <v>6600</v>
      </c>
      <c r="G35" s="3411">
        <v>16990</v>
      </c>
      <c r="M35" s="2612" t="s">
        <v>2901</v>
      </c>
      <c r="N35" s="2612" t="s">
        <v>2902</v>
      </c>
      <c r="O35" s="2612" t="s">
        <v>2903</v>
      </c>
      <c r="P35" s="2612" t="s">
        <v>2904</v>
      </c>
      <c r="Q35" s="2612" t="s">
        <v>2905</v>
      </c>
    </row>
    <row r="36" spans="1:17" ht="14.25" customHeight="1">
      <c r="A36" s="2612" t="s">
        <v>294</v>
      </c>
      <c r="B36" s="2613" t="s">
        <v>167</v>
      </c>
      <c r="C36" s="3407">
        <v>23490</v>
      </c>
      <c r="D36" s="3407">
        <v>23020</v>
      </c>
      <c r="E36" s="3407">
        <v>25230</v>
      </c>
      <c r="F36" s="3407">
        <v>6780</v>
      </c>
      <c r="G36" s="3411">
        <v>16120</v>
      </c>
      <c r="M36" s="2612" t="s">
        <v>2906</v>
      </c>
      <c r="N36" s="2612" t="s">
        <v>2907</v>
      </c>
      <c r="O36" s="2612" t="s">
        <v>2908</v>
      </c>
      <c r="P36" s="2612" t="s">
        <v>2909</v>
      </c>
      <c r="Q36" s="2612" t="s">
        <v>2910</v>
      </c>
    </row>
    <row r="37" spans="1:17" ht="14.25" customHeight="1">
      <c r="A37" s="2612" t="s">
        <v>294</v>
      </c>
      <c r="B37" s="2613" t="s">
        <v>174</v>
      </c>
      <c r="C37" s="3407">
        <v>24380</v>
      </c>
      <c r="D37" s="3407">
        <v>22240</v>
      </c>
      <c r="E37" s="3407">
        <v>25980</v>
      </c>
      <c r="F37" s="3407">
        <v>8160</v>
      </c>
      <c r="G37" s="3411">
        <v>15570</v>
      </c>
      <c r="M37" s="2612" t="s">
        <v>2911</v>
      </c>
      <c r="N37" s="2612" t="s">
        <v>2912</v>
      </c>
      <c r="O37" s="2612" t="s">
        <v>2913</v>
      </c>
      <c r="P37" s="2612" t="s">
        <v>2914</v>
      </c>
      <c r="Q37" s="2612" t="s">
        <v>2915</v>
      </c>
    </row>
    <row r="38" spans="1:17" ht="14.25" customHeight="1">
      <c r="A38" s="2612" t="s">
        <v>294</v>
      </c>
      <c r="B38" s="2613" t="s">
        <v>184</v>
      </c>
      <c r="C38" s="3407">
        <v>23120</v>
      </c>
      <c r="D38" s="3407">
        <v>24630</v>
      </c>
      <c r="E38" s="3407">
        <v>25030</v>
      </c>
      <c r="F38" s="3407">
        <v>7710</v>
      </c>
      <c r="G38" s="3411">
        <v>17240</v>
      </c>
      <c r="M38" s="2612" t="s">
        <v>2916</v>
      </c>
      <c r="N38" s="2612" t="s">
        <v>2917</v>
      </c>
      <c r="O38" s="2612" t="s">
        <v>2918</v>
      </c>
      <c r="P38" s="2612" t="s">
        <v>2919</v>
      </c>
      <c r="Q38" s="2612" t="s">
        <v>2920</v>
      </c>
    </row>
    <row r="39" spans="1:17" ht="14.25" customHeight="1">
      <c r="A39" s="2612" t="s">
        <v>294</v>
      </c>
      <c r="B39" s="2613" t="s">
        <v>193</v>
      </c>
      <c r="C39" s="3407">
        <v>22330</v>
      </c>
      <c r="D39" s="3407">
        <v>21140</v>
      </c>
      <c r="E39" s="3407">
        <v>23970</v>
      </c>
      <c r="F39" s="3407">
        <v>7940</v>
      </c>
      <c r="G39" s="3411">
        <v>14790</v>
      </c>
      <c r="M39" s="2612" t="s">
        <v>2921</v>
      </c>
      <c r="N39" s="2612" t="s">
        <v>2922</v>
      </c>
      <c r="O39" s="2612" t="s">
        <v>2923</v>
      </c>
      <c r="P39" s="2612" t="s">
        <v>2924</v>
      </c>
      <c r="Q39" s="2612" t="s">
        <v>2925</v>
      </c>
    </row>
    <row r="40" spans="1:17" ht="14.25" customHeight="1">
      <c r="A40" s="2612" t="s">
        <v>294</v>
      </c>
      <c r="B40" s="2613" t="s">
        <v>200</v>
      </c>
      <c r="C40" s="3407">
        <v>24740</v>
      </c>
      <c r="D40" s="3407">
        <v>24690</v>
      </c>
      <c r="E40" s="3407">
        <v>22610</v>
      </c>
      <c r="F40" s="3407"/>
      <c r="G40" s="3411">
        <v>17280</v>
      </c>
      <c r="M40" s="2612" t="s">
        <v>2926</v>
      </c>
      <c r="N40" s="2612" t="s">
        <v>2927</v>
      </c>
      <c r="O40" s="2612" t="s">
        <v>2928</v>
      </c>
      <c r="P40" s="2612" t="s">
        <v>2929</v>
      </c>
      <c r="Q40" s="2612" t="s">
        <v>2930</v>
      </c>
    </row>
    <row r="41" spans="1:17" ht="14.25" customHeight="1" thickBot="1">
      <c r="A41" s="2612" t="s">
        <v>294</v>
      </c>
      <c r="B41" s="2613" t="s">
        <v>207</v>
      </c>
      <c r="C41" s="3407">
        <v>21220</v>
      </c>
      <c r="D41" s="3407">
        <v>21120</v>
      </c>
      <c r="E41" s="3407">
        <v>22590</v>
      </c>
      <c r="F41" s="3407"/>
      <c r="G41" s="3411">
        <v>14780</v>
      </c>
      <c r="M41" s="2619" t="s">
        <v>2931</v>
      </c>
      <c r="N41" s="2612" t="s">
        <v>2932</v>
      </c>
      <c r="O41" s="2612" t="s">
        <v>2933</v>
      </c>
      <c r="P41" s="2612" t="s">
        <v>2934</v>
      </c>
      <c r="Q41" s="2612" t="s">
        <v>2935</v>
      </c>
    </row>
    <row r="42" spans="1:17" ht="14.25" customHeight="1">
      <c r="A42" s="2612" t="s">
        <v>294</v>
      </c>
      <c r="B42" s="2613" t="s">
        <v>213</v>
      </c>
      <c r="C42" s="3407">
        <v>24800</v>
      </c>
      <c r="D42" s="3407">
        <v>22280</v>
      </c>
      <c r="E42" s="3407">
        <v>24350</v>
      </c>
      <c r="F42" s="3407"/>
      <c r="G42" s="3411">
        <v>15590</v>
      </c>
      <c r="N42" s="2612" t="s">
        <v>2936</v>
      </c>
      <c r="O42" s="2612" t="s">
        <v>2937</v>
      </c>
      <c r="P42" s="2612" t="s">
        <v>2938</v>
      </c>
      <c r="Q42" s="2612" t="s">
        <v>2939</v>
      </c>
    </row>
    <row r="43" spans="1:17" ht="14.25" customHeight="1">
      <c r="A43" s="2612" t="s">
        <v>2940</v>
      </c>
      <c r="B43" s="2613" t="s">
        <v>221</v>
      </c>
      <c r="C43" s="3407">
        <v>21210</v>
      </c>
      <c r="D43" s="3407">
        <v>21160</v>
      </c>
      <c r="E43" s="3407">
        <v>22650</v>
      </c>
      <c r="F43" s="3407"/>
      <c r="G43" s="3411">
        <v>14800</v>
      </c>
      <c r="N43" s="2612" t="s">
        <v>2941</v>
      </c>
      <c r="O43" s="2612" t="s">
        <v>2942</v>
      </c>
      <c r="P43" s="2612" t="s">
        <v>2943</v>
      </c>
      <c r="Q43" s="2612" t="s">
        <v>2944</v>
      </c>
    </row>
    <row r="44" spans="1:17" ht="14.25" customHeight="1" thickBot="1">
      <c r="A44" s="2612" t="s">
        <v>294</v>
      </c>
      <c r="B44" s="2613" t="s">
        <v>229</v>
      </c>
      <c r="C44" s="3407">
        <v>22370</v>
      </c>
      <c r="D44" s="3407">
        <v>23140</v>
      </c>
      <c r="E44" s="3407">
        <v>25090</v>
      </c>
      <c r="F44" s="3407"/>
      <c r="G44" s="3411">
        <v>16190</v>
      </c>
      <c r="N44" s="2612" t="s">
        <v>2945</v>
      </c>
      <c r="O44" s="2612" t="s">
        <v>2946</v>
      </c>
      <c r="P44" s="2619" t="s">
        <v>2947</v>
      </c>
      <c r="Q44" s="2612" t="s">
        <v>2948</v>
      </c>
    </row>
    <row r="45" spans="1:17" ht="14.25" customHeight="1" thickBot="1">
      <c r="A45" s="2612" t="s">
        <v>294</v>
      </c>
      <c r="B45" s="2613" t="s">
        <v>234</v>
      </c>
      <c r="C45" s="3407">
        <v>21240</v>
      </c>
      <c r="D45" s="3407">
        <v>27050</v>
      </c>
      <c r="E45" s="3407">
        <v>28000</v>
      </c>
      <c r="F45" s="3407"/>
      <c r="G45" s="3411">
        <v>18940</v>
      </c>
      <c r="N45" s="2612" t="s">
        <v>2949</v>
      </c>
      <c r="O45" s="2619" t="s">
        <v>2950</v>
      </c>
      <c r="Q45" s="2612" t="s">
        <v>2951</v>
      </c>
    </row>
    <row r="46" spans="1:17" ht="14.25" customHeight="1">
      <c r="A46" s="2612" t="s">
        <v>294</v>
      </c>
      <c r="B46" s="2613" t="s">
        <v>243</v>
      </c>
      <c r="C46" s="3407">
        <v>23240</v>
      </c>
      <c r="D46" s="3407">
        <v>23000</v>
      </c>
      <c r="E46" s="3407">
        <v>24980</v>
      </c>
      <c r="F46" s="3407"/>
      <c r="G46" s="3411">
        <v>16100</v>
      </c>
      <c r="N46" s="2612" t="s">
        <v>2952</v>
      </c>
      <c r="Q46" s="2612" t="s">
        <v>2953</v>
      </c>
    </row>
    <row r="47" spans="1:17" ht="14.25" customHeight="1">
      <c r="A47" s="2612" t="s">
        <v>294</v>
      </c>
      <c r="B47" s="2613" t="s">
        <v>250</v>
      </c>
      <c r="C47" s="3407">
        <v>27150</v>
      </c>
      <c r="D47" s="3407">
        <v>23310</v>
      </c>
      <c r="E47" s="3407">
        <v>25150</v>
      </c>
      <c r="F47" s="3407"/>
      <c r="G47" s="3411">
        <v>16310</v>
      </c>
      <c r="N47" s="2612" t="s">
        <v>2954</v>
      </c>
      <c r="Q47" s="2612" t="s">
        <v>2955</v>
      </c>
    </row>
    <row r="48" spans="1:17" ht="14.25" customHeight="1">
      <c r="A48" s="2612" t="s">
        <v>294</v>
      </c>
      <c r="B48" s="2613" t="s">
        <v>258</v>
      </c>
      <c r="C48" s="3407">
        <v>23100</v>
      </c>
      <c r="D48" s="3407">
        <v>21110</v>
      </c>
      <c r="E48" s="3407">
        <v>23080</v>
      </c>
      <c r="F48" s="3407"/>
      <c r="G48" s="3411">
        <v>14780</v>
      </c>
      <c r="N48" s="2612" t="s">
        <v>2956</v>
      </c>
      <c r="Q48" s="2612" t="s">
        <v>2957</v>
      </c>
    </row>
    <row r="49" spans="1:17" ht="14.25" customHeight="1">
      <c r="A49" s="2612" t="s">
        <v>294</v>
      </c>
      <c r="B49" s="2613" t="s">
        <v>265</v>
      </c>
      <c r="C49" s="3407">
        <v>23400</v>
      </c>
      <c r="D49" s="3407">
        <v>22920</v>
      </c>
      <c r="E49" s="3407">
        <v>24900</v>
      </c>
      <c r="F49" s="3407"/>
      <c r="G49" s="3411">
        <v>16040</v>
      </c>
      <c r="N49" s="2612" t="s">
        <v>2958</v>
      </c>
      <c r="Q49" s="2612" t="s">
        <v>2959</v>
      </c>
    </row>
    <row r="50" spans="1:17" ht="14.25" customHeight="1">
      <c r="A50" s="2612" t="s">
        <v>294</v>
      </c>
      <c r="B50" s="2613" t="s">
        <v>2836</v>
      </c>
      <c r="C50" s="3407">
        <v>21200</v>
      </c>
      <c r="D50" s="3407">
        <v>26540</v>
      </c>
      <c r="E50" s="3407">
        <v>23200</v>
      </c>
      <c r="F50" s="3407"/>
      <c r="G50" s="3411">
        <v>18580</v>
      </c>
      <c r="N50" s="2612" t="s">
        <v>2960</v>
      </c>
      <c r="Q50" s="2613" t="s">
        <v>2961</v>
      </c>
    </row>
    <row r="51" spans="1:17" ht="14.25" customHeight="1" thickBot="1">
      <c r="A51" s="2612" t="s">
        <v>294</v>
      </c>
      <c r="B51" s="2613" t="s">
        <v>2838</v>
      </c>
      <c r="C51" s="3407">
        <v>23000</v>
      </c>
      <c r="D51" s="3407">
        <v>23460</v>
      </c>
      <c r="E51" s="3407">
        <v>25290</v>
      </c>
      <c r="F51" s="3407"/>
      <c r="G51" s="3411">
        <v>16420</v>
      </c>
      <c r="N51" s="2612" t="s">
        <v>2962</v>
      </c>
      <c r="Q51" s="2619" t="s">
        <v>2963</v>
      </c>
    </row>
    <row r="52" spans="1:17" ht="14.25" customHeight="1">
      <c r="A52" s="2612" t="s">
        <v>294</v>
      </c>
      <c r="B52" s="2613" t="s">
        <v>2842</v>
      </c>
      <c r="C52" s="3407">
        <v>26660</v>
      </c>
      <c r="D52" s="3407">
        <v>22350</v>
      </c>
      <c r="E52" s="3407">
        <v>22920</v>
      </c>
      <c r="F52" s="3407"/>
      <c r="G52" s="3411">
        <v>15640</v>
      </c>
      <c r="N52" s="2612" t="s">
        <v>2964</v>
      </c>
    </row>
    <row r="53" spans="1:17" ht="14.25" customHeight="1">
      <c r="A53" s="2612" t="s">
        <v>294</v>
      </c>
      <c r="B53" s="2613" t="s">
        <v>2847</v>
      </c>
      <c r="C53" s="3407">
        <v>23580</v>
      </c>
      <c r="D53" s="3407"/>
      <c r="E53" s="3407">
        <v>24280</v>
      </c>
      <c r="F53" s="3407"/>
      <c r="G53" s="3411"/>
      <c r="N53" s="2612" t="s">
        <v>2965</v>
      </c>
    </row>
    <row r="54" spans="1:17" ht="14.25" customHeight="1" thickBot="1">
      <c r="A54" s="2624" t="s">
        <v>294</v>
      </c>
      <c r="B54" s="2618" t="s">
        <v>2850</v>
      </c>
      <c r="C54" s="3408">
        <v>22460</v>
      </c>
      <c r="D54" s="3408"/>
      <c r="E54" s="3408"/>
      <c r="F54" s="3408"/>
      <c r="G54" s="3412"/>
      <c r="N54" s="2612" t="s">
        <v>2966</v>
      </c>
    </row>
    <row r="55" spans="1:17" ht="14.25" customHeight="1">
      <c r="A55" s="2617" t="s">
        <v>108</v>
      </c>
      <c r="B55" s="2608" t="s">
        <v>2967</v>
      </c>
      <c r="C55" s="3407">
        <v>21970</v>
      </c>
      <c r="D55" s="3407">
        <v>20370</v>
      </c>
      <c r="E55" s="3407">
        <v>20180</v>
      </c>
      <c r="F55" s="3407">
        <v>5730</v>
      </c>
      <c r="G55" s="3407">
        <v>13820</v>
      </c>
      <c r="N55" s="2612" t="s">
        <v>2968</v>
      </c>
    </row>
    <row r="56" spans="1:17" ht="14.25" customHeight="1">
      <c r="A56" s="2612" t="s">
        <v>108</v>
      </c>
      <c r="B56" s="2612" t="s">
        <v>128</v>
      </c>
      <c r="C56" s="3407">
        <v>20470</v>
      </c>
      <c r="D56" s="3407">
        <v>20700</v>
      </c>
      <c r="E56" s="3407">
        <v>20380</v>
      </c>
      <c r="F56" s="3407">
        <v>4760</v>
      </c>
      <c r="G56" s="3407">
        <v>14050</v>
      </c>
      <c r="N56" s="2612" t="s">
        <v>2969</v>
      </c>
    </row>
    <row r="57" spans="1:17" ht="14.25" customHeight="1">
      <c r="A57" s="2612" t="s">
        <v>108</v>
      </c>
      <c r="B57" s="2612" t="s">
        <v>137</v>
      </c>
      <c r="C57" s="3407">
        <v>20790</v>
      </c>
      <c r="D57" s="3407">
        <v>21370</v>
      </c>
      <c r="E57" s="3407">
        <v>20890</v>
      </c>
      <c r="F57" s="3407">
        <v>4910</v>
      </c>
      <c r="G57" s="3407">
        <v>14510</v>
      </c>
      <c r="N57" s="2612" t="s">
        <v>2970</v>
      </c>
    </row>
    <row r="58" spans="1:17" ht="14.25" customHeight="1">
      <c r="A58" s="2612" t="s">
        <v>108</v>
      </c>
      <c r="B58" s="2612" t="s">
        <v>146</v>
      </c>
      <c r="C58" s="3407">
        <v>21460</v>
      </c>
      <c r="D58" s="3407">
        <v>20920</v>
      </c>
      <c r="E58" s="3407">
        <v>23410</v>
      </c>
      <c r="F58" s="3407">
        <v>5100</v>
      </c>
      <c r="G58" s="3407">
        <v>14200</v>
      </c>
      <c r="N58" s="2612" t="s">
        <v>2971</v>
      </c>
    </row>
    <row r="59" spans="1:17" ht="14.25" customHeight="1">
      <c r="A59" s="2612" t="s">
        <v>108</v>
      </c>
      <c r="B59" s="2612" t="s">
        <v>155</v>
      </c>
      <c r="C59" s="3407">
        <v>21000</v>
      </c>
      <c r="D59" s="3407">
        <v>21550</v>
      </c>
      <c r="E59" s="3407">
        <v>21150</v>
      </c>
      <c r="F59" s="3407">
        <v>5250</v>
      </c>
      <c r="G59" s="3407">
        <v>14630</v>
      </c>
      <c r="N59" s="2612" t="s">
        <v>2972</v>
      </c>
    </row>
    <row r="60" spans="1:17" ht="14.25" customHeight="1">
      <c r="A60" s="2612" t="s">
        <v>108</v>
      </c>
      <c r="B60" s="2612" t="s">
        <v>162</v>
      </c>
      <c r="C60" s="3407">
        <v>21640</v>
      </c>
      <c r="D60" s="3407">
        <v>21260</v>
      </c>
      <c r="E60" s="3407">
        <v>24040</v>
      </c>
      <c r="F60" s="3407">
        <v>4470</v>
      </c>
      <c r="G60" s="3407">
        <v>14430</v>
      </c>
      <c r="N60" s="2612" t="s">
        <v>2973</v>
      </c>
    </row>
    <row r="61" spans="1:17" ht="14.25" customHeight="1">
      <c r="A61" s="2612" t="s">
        <v>108</v>
      </c>
      <c r="B61" s="2612" t="s">
        <v>168</v>
      </c>
      <c r="C61" s="3407">
        <v>21330</v>
      </c>
      <c r="D61" s="3407">
        <v>18640</v>
      </c>
      <c r="E61" s="3407">
        <v>21190</v>
      </c>
      <c r="F61" s="3407">
        <v>4180</v>
      </c>
      <c r="G61" s="3407">
        <v>12650</v>
      </c>
      <c r="N61" s="2612" t="s">
        <v>2974</v>
      </c>
    </row>
    <row r="62" spans="1:17" ht="14.25" customHeight="1">
      <c r="A62" s="2612" t="s">
        <v>108</v>
      </c>
      <c r="B62" s="2612" t="s">
        <v>175</v>
      </c>
      <c r="C62" s="3407">
        <v>18710</v>
      </c>
      <c r="D62" s="3407">
        <v>19400</v>
      </c>
      <c r="E62" s="3407">
        <v>23750</v>
      </c>
      <c r="F62" s="3407">
        <v>4860</v>
      </c>
      <c r="G62" s="3407">
        <v>13170</v>
      </c>
      <c r="N62" s="2612" t="s">
        <v>2975</v>
      </c>
    </row>
    <row r="63" spans="1:17" ht="14.25" customHeight="1">
      <c r="A63" s="2612" t="s">
        <v>108</v>
      </c>
      <c r="B63" s="2612" t="s">
        <v>185</v>
      </c>
      <c r="C63" s="3407">
        <v>19480</v>
      </c>
      <c r="D63" s="3407">
        <v>16830</v>
      </c>
      <c r="E63" s="3407">
        <v>21590</v>
      </c>
      <c r="F63" s="3407">
        <v>4560</v>
      </c>
      <c r="G63" s="3407">
        <v>11420</v>
      </c>
      <c r="N63" s="2612" t="s">
        <v>2976</v>
      </c>
    </row>
    <row r="64" spans="1:17" ht="14.25" customHeight="1" thickBot="1">
      <c r="A64" s="2612" t="s">
        <v>108</v>
      </c>
      <c r="B64" s="2612" t="s">
        <v>194</v>
      </c>
      <c r="C64" s="3407">
        <v>16920</v>
      </c>
      <c r="D64" s="3407">
        <v>19190</v>
      </c>
      <c r="E64" s="3407">
        <v>22200</v>
      </c>
      <c r="F64" s="3407">
        <v>4390</v>
      </c>
      <c r="G64" s="3407">
        <v>13030</v>
      </c>
      <c r="N64" s="2619" t="s">
        <v>2977</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2848</v>
      </c>
      <c r="C78" s="3407">
        <v>19820</v>
      </c>
      <c r="D78" s="3407">
        <v>19780</v>
      </c>
      <c r="E78" s="3407">
        <v>18560</v>
      </c>
      <c r="F78" s="3407"/>
      <c r="G78" s="3407">
        <v>13430</v>
      </c>
    </row>
    <row r="79" spans="1:7" s="2601" customFormat="1" ht="14.25" customHeight="1">
      <c r="A79" s="2612" t="s">
        <v>108</v>
      </c>
      <c r="B79" s="2612" t="s">
        <v>2851</v>
      </c>
      <c r="C79" s="3407">
        <v>21660</v>
      </c>
      <c r="D79" s="3407">
        <v>18000</v>
      </c>
      <c r="E79" s="3407">
        <v>22570</v>
      </c>
      <c r="F79" s="3407"/>
      <c r="G79" s="3407">
        <v>12220</v>
      </c>
    </row>
    <row r="80" spans="1:7" s="2601" customFormat="1" ht="14.25" customHeight="1">
      <c r="A80" s="2612" t="s">
        <v>108</v>
      </c>
      <c r="B80" s="2612" t="s">
        <v>2855</v>
      </c>
      <c r="C80" s="3407">
        <v>19850</v>
      </c>
      <c r="D80" s="3407"/>
      <c r="E80" s="3407">
        <v>21700</v>
      </c>
      <c r="F80" s="3407"/>
      <c r="G80" s="3407"/>
    </row>
    <row r="81" spans="1:7" s="2601" customFormat="1" ht="14.25" customHeight="1">
      <c r="A81" s="2612" t="s">
        <v>108</v>
      </c>
      <c r="B81" s="2612" t="s">
        <v>2860</v>
      </c>
      <c r="C81" s="3407">
        <v>18080</v>
      </c>
      <c r="D81" s="3407"/>
      <c r="E81" s="3407">
        <v>20900</v>
      </c>
      <c r="F81" s="3407"/>
      <c r="G81" s="3407"/>
    </row>
    <row r="82" spans="1:7" s="2601" customFormat="1" ht="14.25" customHeight="1">
      <c r="A82" s="2612" t="s">
        <v>108</v>
      </c>
      <c r="B82" s="2612" t="s">
        <v>2867</v>
      </c>
      <c r="C82" s="3407"/>
      <c r="D82" s="3407"/>
      <c r="E82" s="3407">
        <v>20840</v>
      </c>
      <c r="F82" s="3407"/>
      <c r="G82" s="3407"/>
    </row>
    <row r="83" spans="1:7" s="2601" customFormat="1" ht="14.25" customHeight="1">
      <c r="A83" s="2612" t="s">
        <v>108</v>
      </c>
      <c r="B83" s="2612" t="s">
        <v>2978</v>
      </c>
      <c r="C83" s="3407"/>
      <c r="D83" s="3407"/>
      <c r="E83" s="3407"/>
      <c r="F83" s="3407">
        <v>4770</v>
      </c>
      <c r="G83" s="3407"/>
    </row>
    <row r="84" spans="1:7" s="2601" customFormat="1" ht="14.25" customHeight="1">
      <c r="A84" s="2612" t="s">
        <v>108</v>
      </c>
      <c r="B84" s="2612" t="s">
        <v>2979</v>
      </c>
      <c r="C84" s="3407"/>
      <c r="D84" s="3407"/>
      <c r="E84" s="3407"/>
      <c r="F84" s="3407">
        <v>4600</v>
      </c>
      <c r="G84" s="3407"/>
    </row>
    <row r="85" spans="1:7" s="2601" customFormat="1" ht="14.25" customHeight="1">
      <c r="A85" s="2612" t="s">
        <v>108</v>
      </c>
      <c r="B85" s="2612" t="s">
        <v>2980</v>
      </c>
      <c r="C85" s="3407"/>
      <c r="D85" s="3407"/>
      <c r="E85" s="3407"/>
      <c r="F85" s="3407">
        <v>4680</v>
      </c>
      <c r="G85" s="3407"/>
    </row>
    <row r="86" spans="1:7" s="2601" customFormat="1" ht="14.25" customHeight="1" thickBot="1">
      <c r="A86" s="2620" t="s">
        <v>108</v>
      </c>
      <c r="B86" s="2622" t="s">
        <v>2981</v>
      </c>
      <c r="C86" s="3409">
        <v>16610</v>
      </c>
      <c r="D86" s="3409">
        <v>16540</v>
      </c>
      <c r="E86" s="3409">
        <v>18850</v>
      </c>
      <c r="F86" s="3409"/>
      <c r="G86" s="3409">
        <v>11220</v>
      </c>
    </row>
    <row r="87" spans="1:7" s="2601" customFormat="1" ht="14.25" customHeight="1">
      <c r="A87" s="2617" t="s">
        <v>301</v>
      </c>
      <c r="B87" s="2608" t="s">
        <v>2982</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2861</v>
      </c>
      <c r="C113" s="3407">
        <v>15520</v>
      </c>
      <c r="D113" s="3407">
        <v>15450</v>
      </c>
      <c r="E113" s="3407"/>
      <c r="F113" s="3407"/>
      <c r="G113" s="3411">
        <v>10210</v>
      </c>
    </row>
    <row r="114" spans="1:7" s="2601" customFormat="1" ht="14.25" customHeight="1">
      <c r="A114" s="2612" t="s">
        <v>301</v>
      </c>
      <c r="B114" s="2612" t="s">
        <v>2868</v>
      </c>
      <c r="C114" s="3407">
        <v>13110</v>
      </c>
      <c r="D114" s="3407">
        <v>13050</v>
      </c>
      <c r="E114" s="3407"/>
      <c r="F114" s="3407"/>
      <c r="G114" s="3411">
        <v>8620</v>
      </c>
    </row>
    <row r="115" spans="1:7" s="2601" customFormat="1" ht="14.25" customHeight="1">
      <c r="A115" s="2612" t="s">
        <v>301</v>
      </c>
      <c r="B115" s="2612" t="s">
        <v>2874</v>
      </c>
      <c r="C115" s="3407">
        <v>12460</v>
      </c>
      <c r="D115" s="3407">
        <v>12390</v>
      </c>
      <c r="E115" s="3407"/>
      <c r="F115" s="3407"/>
      <c r="G115" s="3411">
        <v>8190</v>
      </c>
    </row>
    <row r="116" spans="1:7" s="2601" customFormat="1" ht="14.25" customHeight="1">
      <c r="A116" s="2612" t="s">
        <v>301</v>
      </c>
      <c r="B116" s="2612" t="s">
        <v>2881</v>
      </c>
      <c r="C116" s="3407">
        <v>13580</v>
      </c>
      <c r="D116" s="3407">
        <v>13520</v>
      </c>
      <c r="E116" s="3407"/>
      <c r="F116" s="3407"/>
      <c r="G116" s="3411">
        <v>8930</v>
      </c>
    </row>
    <row r="117" spans="1:7" s="2601" customFormat="1" ht="14.25" customHeight="1">
      <c r="A117" s="2612" t="s">
        <v>301</v>
      </c>
      <c r="B117" s="2612" t="s">
        <v>2888</v>
      </c>
      <c r="C117" s="3407">
        <v>17120</v>
      </c>
      <c r="D117" s="3407">
        <v>17040</v>
      </c>
      <c r="E117" s="3407"/>
      <c r="F117" s="3407"/>
      <c r="G117" s="3411">
        <v>11260</v>
      </c>
    </row>
    <row r="118" spans="1:7" s="2601" customFormat="1" ht="14.25" customHeight="1">
      <c r="A118" s="2612" t="s">
        <v>301</v>
      </c>
      <c r="B118" s="2612" t="s">
        <v>2893</v>
      </c>
      <c r="C118" s="3407">
        <v>14860</v>
      </c>
      <c r="D118" s="3407">
        <v>14790</v>
      </c>
      <c r="E118" s="3407"/>
      <c r="F118" s="3407"/>
      <c r="G118" s="3411">
        <v>9780</v>
      </c>
    </row>
    <row r="119" spans="1:7" s="2601" customFormat="1" ht="14.25" customHeight="1">
      <c r="A119" s="2612" t="s">
        <v>301</v>
      </c>
      <c r="B119" s="2612" t="s">
        <v>2897</v>
      </c>
      <c r="C119" s="3407">
        <v>16470</v>
      </c>
      <c r="D119" s="3407">
        <v>16400</v>
      </c>
      <c r="E119" s="3407"/>
      <c r="F119" s="3407"/>
      <c r="G119" s="3411">
        <v>10840</v>
      </c>
    </row>
    <row r="120" spans="1:7" s="2601" customFormat="1" ht="14.25" customHeight="1">
      <c r="A120" s="2612" t="s">
        <v>301</v>
      </c>
      <c r="B120" s="2612" t="s">
        <v>2983</v>
      </c>
      <c r="C120" s="3407"/>
      <c r="D120" s="3407"/>
      <c r="E120" s="3407"/>
      <c r="F120" s="3407">
        <v>4160</v>
      </c>
      <c r="G120" s="3411"/>
    </row>
    <row r="121" spans="1:7" s="2601" customFormat="1" ht="14.25" customHeight="1">
      <c r="A121" s="2612" t="s">
        <v>301</v>
      </c>
      <c r="B121" s="2612" t="s">
        <v>2984</v>
      </c>
      <c r="C121" s="3407"/>
      <c r="D121" s="3407"/>
      <c r="E121" s="3407"/>
      <c r="F121" s="3407">
        <v>3880</v>
      </c>
      <c r="G121" s="3411"/>
    </row>
    <row r="122" spans="1:7" s="2601" customFormat="1" ht="14.25" customHeight="1">
      <c r="A122" s="2612" t="s">
        <v>301</v>
      </c>
      <c r="B122" s="2612" t="s">
        <v>2985</v>
      </c>
      <c r="C122" s="3407">
        <v>13750</v>
      </c>
      <c r="D122" s="3407">
        <v>13680</v>
      </c>
      <c r="E122" s="3407">
        <v>16460</v>
      </c>
      <c r="F122" s="3407">
        <v>2880</v>
      </c>
      <c r="G122" s="3411">
        <v>9040</v>
      </c>
    </row>
    <row r="123" spans="1:7" s="2601" customFormat="1" ht="14.25" customHeight="1">
      <c r="A123" s="2612" t="s">
        <v>301</v>
      </c>
      <c r="B123" s="2612" t="s">
        <v>2916</v>
      </c>
      <c r="C123" s="3407">
        <v>13590</v>
      </c>
      <c r="D123" s="3407">
        <v>13520</v>
      </c>
      <c r="E123" s="3407">
        <v>16290</v>
      </c>
      <c r="F123" s="3407">
        <v>2790</v>
      </c>
      <c r="G123" s="3411">
        <v>8930</v>
      </c>
    </row>
    <row r="124" spans="1:7" s="2601" customFormat="1" ht="14.25" customHeight="1">
      <c r="A124" s="2612" t="s">
        <v>301</v>
      </c>
      <c r="B124" s="2612" t="s">
        <v>2921</v>
      </c>
      <c r="C124" s="3407">
        <v>13400</v>
      </c>
      <c r="D124" s="3407">
        <v>13320</v>
      </c>
      <c r="E124" s="3407">
        <v>16100</v>
      </c>
      <c r="F124" s="3407">
        <v>2320</v>
      </c>
      <c r="G124" s="3411">
        <v>8800</v>
      </c>
    </row>
    <row r="125" spans="1:7" s="2601" customFormat="1" ht="14.25" customHeight="1">
      <c r="A125" s="2612" t="s">
        <v>301</v>
      </c>
      <c r="B125" s="2612" t="s">
        <v>2926</v>
      </c>
      <c r="C125" s="3407">
        <v>12860</v>
      </c>
      <c r="D125" s="3407">
        <v>12790</v>
      </c>
      <c r="E125" s="3407">
        <v>15370</v>
      </c>
      <c r="F125" s="3407">
        <v>2280</v>
      </c>
      <c r="G125" s="3411">
        <v>8450</v>
      </c>
    </row>
    <row r="126" spans="1:7" s="2601" customFormat="1" ht="14.25" customHeight="1" thickBot="1">
      <c r="A126" s="2624" t="s">
        <v>301</v>
      </c>
      <c r="B126" s="2619" t="s">
        <v>2931</v>
      </c>
      <c r="C126" s="3408">
        <v>12960</v>
      </c>
      <c r="D126" s="3408">
        <v>12890</v>
      </c>
      <c r="E126" s="3408">
        <v>15530</v>
      </c>
      <c r="F126" s="3408">
        <v>2910</v>
      </c>
      <c r="G126" s="3412">
        <v>8520</v>
      </c>
    </row>
    <row r="127" spans="1:7" s="2601" customFormat="1" ht="14.25" customHeight="1">
      <c r="A127" s="2617" t="s">
        <v>27</v>
      </c>
      <c r="B127" s="2608" t="s">
        <v>2986</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2987</v>
      </c>
      <c r="C148" s="3407">
        <v>10370</v>
      </c>
      <c r="D148" s="3407">
        <v>10310</v>
      </c>
      <c r="E148" s="3407">
        <v>12970</v>
      </c>
      <c r="F148" s="3407"/>
      <c r="G148" s="3407">
        <v>6630</v>
      </c>
    </row>
    <row r="149" spans="1:7" s="2601" customFormat="1" ht="14.25" customHeight="1">
      <c r="A149" s="2612" t="s">
        <v>27</v>
      </c>
      <c r="B149" s="2612" t="s">
        <v>2988</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2862</v>
      </c>
      <c r="C153" s="3407">
        <v>10880</v>
      </c>
      <c r="D153" s="3407">
        <v>10820</v>
      </c>
      <c r="E153" s="3407">
        <v>13660</v>
      </c>
      <c r="F153" s="3407">
        <v>2260</v>
      </c>
      <c r="G153" s="3407">
        <v>6970</v>
      </c>
    </row>
    <row r="154" spans="1:7" s="2601" customFormat="1" ht="14.25" customHeight="1">
      <c r="A154" s="2612" t="s">
        <v>27</v>
      </c>
      <c r="B154" s="2612" t="s">
        <v>2989</v>
      </c>
      <c r="C154" s="3407">
        <v>11220</v>
      </c>
      <c r="D154" s="3407">
        <v>11160</v>
      </c>
      <c r="E154" s="3407">
        <v>14130</v>
      </c>
      <c r="F154" s="3407">
        <v>2230</v>
      </c>
      <c r="G154" s="3407">
        <v>7180</v>
      </c>
    </row>
    <row r="155" spans="1:7" s="2601" customFormat="1" ht="14.25" customHeight="1">
      <c r="A155" s="2612" t="s">
        <v>27</v>
      </c>
      <c r="B155" s="2612" t="s">
        <v>2875</v>
      </c>
      <c r="C155" s="3407">
        <v>10430</v>
      </c>
      <c r="D155" s="3407">
        <v>10380</v>
      </c>
      <c r="E155" s="3407">
        <v>13140</v>
      </c>
      <c r="F155" s="3407">
        <v>2080</v>
      </c>
      <c r="G155" s="3407">
        <v>6650</v>
      </c>
    </row>
    <row r="156" spans="1:7" s="2601" customFormat="1" ht="14.25" customHeight="1">
      <c r="A156" s="2612" t="s">
        <v>27</v>
      </c>
      <c r="B156" s="2612" t="s">
        <v>2990</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2991</v>
      </c>
      <c r="C160" s="3407">
        <v>11180</v>
      </c>
      <c r="D160" s="3407">
        <v>11140</v>
      </c>
      <c r="E160" s="3407">
        <v>14050</v>
      </c>
      <c r="F160" s="3407">
        <v>2270</v>
      </c>
      <c r="G160" s="3407">
        <v>7170</v>
      </c>
    </row>
    <row r="161" spans="1:7" s="2601" customFormat="1" ht="14.25" customHeight="1">
      <c r="A161" s="2612" t="s">
        <v>27</v>
      </c>
      <c r="B161" s="2612" t="s">
        <v>2907</v>
      </c>
      <c r="C161" s="3407">
        <v>11160</v>
      </c>
      <c r="D161" s="3407">
        <v>11120</v>
      </c>
      <c r="E161" s="3407">
        <v>14020</v>
      </c>
      <c r="F161" s="3407">
        <v>2150</v>
      </c>
      <c r="G161" s="3407">
        <v>7160</v>
      </c>
    </row>
    <row r="162" spans="1:7" s="2601" customFormat="1" ht="14.25" customHeight="1">
      <c r="A162" s="2612" t="s">
        <v>27</v>
      </c>
      <c r="B162" s="2612" t="s">
        <v>2912</v>
      </c>
      <c r="C162" s="3407">
        <v>9620</v>
      </c>
      <c r="D162" s="3407">
        <v>9570</v>
      </c>
      <c r="E162" s="3407">
        <v>12320</v>
      </c>
      <c r="F162" s="3407">
        <v>2010</v>
      </c>
      <c r="G162" s="3407">
        <v>6160</v>
      </c>
    </row>
    <row r="163" spans="1:7" s="2601" customFormat="1" ht="14.25" customHeight="1">
      <c r="A163" s="2612" t="s">
        <v>27</v>
      </c>
      <c r="B163" s="2612" t="s">
        <v>2917</v>
      </c>
      <c r="C163" s="3407">
        <v>9320</v>
      </c>
      <c r="D163" s="3407">
        <v>9270</v>
      </c>
      <c r="E163" s="3407">
        <v>11790</v>
      </c>
      <c r="F163" s="3407">
        <v>1920</v>
      </c>
      <c r="G163" s="3407">
        <v>5960</v>
      </c>
    </row>
    <row r="164" spans="1:7" s="2601" customFormat="1" ht="14.25" customHeight="1">
      <c r="A164" s="2612" t="s">
        <v>27</v>
      </c>
      <c r="B164" s="2612" t="s">
        <v>2922</v>
      </c>
      <c r="C164" s="3407"/>
      <c r="D164" s="3407"/>
      <c r="E164" s="3407"/>
      <c r="F164" s="3407">
        <v>1980</v>
      </c>
      <c r="G164" s="3407"/>
    </row>
    <row r="165" spans="1:7" s="2601" customFormat="1" ht="14.25" customHeight="1">
      <c r="A165" s="2612" t="s">
        <v>27</v>
      </c>
      <c r="B165" s="2612" t="s">
        <v>2992</v>
      </c>
      <c r="C165" s="3407">
        <v>11060</v>
      </c>
      <c r="D165" s="3407">
        <v>11030</v>
      </c>
      <c r="E165" s="3407">
        <v>13850</v>
      </c>
      <c r="F165" s="3407">
        <v>2170</v>
      </c>
      <c r="G165" s="3407">
        <v>7090</v>
      </c>
    </row>
    <row r="166" spans="1:7" s="2601" customFormat="1" ht="14.25" customHeight="1">
      <c r="A166" s="2612" t="s">
        <v>27</v>
      </c>
      <c r="B166" s="2612" t="s">
        <v>2932</v>
      </c>
      <c r="C166" s="3407">
        <v>11050</v>
      </c>
      <c r="D166" s="3407">
        <v>11010</v>
      </c>
      <c r="E166" s="3407">
        <v>13920</v>
      </c>
      <c r="F166" s="3407">
        <v>2140</v>
      </c>
      <c r="G166" s="3407">
        <v>7080</v>
      </c>
    </row>
    <row r="167" spans="1:7" s="2601" customFormat="1" ht="14.25" customHeight="1">
      <c r="A167" s="2612" t="s">
        <v>27</v>
      </c>
      <c r="B167" s="2612" t="s">
        <v>2936</v>
      </c>
      <c r="C167" s="3407">
        <v>10930</v>
      </c>
      <c r="D167" s="3407">
        <v>10890</v>
      </c>
      <c r="E167" s="3407">
        <v>13790</v>
      </c>
      <c r="F167" s="3407">
        <v>2010</v>
      </c>
      <c r="G167" s="3407">
        <v>7000</v>
      </c>
    </row>
    <row r="168" spans="1:7" s="2601" customFormat="1" ht="14.25" customHeight="1">
      <c r="A168" s="2612" t="s">
        <v>27</v>
      </c>
      <c r="B168" s="2612" t="s">
        <v>2941</v>
      </c>
      <c r="C168" s="3407">
        <v>9420</v>
      </c>
      <c r="D168" s="3407">
        <v>9380</v>
      </c>
      <c r="E168" s="3407">
        <v>11970</v>
      </c>
      <c r="F168" s="3407"/>
      <c r="G168" s="3407">
        <v>6040</v>
      </c>
    </row>
    <row r="169" spans="1:7" s="2601" customFormat="1" ht="14.25" customHeight="1">
      <c r="A169" s="2612" t="s">
        <v>27</v>
      </c>
      <c r="B169" s="2612" t="s">
        <v>2993</v>
      </c>
      <c r="C169" s="3407"/>
      <c r="D169" s="3407"/>
      <c r="E169" s="3407"/>
      <c r="F169" s="3407">
        <v>2880</v>
      </c>
      <c r="G169" s="3407"/>
    </row>
    <row r="170" spans="1:7" s="2601" customFormat="1" ht="14.25" customHeight="1">
      <c r="A170" s="2612" t="s">
        <v>27</v>
      </c>
      <c r="B170" s="2612" t="s">
        <v>2949</v>
      </c>
      <c r="C170" s="3407"/>
      <c r="D170" s="3407"/>
      <c r="E170" s="3407"/>
      <c r="F170" s="3407">
        <v>2880</v>
      </c>
      <c r="G170" s="3407"/>
    </row>
    <row r="171" spans="1:7" s="2601" customFormat="1" ht="14.25" customHeight="1">
      <c r="A171" s="2612" t="s">
        <v>27</v>
      </c>
      <c r="B171" s="2612" t="s">
        <v>2952</v>
      </c>
      <c r="C171" s="3407"/>
      <c r="D171" s="3407"/>
      <c r="E171" s="3407"/>
      <c r="F171" s="3407">
        <v>2880</v>
      </c>
      <c r="G171" s="3407"/>
    </row>
    <row r="172" spans="1:7" s="2601" customFormat="1" ht="14.25" customHeight="1">
      <c r="A172" s="2612" t="s">
        <v>27</v>
      </c>
      <c r="B172" s="2612" t="s">
        <v>2954</v>
      </c>
      <c r="C172" s="3407"/>
      <c r="D172" s="3407"/>
      <c r="E172" s="3407"/>
      <c r="F172" s="3407">
        <v>2880</v>
      </c>
      <c r="G172" s="3407"/>
    </row>
    <row r="173" spans="1:7" s="2601" customFormat="1" ht="14.25" customHeight="1">
      <c r="A173" s="2612" t="s">
        <v>27</v>
      </c>
      <c r="B173" s="2612" t="s">
        <v>2956</v>
      </c>
      <c r="C173" s="3407"/>
      <c r="D173" s="3407"/>
      <c r="E173" s="3407"/>
      <c r="F173" s="3407">
        <v>2150</v>
      </c>
      <c r="G173" s="3407"/>
    </row>
    <row r="174" spans="1:7" s="2601" customFormat="1" ht="14.25" customHeight="1">
      <c r="A174" s="2612" t="s">
        <v>27</v>
      </c>
      <c r="B174" s="2612" t="s">
        <v>2958</v>
      </c>
      <c r="C174" s="3407"/>
      <c r="D174" s="3407"/>
      <c r="E174" s="3407"/>
      <c r="F174" s="3407">
        <v>2030</v>
      </c>
      <c r="G174" s="3407"/>
    </row>
    <row r="175" spans="1:7" s="2601" customFormat="1" ht="14.25" customHeight="1">
      <c r="A175" s="2612" t="s">
        <v>27</v>
      </c>
      <c r="B175" s="2612" t="s">
        <v>2960</v>
      </c>
      <c r="C175" s="3407"/>
      <c r="D175" s="3407"/>
      <c r="E175" s="3407"/>
      <c r="F175" s="3407">
        <v>2780</v>
      </c>
      <c r="G175" s="3407"/>
    </row>
    <row r="176" spans="1:7" s="2601" customFormat="1" ht="14.25" customHeight="1">
      <c r="A176" s="2612" t="s">
        <v>27</v>
      </c>
      <c r="B176" s="2612" t="s">
        <v>2962</v>
      </c>
      <c r="C176" s="3407"/>
      <c r="D176" s="3407"/>
      <c r="E176" s="3407"/>
      <c r="F176" s="3407">
        <v>2780</v>
      </c>
      <c r="G176" s="3407"/>
    </row>
    <row r="177" spans="1:7" s="2601" customFormat="1" ht="14.25" customHeight="1">
      <c r="A177" s="2612" t="s">
        <v>27</v>
      </c>
      <c r="B177" s="2612" t="s">
        <v>2994</v>
      </c>
      <c r="C177" s="3407"/>
      <c r="D177" s="3407"/>
      <c r="E177" s="3407"/>
      <c r="F177" s="3407">
        <v>2780</v>
      </c>
      <c r="G177" s="3407"/>
    </row>
    <row r="178" spans="1:7" s="2601" customFormat="1" ht="14.25" customHeight="1">
      <c r="A178" s="2612" t="s">
        <v>27</v>
      </c>
      <c r="B178" s="2612" t="s">
        <v>2995</v>
      </c>
      <c r="C178" s="3407"/>
      <c r="D178" s="3407"/>
      <c r="E178" s="3407"/>
      <c r="F178" s="3407">
        <v>2060</v>
      </c>
      <c r="G178" s="3407"/>
    </row>
    <row r="179" spans="1:7" s="2601" customFormat="1" ht="14.25" customHeight="1">
      <c r="A179" s="2612" t="s">
        <v>27</v>
      </c>
      <c r="B179" s="2612" t="s">
        <v>2996</v>
      </c>
      <c r="C179" s="3407"/>
      <c r="D179" s="3407"/>
      <c r="E179" s="3407"/>
      <c r="F179" s="3407">
        <v>2120</v>
      </c>
      <c r="G179" s="3407"/>
    </row>
    <row r="180" spans="1:7" s="2601" customFormat="1" ht="14.25" customHeight="1">
      <c r="A180" s="2612" t="s">
        <v>27</v>
      </c>
      <c r="B180" s="2612" t="s">
        <v>2968</v>
      </c>
      <c r="C180" s="3407"/>
      <c r="D180" s="3407"/>
      <c r="E180" s="3407"/>
      <c r="F180" s="3407">
        <v>2340</v>
      </c>
      <c r="G180" s="3407"/>
    </row>
    <row r="181" spans="1:7" s="2601" customFormat="1" ht="14.25" customHeight="1">
      <c r="A181" s="2612" t="s">
        <v>27</v>
      </c>
      <c r="B181" s="2612" t="s">
        <v>2969</v>
      </c>
      <c r="C181" s="3407"/>
      <c r="D181" s="3407"/>
      <c r="E181" s="3407"/>
      <c r="F181" s="3407">
        <v>2340</v>
      </c>
      <c r="G181" s="3407"/>
    </row>
    <row r="182" spans="1:7" s="2601" customFormat="1" ht="14.25" customHeight="1">
      <c r="A182" s="2612" t="s">
        <v>27</v>
      </c>
      <c r="B182" s="2612" t="s">
        <v>2970</v>
      </c>
      <c r="C182" s="3407"/>
      <c r="D182" s="3407"/>
      <c r="E182" s="3407"/>
      <c r="F182" s="3407">
        <v>2340</v>
      </c>
      <c r="G182" s="3407"/>
    </row>
    <row r="183" spans="1:7" s="2601" customFormat="1" ht="14.25" customHeight="1">
      <c r="A183" s="2612" t="s">
        <v>27</v>
      </c>
      <c r="B183" s="2612" t="s">
        <v>2971</v>
      </c>
      <c r="C183" s="3407"/>
      <c r="D183" s="3407"/>
      <c r="E183" s="3407"/>
      <c r="F183" s="3407">
        <v>2340</v>
      </c>
      <c r="G183" s="3407"/>
    </row>
    <row r="184" spans="1:7" s="2601" customFormat="1" ht="14.25" customHeight="1">
      <c r="A184" s="2612" t="s">
        <v>27</v>
      </c>
      <c r="B184" s="2612" t="s">
        <v>2972</v>
      </c>
      <c r="C184" s="3407"/>
      <c r="D184" s="3407"/>
      <c r="E184" s="3407"/>
      <c r="F184" s="3407">
        <v>2340</v>
      </c>
      <c r="G184" s="3407"/>
    </row>
    <row r="185" spans="1:7" s="2601" customFormat="1" ht="14.25" customHeight="1">
      <c r="A185" s="2612" t="s">
        <v>27</v>
      </c>
      <c r="B185" s="2612" t="s">
        <v>2973</v>
      </c>
      <c r="C185" s="3407"/>
      <c r="D185" s="3407"/>
      <c r="E185" s="3407"/>
      <c r="F185" s="3407">
        <v>2530</v>
      </c>
      <c r="G185" s="3407"/>
    </row>
    <row r="186" spans="1:7" s="2601" customFormat="1" ht="14.25" customHeight="1">
      <c r="A186" s="2612" t="s">
        <v>27</v>
      </c>
      <c r="B186" s="2612" t="s">
        <v>2974</v>
      </c>
      <c r="C186" s="3407"/>
      <c r="D186" s="3407"/>
      <c r="E186" s="3407"/>
      <c r="F186" s="3407">
        <v>2550</v>
      </c>
      <c r="G186" s="3407"/>
    </row>
    <row r="187" spans="1:7" s="2601" customFormat="1" ht="14.25" customHeight="1">
      <c r="A187" s="2612" t="s">
        <v>27</v>
      </c>
      <c r="B187" s="2612" t="s">
        <v>2975</v>
      </c>
      <c r="C187" s="3407"/>
      <c r="D187" s="3407"/>
      <c r="E187" s="3407"/>
      <c r="F187" s="3407">
        <v>2070</v>
      </c>
      <c r="G187" s="3407"/>
    </row>
    <row r="188" spans="1:7" s="2601" customFormat="1" ht="14.25" customHeight="1">
      <c r="A188" s="2612" t="s">
        <v>27</v>
      </c>
      <c r="B188" s="2612" t="s">
        <v>2976</v>
      </c>
      <c r="C188" s="3407"/>
      <c r="D188" s="3407"/>
      <c r="E188" s="3407"/>
      <c r="F188" s="3407">
        <v>2340</v>
      </c>
      <c r="G188" s="3407"/>
    </row>
    <row r="189" spans="1:7" s="2601" customFormat="1" ht="14.25" customHeight="1" thickBot="1">
      <c r="A189" s="2620" t="s">
        <v>27</v>
      </c>
      <c r="B189" s="2623" t="s">
        <v>2977</v>
      </c>
      <c r="C189" s="3409"/>
      <c r="D189" s="3409"/>
      <c r="E189" s="3409"/>
      <c r="F189" s="3409">
        <v>2050</v>
      </c>
      <c r="G189" s="3409"/>
    </row>
    <row r="190" spans="1:7" s="2601" customFormat="1" ht="14.25" customHeight="1">
      <c r="A190" s="2617" t="s">
        <v>302</v>
      </c>
      <c r="B190" s="2608" t="s">
        <v>2997</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2998</v>
      </c>
      <c r="C199" s="3407">
        <v>8690</v>
      </c>
      <c r="D199" s="3407">
        <v>8630</v>
      </c>
      <c r="E199" s="3407">
        <v>11350</v>
      </c>
      <c r="F199" s="3407">
        <v>1600</v>
      </c>
      <c r="G199" s="3411">
        <v>5450</v>
      </c>
    </row>
    <row r="200" spans="1:7" s="2601" customFormat="1" ht="14.25" customHeight="1">
      <c r="A200" s="2612" t="s">
        <v>302</v>
      </c>
      <c r="B200" s="2612" t="s">
        <v>2809</v>
      </c>
      <c r="C200" s="3407"/>
      <c r="D200" s="3407"/>
      <c r="E200" s="3407"/>
      <c r="F200" s="3407">
        <v>1510</v>
      </c>
      <c r="G200" s="3411"/>
    </row>
    <row r="201" spans="1:7" s="2601" customFormat="1" ht="14.25" customHeight="1">
      <c r="A201" s="2612" t="s">
        <v>302</v>
      </c>
      <c r="B201" s="2612" t="s">
        <v>2999</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3000</v>
      </c>
      <c r="C203" s="3407">
        <v>8130</v>
      </c>
      <c r="D203" s="3407">
        <v>8070</v>
      </c>
      <c r="E203" s="3407">
        <v>10820</v>
      </c>
      <c r="F203" s="3407">
        <v>1690</v>
      </c>
      <c r="G203" s="3411">
        <v>5100</v>
      </c>
    </row>
    <row r="204" spans="1:7" s="2601" customFormat="1" ht="14.25" customHeight="1">
      <c r="A204" s="2612" t="s">
        <v>302</v>
      </c>
      <c r="B204" s="2612" t="s">
        <v>2820</v>
      </c>
      <c r="C204" s="3407">
        <v>8350</v>
      </c>
      <c r="D204" s="3407">
        <v>8290</v>
      </c>
      <c r="E204" s="3407">
        <v>11080</v>
      </c>
      <c r="F204" s="3407">
        <v>1450</v>
      </c>
      <c r="G204" s="3411">
        <v>5240</v>
      </c>
    </row>
    <row r="205" spans="1:7" s="2601" customFormat="1" ht="14.25" customHeight="1">
      <c r="A205" s="2612" t="s">
        <v>302</v>
      </c>
      <c r="B205" s="2612" t="s">
        <v>2822</v>
      </c>
      <c r="C205" s="3407">
        <v>7190</v>
      </c>
      <c r="D205" s="3407">
        <v>7130</v>
      </c>
      <c r="E205" s="3407">
        <v>9490</v>
      </c>
      <c r="F205" s="3407">
        <v>1470</v>
      </c>
      <c r="G205" s="3411">
        <v>4510</v>
      </c>
    </row>
    <row r="206" spans="1:7" s="2601" customFormat="1" ht="14.25" customHeight="1">
      <c r="A206" s="2612" t="s">
        <v>302</v>
      </c>
      <c r="B206" s="2612" t="s">
        <v>2825</v>
      </c>
      <c r="C206" s="3407">
        <v>7000</v>
      </c>
      <c r="D206" s="3407">
        <v>6950</v>
      </c>
      <c r="E206" s="3407">
        <v>9170</v>
      </c>
      <c r="F206" s="3407">
        <v>1400</v>
      </c>
      <c r="G206" s="3411">
        <v>4380</v>
      </c>
    </row>
    <row r="207" spans="1:7" s="2601" customFormat="1" ht="14.25" customHeight="1">
      <c r="A207" s="2612" t="s">
        <v>302</v>
      </c>
      <c r="B207" s="2612" t="s">
        <v>2827</v>
      </c>
      <c r="C207" s="3407">
        <v>6950</v>
      </c>
      <c r="D207" s="3407">
        <v>6900</v>
      </c>
      <c r="E207" s="3407">
        <v>9110</v>
      </c>
      <c r="F207" s="3407">
        <v>1790</v>
      </c>
      <c r="G207" s="3411">
        <v>4360</v>
      </c>
    </row>
    <row r="208" spans="1:7" s="2601" customFormat="1" ht="14.25" customHeight="1">
      <c r="A208" s="2612" t="s">
        <v>302</v>
      </c>
      <c r="B208" s="2612" t="s">
        <v>3001</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2837</v>
      </c>
      <c r="C210" s="3407">
        <v>8710</v>
      </c>
      <c r="D210" s="3407">
        <v>8660</v>
      </c>
      <c r="E210" s="3407">
        <v>11440</v>
      </c>
      <c r="F210" s="3407">
        <v>1740</v>
      </c>
      <c r="G210" s="3411">
        <v>5470</v>
      </c>
    </row>
    <row r="211" spans="1:7" s="2601" customFormat="1" ht="14.25" customHeight="1">
      <c r="A211" s="2612" t="s">
        <v>302</v>
      </c>
      <c r="B211" s="2612" t="s">
        <v>3002</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3003</v>
      </c>
      <c r="C214" s="3407">
        <v>8090</v>
      </c>
      <c r="D214" s="3407">
        <v>8030</v>
      </c>
      <c r="E214" s="3407">
        <v>10780</v>
      </c>
      <c r="F214" s="3407">
        <v>1570</v>
      </c>
      <c r="G214" s="3411">
        <v>5070</v>
      </c>
    </row>
    <row r="215" spans="1:7" s="2601" customFormat="1" ht="14.25" customHeight="1">
      <c r="A215" s="2612" t="s">
        <v>302</v>
      </c>
      <c r="B215" s="2612" t="s">
        <v>3004</v>
      </c>
      <c r="C215" s="3407">
        <v>7950</v>
      </c>
      <c r="D215" s="3407">
        <v>7900</v>
      </c>
      <c r="E215" s="3407">
        <v>10560</v>
      </c>
      <c r="F215" s="3407">
        <v>1630</v>
      </c>
      <c r="G215" s="3411">
        <v>4990</v>
      </c>
    </row>
    <row r="216" spans="1:7" s="2601" customFormat="1" ht="14.25" customHeight="1">
      <c r="A216" s="2612" t="s">
        <v>302</v>
      </c>
      <c r="B216" s="2612" t="s">
        <v>3005</v>
      </c>
      <c r="C216" s="3407">
        <v>8490</v>
      </c>
      <c r="D216" s="3407">
        <v>8440</v>
      </c>
      <c r="E216" s="3407">
        <v>11260</v>
      </c>
      <c r="F216" s="3407">
        <v>1690</v>
      </c>
      <c r="G216" s="3411">
        <v>5330</v>
      </c>
    </row>
    <row r="217" spans="1:7" s="2601" customFormat="1" ht="14.25" customHeight="1">
      <c r="A217" s="2612" t="s">
        <v>302</v>
      </c>
      <c r="B217" s="2612" t="s">
        <v>2870</v>
      </c>
      <c r="C217" s="3407">
        <v>8200</v>
      </c>
      <c r="D217" s="3407">
        <v>8150</v>
      </c>
      <c r="E217" s="3407">
        <v>10910</v>
      </c>
      <c r="F217" s="3407">
        <v>1670</v>
      </c>
      <c r="G217" s="3411">
        <v>5150</v>
      </c>
    </row>
    <row r="218" spans="1:7" s="2601" customFormat="1" ht="14.25" customHeight="1">
      <c r="A218" s="2612" t="s">
        <v>302</v>
      </c>
      <c r="B218" s="2612" t="s">
        <v>3006</v>
      </c>
      <c r="C218" s="3407"/>
      <c r="D218" s="3407"/>
      <c r="E218" s="3407"/>
      <c r="F218" s="3407">
        <v>2040</v>
      </c>
      <c r="G218" s="3411"/>
    </row>
    <row r="219" spans="1:7" s="2601" customFormat="1" ht="14.25" customHeight="1">
      <c r="A219" s="2612" t="s">
        <v>302</v>
      </c>
      <c r="B219" s="2612" t="s">
        <v>3007</v>
      </c>
      <c r="C219" s="3407"/>
      <c r="D219" s="3407"/>
      <c r="E219" s="3407"/>
      <c r="F219" s="3407">
        <v>2040</v>
      </c>
      <c r="G219" s="3411"/>
    </row>
    <row r="220" spans="1:7" s="2601" customFormat="1" ht="14.25" customHeight="1">
      <c r="A220" s="2612" t="s">
        <v>302</v>
      </c>
      <c r="B220" s="2612" t="s">
        <v>3008</v>
      </c>
      <c r="C220" s="3407"/>
      <c r="D220" s="3407"/>
      <c r="E220" s="3407"/>
      <c r="F220" s="3407">
        <v>2040</v>
      </c>
      <c r="G220" s="3411"/>
    </row>
    <row r="221" spans="1:7" s="2601" customFormat="1" ht="14.25" customHeight="1">
      <c r="A221" s="2612" t="s">
        <v>302</v>
      </c>
      <c r="B221" s="2612" t="s">
        <v>3009</v>
      </c>
      <c r="C221" s="3407"/>
      <c r="D221" s="3407"/>
      <c r="E221" s="3407"/>
      <c r="F221" s="3407">
        <v>2040</v>
      </c>
      <c r="G221" s="3411"/>
    </row>
    <row r="222" spans="1:7" s="2601" customFormat="1" ht="14.25" customHeight="1">
      <c r="A222" s="2612" t="s">
        <v>302</v>
      </c>
      <c r="B222" s="2612" t="s">
        <v>3010</v>
      </c>
      <c r="C222" s="3407"/>
      <c r="D222" s="3407"/>
      <c r="E222" s="3407"/>
      <c r="F222" s="3407">
        <v>2040</v>
      </c>
      <c r="G222" s="3411"/>
    </row>
    <row r="223" spans="1:7" s="2601" customFormat="1" ht="14.25" customHeight="1">
      <c r="A223" s="2612" t="s">
        <v>302</v>
      </c>
      <c r="B223" s="2612" t="s">
        <v>3011</v>
      </c>
      <c r="C223" s="3407"/>
      <c r="D223" s="3407"/>
      <c r="E223" s="3407"/>
      <c r="F223" s="3407">
        <v>1930</v>
      </c>
      <c r="G223" s="3411"/>
    </row>
    <row r="224" spans="1:7" s="2601" customFormat="1" ht="14.25" customHeight="1">
      <c r="A224" s="2612" t="s">
        <v>302</v>
      </c>
      <c r="B224" s="2612" t="s">
        <v>3012</v>
      </c>
      <c r="C224" s="3407"/>
      <c r="D224" s="3407"/>
      <c r="E224" s="3407"/>
      <c r="F224" s="3407">
        <v>1930</v>
      </c>
      <c r="G224" s="3411"/>
    </row>
    <row r="225" spans="1:7" s="2601" customFormat="1" ht="14.25" customHeight="1">
      <c r="A225" s="2612" t="s">
        <v>302</v>
      </c>
      <c r="B225" s="2612" t="s">
        <v>3013</v>
      </c>
      <c r="C225" s="3407"/>
      <c r="D225" s="3407"/>
      <c r="E225" s="3407"/>
      <c r="F225" s="3407">
        <v>1930</v>
      </c>
      <c r="G225" s="3411"/>
    </row>
    <row r="226" spans="1:7" s="2601" customFormat="1" ht="14.25" customHeight="1">
      <c r="A226" s="2612" t="s">
        <v>302</v>
      </c>
      <c r="B226" s="2612" t="s">
        <v>3014</v>
      </c>
      <c r="C226" s="3407"/>
      <c r="D226" s="3407"/>
      <c r="E226" s="3407"/>
      <c r="F226" s="3407">
        <v>1700</v>
      </c>
      <c r="G226" s="3411"/>
    </row>
    <row r="227" spans="1:7" s="2601" customFormat="1" ht="14.25" customHeight="1">
      <c r="A227" s="2612" t="s">
        <v>302</v>
      </c>
      <c r="B227" s="2612" t="s">
        <v>3015</v>
      </c>
      <c r="C227" s="3407"/>
      <c r="D227" s="3407"/>
      <c r="E227" s="3407"/>
      <c r="F227" s="3407">
        <v>1520</v>
      </c>
      <c r="G227" s="3411"/>
    </row>
    <row r="228" spans="1:7" s="2601" customFormat="1" ht="14.25" customHeight="1">
      <c r="A228" s="2612" t="s">
        <v>302</v>
      </c>
      <c r="B228" s="2612" t="s">
        <v>3016</v>
      </c>
      <c r="C228" s="3407"/>
      <c r="D228" s="3407"/>
      <c r="E228" s="3407"/>
      <c r="F228" s="3407">
        <v>1520</v>
      </c>
      <c r="G228" s="3411"/>
    </row>
    <row r="229" spans="1:7" s="2601" customFormat="1" ht="14.25" customHeight="1">
      <c r="A229" s="2612" t="s">
        <v>302</v>
      </c>
      <c r="B229" s="2612" t="s">
        <v>2933</v>
      </c>
      <c r="C229" s="3407"/>
      <c r="D229" s="3407"/>
      <c r="E229" s="3407"/>
      <c r="F229" s="3407">
        <v>1520</v>
      </c>
      <c r="G229" s="3411"/>
    </row>
    <row r="230" spans="1:7" s="2601" customFormat="1" ht="14.25" customHeight="1">
      <c r="A230" s="2612" t="s">
        <v>302</v>
      </c>
      <c r="B230" s="2612" t="s">
        <v>3017</v>
      </c>
      <c r="C230" s="3407"/>
      <c r="D230" s="3407"/>
      <c r="E230" s="3407"/>
      <c r="F230" s="3407">
        <v>1820</v>
      </c>
      <c r="G230" s="3411"/>
    </row>
    <row r="231" spans="1:7" s="2601" customFormat="1" ht="14.25" customHeight="1">
      <c r="A231" s="2612" t="s">
        <v>302</v>
      </c>
      <c r="B231" s="2612" t="s">
        <v>3018</v>
      </c>
      <c r="C231" s="3407"/>
      <c r="D231" s="3407"/>
      <c r="E231" s="3407"/>
      <c r="F231" s="3407">
        <v>1760</v>
      </c>
      <c r="G231" s="3411"/>
    </row>
    <row r="232" spans="1:7" s="2601" customFormat="1" ht="14.25" customHeight="1">
      <c r="A232" s="2612" t="s">
        <v>302</v>
      </c>
      <c r="B232" s="2612" t="s">
        <v>3019</v>
      </c>
      <c r="C232" s="3407"/>
      <c r="D232" s="3407"/>
      <c r="E232" s="3407"/>
      <c r="F232" s="3407">
        <v>1840</v>
      </c>
      <c r="G232" s="3411"/>
    </row>
    <row r="233" spans="1:7" s="2601" customFormat="1" ht="14.25" customHeight="1" thickBot="1">
      <c r="A233" s="2624" t="s">
        <v>302</v>
      </c>
      <c r="B233" s="2619" t="s">
        <v>2950</v>
      </c>
      <c r="C233" s="3408"/>
      <c r="D233" s="3408"/>
      <c r="E233" s="3408"/>
      <c r="F233" s="3408">
        <v>1770</v>
      </c>
      <c r="G233" s="3412"/>
    </row>
    <row r="234" spans="1:7" s="2601" customFormat="1" ht="14.25" customHeight="1">
      <c r="A234" s="2617" t="s">
        <v>303</v>
      </c>
      <c r="B234" s="2608" t="s">
        <v>3020</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2791</v>
      </c>
      <c r="C238" s="3407">
        <v>6920</v>
      </c>
      <c r="D238" s="3407">
        <v>6890</v>
      </c>
      <c r="E238" s="3407">
        <v>8640</v>
      </c>
      <c r="F238" s="3407">
        <v>1310</v>
      </c>
      <c r="G238" s="3407">
        <v>4230</v>
      </c>
    </row>
    <row r="239" spans="1:7" s="2601" customFormat="1" ht="14.25" customHeight="1">
      <c r="A239" s="2612" t="s">
        <v>303</v>
      </c>
      <c r="B239" s="2612" t="s">
        <v>3021</v>
      </c>
      <c r="C239" s="3407">
        <v>6780</v>
      </c>
      <c r="D239" s="3407">
        <v>6750</v>
      </c>
      <c r="E239" s="3407">
        <v>8440</v>
      </c>
      <c r="F239" s="3407">
        <v>1160</v>
      </c>
      <c r="G239" s="3407">
        <v>4140</v>
      </c>
    </row>
    <row r="240" spans="1:7" s="2601" customFormat="1" ht="14.25" customHeight="1">
      <c r="A240" s="2612" t="s">
        <v>303</v>
      </c>
      <c r="B240" s="2612" t="s">
        <v>3022</v>
      </c>
      <c r="C240" s="3407">
        <v>5420</v>
      </c>
      <c r="D240" s="3407">
        <v>5380</v>
      </c>
      <c r="E240" s="3407">
        <v>6640</v>
      </c>
      <c r="F240" s="3407">
        <v>1020</v>
      </c>
      <c r="G240" s="3407">
        <v>3300</v>
      </c>
    </row>
    <row r="241" spans="1:7" s="2601" customFormat="1" ht="14.25" customHeight="1">
      <c r="A241" s="2612" t="s">
        <v>303</v>
      </c>
      <c r="B241" s="2612" t="s">
        <v>3023</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3024</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3025</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3026</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3027</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3028</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2853</v>
      </c>
      <c r="C258" s="3407">
        <v>6190</v>
      </c>
      <c r="D258" s="3407">
        <v>6160</v>
      </c>
      <c r="E258" s="3407">
        <v>7680</v>
      </c>
      <c r="F258" s="3407">
        <v>1170</v>
      </c>
      <c r="G258" s="3407">
        <v>3780</v>
      </c>
    </row>
    <row r="259" spans="1:7" s="2601" customFormat="1" ht="14.25" customHeight="1">
      <c r="A259" s="2612" t="s">
        <v>303</v>
      </c>
      <c r="B259" s="2612" t="s">
        <v>3029</v>
      </c>
      <c r="C259" s="3407">
        <v>7610</v>
      </c>
      <c r="D259" s="3407">
        <v>7570</v>
      </c>
      <c r="E259" s="3407">
        <v>9350</v>
      </c>
      <c r="F259" s="3407">
        <v>1350</v>
      </c>
      <c r="G259" s="3407">
        <v>4650</v>
      </c>
    </row>
    <row r="260" spans="1:7" s="2601" customFormat="1" ht="14.25" customHeight="1">
      <c r="A260" s="2612" t="s">
        <v>303</v>
      </c>
      <c r="B260" s="2612" t="s">
        <v>3030</v>
      </c>
      <c r="C260" s="3407">
        <v>6920</v>
      </c>
      <c r="D260" s="3407">
        <v>6880</v>
      </c>
      <c r="E260" s="3407">
        <v>8380</v>
      </c>
      <c r="F260" s="3407">
        <v>1160</v>
      </c>
      <c r="G260" s="3407">
        <v>4220</v>
      </c>
    </row>
    <row r="261" spans="1:7" s="2601" customFormat="1" ht="14.25" customHeight="1">
      <c r="A261" s="2612" t="s">
        <v>303</v>
      </c>
      <c r="B261" s="2612" t="s">
        <v>3031</v>
      </c>
      <c r="C261" s="3407">
        <v>6850</v>
      </c>
      <c r="D261" s="3407">
        <v>6810</v>
      </c>
      <c r="E261" s="3407">
        <v>8290</v>
      </c>
      <c r="F261" s="3407">
        <v>1130</v>
      </c>
      <c r="G261" s="3407">
        <v>4180</v>
      </c>
    </row>
    <row r="262" spans="1:7" s="2601" customFormat="1" ht="14.25" customHeight="1">
      <c r="A262" s="2612" t="s">
        <v>303</v>
      </c>
      <c r="B262" s="2612" t="s">
        <v>3032</v>
      </c>
      <c r="C262" s="3407">
        <v>5860</v>
      </c>
      <c r="D262" s="3407">
        <v>5820</v>
      </c>
      <c r="E262" s="3407">
        <v>7640</v>
      </c>
      <c r="F262" s="3407">
        <v>1070</v>
      </c>
      <c r="G262" s="3407">
        <v>3570</v>
      </c>
    </row>
    <row r="263" spans="1:7" s="2601" customFormat="1" ht="14.25" customHeight="1">
      <c r="A263" s="2612" t="s">
        <v>303</v>
      </c>
      <c r="B263" s="2612" t="s">
        <v>3033</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3034</v>
      </c>
      <c r="C265" s="3407"/>
      <c r="D265" s="3407"/>
      <c r="E265" s="3407"/>
      <c r="F265" s="3407">
        <v>1500</v>
      </c>
      <c r="G265" s="3407"/>
    </row>
    <row r="266" spans="1:7" s="2601" customFormat="1" ht="14.25" customHeight="1">
      <c r="A266" s="2612" t="s">
        <v>303</v>
      </c>
      <c r="B266" s="2612" t="s">
        <v>3035</v>
      </c>
      <c r="C266" s="3407"/>
      <c r="D266" s="3407"/>
      <c r="E266" s="3407"/>
      <c r="F266" s="3407">
        <v>1500</v>
      </c>
      <c r="G266" s="3407"/>
    </row>
    <row r="267" spans="1:7" s="2601" customFormat="1" ht="14.25" customHeight="1">
      <c r="A267" s="2612" t="s">
        <v>303</v>
      </c>
      <c r="B267" s="2612" t="s">
        <v>3036</v>
      </c>
      <c r="C267" s="3407"/>
      <c r="D267" s="3407"/>
      <c r="E267" s="3407"/>
      <c r="F267" s="3407">
        <v>1500</v>
      </c>
      <c r="G267" s="3407"/>
    </row>
    <row r="268" spans="1:7" s="2601" customFormat="1" ht="14.25" customHeight="1">
      <c r="A268" s="2612" t="s">
        <v>303</v>
      </c>
      <c r="B268" s="2612" t="s">
        <v>3037</v>
      </c>
      <c r="C268" s="3407"/>
      <c r="D268" s="3407"/>
      <c r="E268" s="3407"/>
      <c r="F268" s="3407">
        <v>1290</v>
      </c>
      <c r="G268" s="3407"/>
    </row>
    <row r="269" spans="1:7" s="2601" customFormat="1" ht="14.25" customHeight="1">
      <c r="A269" s="2612" t="s">
        <v>303</v>
      </c>
      <c r="B269" s="2612" t="s">
        <v>3038</v>
      </c>
      <c r="C269" s="3407"/>
      <c r="D269" s="3407"/>
      <c r="E269" s="3407"/>
      <c r="F269" s="3407">
        <v>1150</v>
      </c>
      <c r="G269" s="3407"/>
    </row>
    <row r="270" spans="1:7" s="2601" customFormat="1" ht="14.25" customHeight="1">
      <c r="A270" s="2612" t="s">
        <v>303</v>
      </c>
      <c r="B270" s="2612" t="s">
        <v>3039</v>
      </c>
      <c r="C270" s="3407"/>
      <c r="D270" s="3407"/>
      <c r="E270" s="3407"/>
      <c r="F270" s="3407">
        <v>1380</v>
      </c>
      <c r="G270" s="3407"/>
    </row>
    <row r="271" spans="1:7" s="2601" customFormat="1" ht="14.25" customHeight="1">
      <c r="A271" s="2612" t="s">
        <v>303</v>
      </c>
      <c r="B271" s="2612" t="s">
        <v>3040</v>
      </c>
      <c r="C271" s="3407"/>
      <c r="D271" s="3407"/>
      <c r="E271" s="3407"/>
      <c r="F271" s="3407">
        <v>1460</v>
      </c>
      <c r="G271" s="3407"/>
    </row>
    <row r="272" spans="1:7" s="2601" customFormat="1" ht="14.25" customHeight="1">
      <c r="A272" s="2612" t="s">
        <v>303</v>
      </c>
      <c r="B272" s="2612" t="s">
        <v>3041</v>
      </c>
      <c r="C272" s="3407"/>
      <c r="D272" s="3407"/>
      <c r="E272" s="3407"/>
      <c r="F272" s="3407">
        <v>1460</v>
      </c>
      <c r="G272" s="3407"/>
    </row>
    <row r="273" spans="1:7" s="2601" customFormat="1" ht="14.25" customHeight="1">
      <c r="A273" s="2612" t="s">
        <v>303</v>
      </c>
      <c r="B273" s="2612" t="s">
        <v>2934</v>
      </c>
      <c r="C273" s="3407"/>
      <c r="D273" s="3407"/>
      <c r="E273" s="3407"/>
      <c r="F273" s="3407">
        <v>1490</v>
      </c>
      <c r="G273" s="3407"/>
    </row>
    <row r="274" spans="1:7" s="2601" customFormat="1" ht="14.25" customHeight="1">
      <c r="A274" s="2612" t="s">
        <v>303</v>
      </c>
      <c r="B274" s="2612" t="s">
        <v>3042</v>
      </c>
      <c r="C274" s="3407"/>
      <c r="D274" s="3407"/>
      <c r="E274" s="3407"/>
      <c r="F274" s="3407">
        <v>1490</v>
      </c>
      <c r="G274" s="3407"/>
    </row>
    <row r="275" spans="1:7" s="2601" customFormat="1" ht="14.25" customHeight="1">
      <c r="A275" s="2612" t="s">
        <v>303</v>
      </c>
      <c r="B275" s="2612" t="s">
        <v>3043</v>
      </c>
      <c r="C275" s="3407"/>
      <c r="D275" s="3407"/>
      <c r="E275" s="3407"/>
      <c r="F275" s="3407">
        <v>1220</v>
      </c>
      <c r="G275" s="3407"/>
    </row>
    <row r="276" spans="1:7" s="2601" customFormat="1" ht="14.25" customHeight="1" thickBot="1">
      <c r="A276" s="2620" t="s">
        <v>303</v>
      </c>
      <c r="B276" s="2622" t="s">
        <v>3044</v>
      </c>
      <c r="C276" s="3409"/>
      <c r="D276" s="3409"/>
      <c r="E276" s="3409"/>
      <c r="F276" s="3409">
        <v>1380</v>
      </c>
      <c r="G276" s="3409"/>
    </row>
    <row r="277" spans="1:7" s="2601" customFormat="1" ht="14.25" customHeight="1">
      <c r="A277" s="2617" t="s">
        <v>304</v>
      </c>
      <c r="B277" s="2608" t="s">
        <v>3045</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3046</v>
      </c>
      <c r="C279" s="3407">
        <v>4760</v>
      </c>
      <c r="D279" s="3407">
        <v>4720</v>
      </c>
      <c r="E279" s="3407">
        <v>5540</v>
      </c>
      <c r="F279" s="3407">
        <v>810</v>
      </c>
      <c r="G279" s="3411">
        <v>2850</v>
      </c>
    </row>
    <row r="280" spans="1:7" s="2601" customFormat="1" ht="14.25" customHeight="1">
      <c r="A280" s="2612" t="s">
        <v>304</v>
      </c>
      <c r="B280" s="2612" t="s">
        <v>3047</v>
      </c>
      <c r="C280" s="3407">
        <v>4010</v>
      </c>
      <c r="D280" s="3407">
        <v>3950</v>
      </c>
      <c r="E280" s="3407">
        <v>4710</v>
      </c>
      <c r="F280" s="3407">
        <v>800</v>
      </c>
      <c r="G280" s="3411">
        <v>2390</v>
      </c>
    </row>
    <row r="281" spans="1:7" s="2601" customFormat="1" ht="14.25" customHeight="1">
      <c r="A281" s="2612" t="s">
        <v>304</v>
      </c>
      <c r="B281" s="2612" t="s">
        <v>3048</v>
      </c>
      <c r="C281" s="3407">
        <v>4480</v>
      </c>
      <c r="D281" s="3407">
        <v>4420</v>
      </c>
      <c r="E281" s="3407">
        <v>5230</v>
      </c>
      <c r="F281" s="3407">
        <v>870</v>
      </c>
      <c r="G281" s="3411">
        <v>2660</v>
      </c>
    </row>
    <row r="282" spans="1:7" s="2601" customFormat="1" ht="14.25" customHeight="1">
      <c r="A282" s="2612" t="s">
        <v>304</v>
      </c>
      <c r="B282" s="2612" t="s">
        <v>3049</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3050</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3051</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2826</v>
      </c>
      <c r="C293" s="3407">
        <v>5320</v>
      </c>
      <c r="D293" s="3407">
        <v>5270</v>
      </c>
      <c r="E293" s="3407">
        <v>6160</v>
      </c>
      <c r="F293" s="3407">
        <v>990</v>
      </c>
      <c r="G293" s="3411">
        <v>3170</v>
      </c>
    </row>
    <row r="294" spans="1:7" s="2601" customFormat="1" ht="14.25" customHeight="1">
      <c r="A294" s="2612" t="s">
        <v>304</v>
      </c>
      <c r="B294" s="2612" t="s">
        <v>3052</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2845</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3053</v>
      </c>
      <c r="C302" s="3407">
        <v>5520</v>
      </c>
      <c r="D302" s="3407">
        <v>5470</v>
      </c>
      <c r="E302" s="3407">
        <v>6410</v>
      </c>
      <c r="F302" s="3407">
        <v>950</v>
      </c>
      <c r="G302" s="3411">
        <v>3300</v>
      </c>
    </row>
    <row r="303" spans="1:7" s="2601" customFormat="1" ht="14.25" customHeight="1">
      <c r="A303" s="2612" t="s">
        <v>304</v>
      </c>
      <c r="B303" s="2612" t="s">
        <v>2865</v>
      </c>
      <c r="C303" s="3407">
        <v>5630</v>
      </c>
      <c r="D303" s="3407">
        <v>5590</v>
      </c>
      <c r="E303" s="3407">
        <v>6550</v>
      </c>
      <c r="F303" s="3407">
        <v>1010</v>
      </c>
      <c r="G303" s="3411">
        <v>3370</v>
      </c>
    </row>
    <row r="304" spans="1:7" s="2601" customFormat="1" ht="14.25" customHeight="1">
      <c r="A304" s="2612" t="s">
        <v>304</v>
      </c>
      <c r="B304" s="2612" t="s">
        <v>2872</v>
      </c>
      <c r="C304" s="3407">
        <v>5680</v>
      </c>
      <c r="D304" s="3407">
        <v>5620</v>
      </c>
      <c r="E304" s="3407">
        <v>6620</v>
      </c>
      <c r="F304" s="3407">
        <v>1050</v>
      </c>
      <c r="G304" s="3411">
        <v>3390</v>
      </c>
    </row>
    <row r="305" spans="1:7" s="2601" customFormat="1" ht="14.25" customHeight="1">
      <c r="A305" s="2612" t="s">
        <v>304</v>
      </c>
      <c r="B305" s="2612" t="s">
        <v>2878</v>
      </c>
      <c r="C305" s="3407">
        <v>5590</v>
      </c>
      <c r="D305" s="3407">
        <v>5530</v>
      </c>
      <c r="E305" s="3407">
        <v>6460</v>
      </c>
      <c r="F305" s="3407">
        <v>900</v>
      </c>
      <c r="G305" s="3411">
        <v>3340</v>
      </c>
    </row>
    <row r="306" spans="1:7" s="2601" customFormat="1" ht="14.25" customHeight="1">
      <c r="A306" s="2612" t="s">
        <v>304</v>
      </c>
      <c r="B306" s="2612" t="s">
        <v>3054</v>
      </c>
      <c r="C306" s="3407">
        <v>5560</v>
      </c>
      <c r="D306" s="3407">
        <v>5510</v>
      </c>
      <c r="E306" s="3407">
        <v>6440</v>
      </c>
      <c r="F306" s="3407">
        <v>900</v>
      </c>
      <c r="G306" s="3411">
        <v>3320</v>
      </c>
    </row>
    <row r="307" spans="1:7" s="2601" customFormat="1" ht="14.25" customHeight="1">
      <c r="A307" s="2612" t="s">
        <v>304</v>
      </c>
      <c r="B307" s="2612" t="s">
        <v>2890</v>
      </c>
      <c r="C307" s="3407">
        <v>5650</v>
      </c>
      <c r="D307" s="3407">
        <v>5600</v>
      </c>
      <c r="E307" s="3407">
        <v>6590</v>
      </c>
      <c r="F307" s="3407">
        <v>930</v>
      </c>
      <c r="G307" s="3411">
        <v>3380</v>
      </c>
    </row>
    <row r="308" spans="1:7" s="2601" customFormat="1" ht="14.25" customHeight="1">
      <c r="A308" s="2612" t="s">
        <v>304</v>
      </c>
      <c r="B308" s="2612" t="s">
        <v>3055</v>
      </c>
      <c r="C308" s="3407">
        <v>5620</v>
      </c>
      <c r="D308" s="3407">
        <v>5580</v>
      </c>
      <c r="E308" s="3407">
        <v>6540</v>
      </c>
      <c r="F308" s="3407">
        <v>910</v>
      </c>
      <c r="G308" s="3411">
        <v>3370</v>
      </c>
    </row>
    <row r="309" spans="1:7" s="2601" customFormat="1" ht="14.25" customHeight="1">
      <c r="A309" s="2612" t="s">
        <v>304</v>
      </c>
      <c r="B309" s="2612" t="s">
        <v>3056</v>
      </c>
      <c r="C309" s="3407">
        <v>5060</v>
      </c>
      <c r="D309" s="3407">
        <v>5020</v>
      </c>
      <c r="E309" s="3407">
        <v>6370</v>
      </c>
      <c r="F309" s="3407">
        <v>800</v>
      </c>
      <c r="G309" s="3411">
        <v>3020</v>
      </c>
    </row>
    <row r="310" spans="1:7" s="2601" customFormat="1" ht="14.25" customHeight="1">
      <c r="A310" s="2612" t="s">
        <v>304</v>
      </c>
      <c r="B310" s="2612" t="s">
        <v>2905</v>
      </c>
      <c r="C310" s="3407">
        <v>5150</v>
      </c>
      <c r="D310" s="3407">
        <v>5110</v>
      </c>
      <c r="E310" s="3407">
        <v>6500</v>
      </c>
      <c r="F310" s="3407">
        <v>880</v>
      </c>
      <c r="G310" s="3411">
        <v>3080</v>
      </c>
    </row>
    <row r="311" spans="1:7" s="2601" customFormat="1" ht="14.25" customHeight="1">
      <c r="A311" s="2612" t="s">
        <v>304</v>
      </c>
      <c r="B311" s="2612" t="s">
        <v>3057</v>
      </c>
      <c r="C311" s="3407">
        <v>4750</v>
      </c>
      <c r="D311" s="3407">
        <v>4710</v>
      </c>
      <c r="E311" s="3407">
        <v>5510</v>
      </c>
      <c r="F311" s="3407">
        <v>880</v>
      </c>
      <c r="G311" s="3411">
        <v>2840</v>
      </c>
    </row>
    <row r="312" spans="1:7" s="2601" customFormat="1" ht="14.25" customHeight="1">
      <c r="A312" s="2612" t="s">
        <v>304</v>
      </c>
      <c r="B312" s="2612" t="s">
        <v>2915</v>
      </c>
      <c r="C312" s="3407">
        <v>4690</v>
      </c>
      <c r="D312" s="3407">
        <v>4640</v>
      </c>
      <c r="E312" s="3407">
        <v>5420</v>
      </c>
      <c r="F312" s="3407">
        <v>800</v>
      </c>
      <c r="G312" s="3411">
        <v>2800</v>
      </c>
    </row>
    <row r="313" spans="1:7" s="2601" customFormat="1" ht="14.25" customHeight="1">
      <c r="A313" s="2612" t="s">
        <v>304</v>
      </c>
      <c r="B313" s="2612" t="s">
        <v>2920</v>
      </c>
      <c r="C313" s="3407">
        <v>4810</v>
      </c>
      <c r="D313" s="3407">
        <v>4760</v>
      </c>
      <c r="E313" s="3407">
        <v>5550</v>
      </c>
      <c r="F313" s="3407">
        <v>920</v>
      </c>
      <c r="G313" s="3411">
        <v>2870</v>
      </c>
    </row>
    <row r="314" spans="1:7" s="2601" customFormat="1" ht="14.25" customHeight="1">
      <c r="A314" s="2612" t="s">
        <v>304</v>
      </c>
      <c r="B314" s="2612" t="s">
        <v>3058</v>
      </c>
      <c r="C314" s="3407"/>
      <c r="D314" s="3407"/>
      <c r="E314" s="3407"/>
      <c r="F314" s="3407">
        <v>1020</v>
      </c>
      <c r="G314" s="3411"/>
    </row>
    <row r="315" spans="1:7" s="2601" customFormat="1" ht="14.25" customHeight="1">
      <c r="A315" s="2612" t="s">
        <v>304</v>
      </c>
      <c r="B315" s="2612" t="s">
        <v>3059</v>
      </c>
      <c r="C315" s="3407"/>
      <c r="D315" s="3407"/>
      <c r="E315" s="3407"/>
      <c r="F315" s="3407">
        <v>1050</v>
      </c>
      <c r="G315" s="3411"/>
    </row>
    <row r="316" spans="1:7" s="2601" customFormat="1" ht="14.25" customHeight="1">
      <c r="A316" s="2612" t="s">
        <v>304</v>
      </c>
      <c r="B316" s="2612" t="s">
        <v>2935</v>
      </c>
      <c r="C316" s="3407"/>
      <c r="D316" s="3407"/>
      <c r="E316" s="3407"/>
      <c r="F316" s="3407">
        <v>900</v>
      </c>
      <c r="G316" s="3411"/>
    </row>
    <row r="317" spans="1:7" s="2601" customFormat="1" ht="14.25" customHeight="1">
      <c r="A317" s="2612" t="s">
        <v>304</v>
      </c>
      <c r="B317" s="2612" t="s">
        <v>3060</v>
      </c>
      <c r="C317" s="3407"/>
      <c r="D317" s="3407"/>
      <c r="E317" s="3407"/>
      <c r="F317" s="3407">
        <v>920</v>
      </c>
      <c r="G317" s="3411"/>
    </row>
    <row r="318" spans="1:7" s="2601" customFormat="1" ht="14.25" customHeight="1">
      <c r="A318" s="2612" t="s">
        <v>304</v>
      </c>
      <c r="B318" s="2612" t="s">
        <v>3061</v>
      </c>
      <c r="C318" s="3407"/>
      <c r="D318" s="3407"/>
      <c r="E318" s="3407"/>
      <c r="F318" s="3407">
        <v>1080</v>
      </c>
      <c r="G318" s="3411"/>
    </row>
    <row r="319" spans="1:7" s="2601" customFormat="1" ht="14.25" customHeight="1">
      <c r="A319" s="2612" t="s">
        <v>304</v>
      </c>
      <c r="B319" s="2612" t="s">
        <v>2948</v>
      </c>
      <c r="C319" s="3407"/>
      <c r="D319" s="3407"/>
      <c r="E319" s="3407"/>
      <c r="F319" s="3407">
        <v>1020</v>
      </c>
      <c r="G319" s="3411"/>
    </row>
    <row r="320" spans="1:7" s="2601" customFormat="1" ht="14.25" customHeight="1">
      <c r="A320" s="2612" t="s">
        <v>304</v>
      </c>
      <c r="B320" s="2612" t="s">
        <v>2951</v>
      </c>
      <c r="C320" s="3407"/>
      <c r="D320" s="3407"/>
      <c r="E320" s="3407"/>
      <c r="F320" s="3407">
        <v>1050</v>
      </c>
      <c r="G320" s="3411"/>
    </row>
    <row r="321" spans="1:7" s="2601" customFormat="1" ht="14.25" customHeight="1">
      <c r="A321" s="2612" t="s">
        <v>304</v>
      </c>
      <c r="B321" s="2612" t="s">
        <v>2953</v>
      </c>
      <c r="C321" s="3407"/>
      <c r="D321" s="3407"/>
      <c r="E321" s="3407"/>
      <c r="F321" s="3407">
        <v>960</v>
      </c>
      <c r="G321" s="3411"/>
    </row>
    <row r="322" spans="1:7" s="2601" customFormat="1" ht="14.25" customHeight="1">
      <c r="A322" s="2612" t="s">
        <v>304</v>
      </c>
      <c r="B322" s="2612" t="s">
        <v>2955</v>
      </c>
      <c r="C322" s="3407"/>
      <c r="D322" s="3407"/>
      <c r="E322" s="3407"/>
      <c r="F322" s="3407">
        <v>960</v>
      </c>
      <c r="G322" s="3411"/>
    </row>
    <row r="323" spans="1:7" s="2601" customFormat="1" ht="14.25" customHeight="1">
      <c r="A323" s="2612" t="s">
        <v>304</v>
      </c>
      <c r="B323" s="2612" t="s">
        <v>2957</v>
      </c>
      <c r="C323" s="3407"/>
      <c r="D323" s="3407"/>
      <c r="E323" s="3407"/>
      <c r="F323" s="3407">
        <v>880</v>
      </c>
      <c r="G323" s="3411"/>
    </row>
    <row r="324" spans="1:7" s="2601" customFormat="1" ht="14.25" customHeight="1">
      <c r="A324" s="2612" t="s">
        <v>304</v>
      </c>
      <c r="B324" s="2612" t="s">
        <v>2959</v>
      </c>
      <c r="C324" s="3407"/>
      <c r="D324" s="3407"/>
      <c r="E324" s="3407"/>
      <c r="F324" s="3407">
        <v>930</v>
      </c>
      <c r="G324" s="3411"/>
    </row>
    <row r="325" spans="1:7" s="2601" customFormat="1" ht="14.25" customHeight="1">
      <c r="A325" s="2612" t="s">
        <v>304</v>
      </c>
      <c r="B325" s="2613" t="s">
        <v>2961</v>
      </c>
      <c r="C325" s="3407"/>
      <c r="D325" s="3407"/>
      <c r="E325" s="3407"/>
      <c r="F325" s="3407">
        <v>900</v>
      </c>
      <c r="G325" s="3411"/>
    </row>
    <row r="326" spans="1:7" s="2601" customFormat="1" ht="14.25" customHeight="1" thickBot="1">
      <c r="A326" s="2624" t="s">
        <v>304</v>
      </c>
      <c r="B326" s="2619" t="s">
        <v>2963</v>
      </c>
      <c r="C326" s="3408"/>
      <c r="D326" s="3408"/>
      <c r="E326" s="3408"/>
      <c r="F326" s="3408">
        <v>790</v>
      </c>
      <c r="G326" s="3412"/>
    </row>
    <row r="327" spans="1:7" s="2601" customFormat="1" ht="14.25" customHeight="1">
      <c r="A327" s="2617" t="s">
        <v>305</v>
      </c>
      <c r="B327" s="2608" t="s">
        <v>3062</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3063</v>
      </c>
      <c r="C329" s="3407">
        <v>2730</v>
      </c>
      <c r="D329" s="3407">
        <v>2690</v>
      </c>
      <c r="E329" s="3407">
        <v>3100</v>
      </c>
      <c r="F329" s="3407">
        <v>660</v>
      </c>
      <c r="G329" s="3407">
        <v>1610</v>
      </c>
    </row>
    <row r="330" spans="1:7" s="2601" customFormat="1" ht="14.25" customHeight="1">
      <c r="A330" s="2612" t="s">
        <v>305</v>
      </c>
      <c r="B330" s="2612" t="s">
        <v>3064</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2797</v>
      </c>
      <c r="C332" s="3407">
        <v>3520</v>
      </c>
      <c r="D332" s="3407">
        <v>3480</v>
      </c>
      <c r="E332" s="3407">
        <v>3830</v>
      </c>
      <c r="F332" s="3407">
        <v>720</v>
      </c>
      <c r="G332" s="3407">
        <v>2090</v>
      </c>
    </row>
    <row r="333" spans="1:7" s="2601" customFormat="1" ht="14.25" customHeight="1">
      <c r="A333" s="2612" t="s">
        <v>305</v>
      </c>
      <c r="B333" s="2612" t="s">
        <v>3065</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2807</v>
      </c>
      <c r="C336" s="3407">
        <v>3570</v>
      </c>
      <c r="D336" s="3407">
        <v>3530</v>
      </c>
      <c r="E336" s="3407">
        <v>3880</v>
      </c>
      <c r="F336" s="3407">
        <v>770</v>
      </c>
      <c r="G336" s="3407">
        <v>2110</v>
      </c>
    </row>
    <row r="337" spans="1:10" s="2601" customFormat="1" ht="14.25" customHeight="1">
      <c r="A337" s="2612" t="s">
        <v>305</v>
      </c>
      <c r="B337" s="2612" t="s">
        <v>3066</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3067</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3068</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2832</v>
      </c>
      <c r="C345" s="3407">
        <v>3190</v>
      </c>
      <c r="D345" s="3407">
        <v>3140</v>
      </c>
      <c r="E345" s="3407">
        <v>3450</v>
      </c>
      <c r="F345" s="3407">
        <v>720</v>
      </c>
      <c r="G345" s="3407">
        <v>1880</v>
      </c>
      <c r="J345" s="2601"/>
    </row>
    <row r="346" spans="1:10">
      <c r="A346" s="2612" t="s">
        <v>305</v>
      </c>
      <c r="B346" s="2612" t="s">
        <v>3069</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2841</v>
      </c>
      <c r="C348" s="3407">
        <v>4000</v>
      </c>
      <c r="D348" s="3407">
        <v>3950</v>
      </c>
      <c r="E348" s="3407">
        <v>4430</v>
      </c>
      <c r="F348" s="3407">
        <v>760</v>
      </c>
      <c r="G348" s="3407">
        <v>2360</v>
      </c>
      <c r="J348" s="2601"/>
    </row>
    <row r="349" spans="1:10">
      <c r="A349" s="2612" t="s">
        <v>305</v>
      </c>
      <c r="B349" s="2612" t="s">
        <v>2846</v>
      </c>
      <c r="C349" s="3407">
        <v>3820</v>
      </c>
      <c r="D349" s="3407">
        <v>3780</v>
      </c>
      <c r="E349" s="3407">
        <v>4170</v>
      </c>
      <c r="F349" s="3407">
        <v>710</v>
      </c>
      <c r="G349" s="3407">
        <v>2260</v>
      </c>
      <c r="J349" s="2601"/>
    </row>
    <row r="350" spans="1:10">
      <c r="A350" s="2612" t="s">
        <v>305</v>
      </c>
      <c r="B350" s="2612" t="s">
        <v>3070</v>
      </c>
      <c r="C350" s="3407">
        <v>3760</v>
      </c>
      <c r="D350" s="3407">
        <v>3730</v>
      </c>
      <c r="E350" s="3407">
        <v>4100</v>
      </c>
      <c r="F350" s="3407">
        <v>800</v>
      </c>
      <c r="G350" s="3407">
        <v>2230</v>
      </c>
      <c r="J350" s="2601"/>
    </row>
    <row r="351" spans="1:10">
      <c r="A351" s="2612" t="s">
        <v>305</v>
      </c>
      <c r="B351" s="2612" t="s">
        <v>2854</v>
      </c>
      <c r="C351" s="3407">
        <v>3610</v>
      </c>
      <c r="D351" s="3407">
        <v>3580</v>
      </c>
      <c r="E351" s="3407">
        <v>3930</v>
      </c>
      <c r="F351" s="3407">
        <v>700</v>
      </c>
      <c r="G351" s="3407">
        <v>2140</v>
      </c>
      <c r="J351" s="2601"/>
    </row>
    <row r="352" spans="1:10">
      <c r="A352" s="2612" t="s">
        <v>305</v>
      </c>
      <c r="B352" s="2612" t="s">
        <v>2859</v>
      </c>
      <c r="C352" s="3407">
        <v>3670</v>
      </c>
      <c r="D352" s="3407">
        <v>3630</v>
      </c>
      <c r="E352" s="3407">
        <v>4000</v>
      </c>
      <c r="F352" s="3407">
        <v>750</v>
      </c>
      <c r="G352" s="3407">
        <v>2180</v>
      </c>
    </row>
    <row r="353" spans="1:7" s="2605" customFormat="1">
      <c r="A353" s="2612" t="s">
        <v>305</v>
      </c>
      <c r="B353" s="2612" t="s">
        <v>3071</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2879</v>
      </c>
      <c r="C355" s="3407">
        <v>3650</v>
      </c>
      <c r="D355" s="3407">
        <v>3610</v>
      </c>
      <c r="E355" s="3407">
        <v>4200</v>
      </c>
      <c r="F355" s="3407">
        <v>640</v>
      </c>
      <c r="G355" s="3407">
        <v>2160</v>
      </c>
    </row>
    <row r="356" spans="1:7" s="2605" customFormat="1">
      <c r="A356" s="2612" t="s">
        <v>305</v>
      </c>
      <c r="B356" s="2612" t="s">
        <v>2886</v>
      </c>
      <c r="C356" s="3407">
        <v>3260</v>
      </c>
      <c r="D356" s="3407">
        <v>3230</v>
      </c>
      <c r="E356" s="3407">
        <v>3740</v>
      </c>
      <c r="F356" s="3407">
        <v>600</v>
      </c>
      <c r="G356" s="3407">
        <v>1930</v>
      </c>
    </row>
    <row r="357" spans="1:7" s="2605" customFormat="1" ht="12" thickBot="1">
      <c r="A357" s="2620" t="s">
        <v>305</v>
      </c>
      <c r="B357" s="2623" t="s">
        <v>3072</v>
      </c>
      <c r="C357" s="3409">
        <v>3690</v>
      </c>
      <c r="D357" s="3409">
        <v>3650</v>
      </c>
      <c r="E357" s="3409">
        <v>4020</v>
      </c>
      <c r="F357" s="3409">
        <v>700</v>
      </c>
      <c r="G357" s="3409">
        <v>2190</v>
      </c>
    </row>
    <row r="358" spans="1:7" s="2605" customFormat="1">
      <c r="A358" s="2617" t="s">
        <v>3073</v>
      </c>
      <c r="B358" s="2608" t="s">
        <v>3074</v>
      </c>
      <c r="C358" s="3406">
        <v>2080</v>
      </c>
      <c r="D358" s="3406">
        <v>2040</v>
      </c>
      <c r="E358" s="3406">
        <v>2010</v>
      </c>
      <c r="F358" s="3406">
        <v>530</v>
      </c>
      <c r="G358" s="3410">
        <v>1230</v>
      </c>
    </row>
    <row r="359" spans="1:7" s="2605" customFormat="1">
      <c r="A359" s="2612" t="s">
        <v>3073</v>
      </c>
      <c r="B359" s="2612" t="s">
        <v>3075</v>
      </c>
      <c r="C359" s="3407">
        <v>1850</v>
      </c>
      <c r="D359" s="3407">
        <v>1820</v>
      </c>
      <c r="E359" s="3407">
        <v>1780</v>
      </c>
      <c r="F359" s="3407">
        <v>520</v>
      </c>
      <c r="G359" s="3411">
        <v>1100</v>
      </c>
    </row>
    <row r="360" spans="1:7" s="2605" customFormat="1">
      <c r="A360" s="2612" t="s">
        <v>3073</v>
      </c>
      <c r="B360" s="2612" t="s">
        <v>3076</v>
      </c>
      <c r="C360" s="3407">
        <v>2020</v>
      </c>
      <c r="D360" s="3407">
        <v>1990</v>
      </c>
      <c r="E360" s="3407">
        <v>1950</v>
      </c>
      <c r="F360" s="3407">
        <v>500</v>
      </c>
      <c r="G360" s="3411">
        <v>1200</v>
      </c>
    </row>
    <row r="361" spans="1:7" s="2605" customFormat="1">
      <c r="A361" s="2612" t="s">
        <v>3073</v>
      </c>
      <c r="B361" s="2612" t="s">
        <v>151</v>
      </c>
      <c r="C361" s="3407">
        <v>2260</v>
      </c>
      <c r="D361" s="3407">
        <v>2220</v>
      </c>
      <c r="E361" s="3407">
        <v>2180</v>
      </c>
      <c r="F361" s="3407">
        <v>580</v>
      </c>
      <c r="G361" s="3411">
        <v>1340</v>
      </c>
    </row>
    <row r="362" spans="1:7" s="2605" customFormat="1">
      <c r="A362" s="2612" t="s">
        <v>3073</v>
      </c>
      <c r="B362" s="2612" t="s">
        <v>3077</v>
      </c>
      <c r="C362" s="3407">
        <v>2650</v>
      </c>
      <c r="D362" s="3407">
        <v>2610</v>
      </c>
      <c r="E362" s="3407">
        <v>2570</v>
      </c>
      <c r="F362" s="3407">
        <v>630</v>
      </c>
      <c r="G362" s="3411">
        <v>1570</v>
      </c>
    </row>
    <row r="363" spans="1:7" s="2605" customFormat="1">
      <c r="A363" s="2612" t="s">
        <v>3073</v>
      </c>
      <c r="B363" s="2612" t="s">
        <v>2798</v>
      </c>
      <c r="C363" s="3407">
        <v>2390</v>
      </c>
      <c r="D363" s="3407">
        <v>2360</v>
      </c>
      <c r="E363" s="3407">
        <v>2320</v>
      </c>
      <c r="F363" s="3407">
        <v>600</v>
      </c>
      <c r="G363" s="3411">
        <v>1420</v>
      </c>
    </row>
    <row r="364" spans="1:7" s="2605" customFormat="1">
      <c r="A364" s="2612" t="s">
        <v>3073</v>
      </c>
      <c r="B364" s="2612" t="s">
        <v>3078</v>
      </c>
      <c r="C364" s="3407">
        <v>2050</v>
      </c>
      <c r="D364" s="3407">
        <v>2030</v>
      </c>
      <c r="E364" s="3407">
        <v>1990</v>
      </c>
      <c r="F364" s="3407">
        <v>550</v>
      </c>
      <c r="G364" s="3411">
        <v>1220</v>
      </c>
    </row>
    <row r="365" spans="1:7" s="2605" customFormat="1">
      <c r="A365" s="2612" t="s">
        <v>3073</v>
      </c>
      <c r="B365" s="2612" t="s">
        <v>198</v>
      </c>
      <c r="C365" s="3407">
        <v>2140</v>
      </c>
      <c r="D365" s="3407">
        <v>2100</v>
      </c>
      <c r="E365" s="3407">
        <v>2060</v>
      </c>
      <c r="F365" s="3407">
        <v>540</v>
      </c>
      <c r="G365" s="3411">
        <v>1270</v>
      </c>
    </row>
    <row r="366" spans="1:7" s="2605" customFormat="1">
      <c r="A366" s="2612" t="s">
        <v>3073</v>
      </c>
      <c r="B366" s="2612" t="s">
        <v>2805</v>
      </c>
      <c r="C366" s="3407">
        <v>2410</v>
      </c>
      <c r="D366" s="3407">
        <v>2370</v>
      </c>
      <c r="E366" s="3407">
        <v>2330</v>
      </c>
      <c r="F366" s="3407">
        <v>570</v>
      </c>
      <c r="G366" s="3411">
        <v>1440</v>
      </c>
    </row>
    <row r="367" spans="1:7" s="2605" customFormat="1">
      <c r="A367" s="2612" t="s">
        <v>3073</v>
      </c>
      <c r="B367" s="2612" t="s">
        <v>3079</v>
      </c>
      <c r="C367" s="3407">
        <v>2300</v>
      </c>
      <c r="D367" s="3407">
        <v>2260</v>
      </c>
      <c r="E367" s="3407">
        <v>2220</v>
      </c>
      <c r="F367" s="3407">
        <v>560</v>
      </c>
      <c r="G367" s="3411">
        <v>1370</v>
      </c>
    </row>
    <row r="368" spans="1:7" s="2605" customFormat="1">
      <c r="A368" s="2612" t="s">
        <v>3073</v>
      </c>
      <c r="B368" s="2612" t="s">
        <v>3080</v>
      </c>
      <c r="C368" s="3407">
        <v>2430</v>
      </c>
      <c r="D368" s="3407">
        <v>2390</v>
      </c>
      <c r="E368" s="3407">
        <v>2350</v>
      </c>
      <c r="F368" s="3407">
        <v>570</v>
      </c>
      <c r="G368" s="3411">
        <v>1450</v>
      </c>
    </row>
    <row r="369" spans="1:7" s="2605" customFormat="1">
      <c r="A369" s="2612" t="s">
        <v>3073</v>
      </c>
      <c r="B369" s="2612" t="s">
        <v>212</v>
      </c>
      <c r="C369" s="3407">
        <v>2320</v>
      </c>
      <c r="D369" s="3407">
        <v>2290</v>
      </c>
      <c r="E369" s="3407">
        <v>2250</v>
      </c>
      <c r="F369" s="3407">
        <v>550</v>
      </c>
      <c r="G369" s="3411">
        <v>1380</v>
      </c>
    </row>
    <row r="370" spans="1:7" s="2605" customFormat="1">
      <c r="A370" s="2612" t="s">
        <v>3073</v>
      </c>
      <c r="B370" s="2612" t="s">
        <v>219</v>
      </c>
      <c r="C370" s="3407">
        <v>2190</v>
      </c>
      <c r="D370" s="3407">
        <v>2170</v>
      </c>
      <c r="E370" s="3407">
        <v>2130</v>
      </c>
      <c r="F370" s="3407">
        <v>530</v>
      </c>
      <c r="G370" s="3411">
        <v>1310</v>
      </c>
    </row>
    <row r="371" spans="1:7" s="2605" customFormat="1">
      <c r="A371" s="2612" t="s">
        <v>3073</v>
      </c>
      <c r="B371" s="2612" t="s">
        <v>227</v>
      </c>
      <c r="C371" s="3407">
        <v>2460</v>
      </c>
      <c r="D371" s="3407">
        <v>2420</v>
      </c>
      <c r="E371" s="3407">
        <v>2370</v>
      </c>
      <c r="F371" s="3407">
        <v>560</v>
      </c>
      <c r="G371" s="3411">
        <v>1470</v>
      </c>
    </row>
    <row r="372" spans="1:7" s="2605" customFormat="1">
      <c r="A372" s="2612" t="s">
        <v>3073</v>
      </c>
      <c r="B372" s="2612" t="s">
        <v>3081</v>
      </c>
      <c r="C372" s="3407">
        <v>2250</v>
      </c>
      <c r="D372" s="3407">
        <v>2210</v>
      </c>
      <c r="E372" s="3407">
        <v>2180</v>
      </c>
      <c r="F372" s="3407">
        <v>550</v>
      </c>
      <c r="G372" s="3411">
        <v>1340</v>
      </c>
    </row>
    <row r="373" spans="1:7" s="2605" customFormat="1">
      <c r="A373" s="2612" t="s">
        <v>3073</v>
      </c>
      <c r="B373" s="2612" t="s">
        <v>256</v>
      </c>
      <c r="C373" s="3407">
        <v>2210</v>
      </c>
      <c r="D373" s="3407">
        <v>2190</v>
      </c>
      <c r="E373" s="3407">
        <v>2150</v>
      </c>
      <c r="F373" s="3407">
        <v>530</v>
      </c>
      <c r="G373" s="3411">
        <v>1320</v>
      </c>
    </row>
    <row r="374" spans="1:7" s="2605" customFormat="1">
      <c r="A374" s="2612" t="s">
        <v>3073</v>
      </c>
      <c r="B374" s="2612" t="s">
        <v>264</v>
      </c>
      <c r="C374" s="3407">
        <v>2320</v>
      </c>
      <c r="D374" s="3407">
        <v>2280</v>
      </c>
      <c r="E374" s="3407">
        <v>2230</v>
      </c>
      <c r="F374" s="3407">
        <v>580</v>
      </c>
      <c r="G374" s="3411">
        <v>1380</v>
      </c>
    </row>
    <row r="375" spans="1:7" s="2605" customFormat="1">
      <c r="A375" s="2612" t="s">
        <v>3073</v>
      </c>
      <c r="B375" s="2612" t="s">
        <v>3082</v>
      </c>
      <c r="C375" s="3407">
        <v>2090</v>
      </c>
      <c r="D375" s="3407">
        <v>2050</v>
      </c>
      <c r="E375" s="3407">
        <v>2020</v>
      </c>
      <c r="F375" s="3407">
        <v>520</v>
      </c>
      <c r="G375" s="3411">
        <v>1240</v>
      </c>
    </row>
    <row r="376" spans="1:7" s="2605" customFormat="1">
      <c r="A376" s="2612" t="s">
        <v>3073</v>
      </c>
      <c r="B376" s="2612" t="s">
        <v>275</v>
      </c>
      <c r="C376" s="3407">
        <v>2010</v>
      </c>
      <c r="D376" s="3407">
        <v>1980</v>
      </c>
      <c r="E376" s="3407">
        <v>1940</v>
      </c>
      <c r="F376" s="3407">
        <v>540</v>
      </c>
      <c r="G376" s="3411">
        <v>1190</v>
      </c>
    </row>
    <row r="377" spans="1:7" s="2605" customFormat="1" ht="12" thickBot="1">
      <c r="A377" s="2620" t="s">
        <v>3073</v>
      </c>
      <c r="B377" s="2623" t="s">
        <v>2835</v>
      </c>
      <c r="C377" s="3409">
        <v>1930</v>
      </c>
      <c r="D377" s="3409">
        <v>1890</v>
      </c>
      <c r="E377" s="3409">
        <v>1860</v>
      </c>
      <c r="F377" s="3409">
        <v>530</v>
      </c>
      <c r="G377" s="3413">
        <v>1150</v>
      </c>
    </row>
    <row r="378" spans="1:7" s="2605" customFormat="1">
      <c r="A378" s="2625" t="s">
        <v>3083</v>
      </c>
      <c r="B378" s="2608" t="s">
        <v>3084</v>
      </c>
      <c r="C378" s="3406">
        <v>1520</v>
      </c>
      <c r="D378" s="3406">
        <v>1490</v>
      </c>
      <c r="E378" s="3406">
        <v>1460</v>
      </c>
      <c r="F378" s="3406">
        <v>460</v>
      </c>
      <c r="G378" s="3410">
        <v>940</v>
      </c>
    </row>
    <row r="379" spans="1:7" s="2605" customFormat="1">
      <c r="A379" s="2626" t="s">
        <v>3083</v>
      </c>
      <c r="B379" s="2612" t="s">
        <v>3085</v>
      </c>
      <c r="C379" s="3407">
        <v>1500</v>
      </c>
      <c r="D379" s="3407">
        <v>1470</v>
      </c>
      <c r="E379" s="3407">
        <v>1430</v>
      </c>
      <c r="F379" s="3407">
        <v>460</v>
      </c>
      <c r="G379" s="3411">
        <v>920</v>
      </c>
    </row>
    <row r="380" spans="1:7" s="2605" customFormat="1">
      <c r="A380" s="2626" t="s">
        <v>3083</v>
      </c>
      <c r="B380" s="2612" t="s">
        <v>3086</v>
      </c>
      <c r="C380" s="3407">
        <v>1620</v>
      </c>
      <c r="D380" s="3407">
        <v>1590</v>
      </c>
      <c r="E380" s="3407">
        <v>1560</v>
      </c>
      <c r="F380" s="3407">
        <v>480</v>
      </c>
      <c r="G380" s="3411">
        <v>1000</v>
      </c>
    </row>
    <row r="381" spans="1:7" s="2605" customFormat="1">
      <c r="A381" s="2626" t="s">
        <v>3083</v>
      </c>
      <c r="B381" s="2612" t="s">
        <v>3087</v>
      </c>
      <c r="C381" s="3407">
        <v>1460</v>
      </c>
      <c r="D381" s="3407">
        <v>1430</v>
      </c>
      <c r="E381" s="3407">
        <v>1390</v>
      </c>
      <c r="F381" s="3407">
        <v>450</v>
      </c>
      <c r="G381" s="3411">
        <v>900</v>
      </c>
    </row>
    <row r="382" spans="1:7" s="2605" customFormat="1">
      <c r="A382" s="2626" t="s">
        <v>3083</v>
      </c>
      <c r="B382" s="2612" t="s">
        <v>3088</v>
      </c>
      <c r="C382" s="3407">
        <v>1310</v>
      </c>
      <c r="D382" s="3407">
        <v>1280</v>
      </c>
      <c r="E382" s="3407">
        <v>1250</v>
      </c>
      <c r="F382" s="3407">
        <v>440</v>
      </c>
      <c r="G382" s="3411">
        <v>800</v>
      </c>
    </row>
    <row r="383" spans="1:7" s="2605" customFormat="1">
      <c r="A383" s="2626" t="s">
        <v>3083</v>
      </c>
      <c r="B383" s="2612" t="s">
        <v>3089</v>
      </c>
      <c r="C383" s="3407">
        <v>1260</v>
      </c>
      <c r="D383" s="3407">
        <v>1230</v>
      </c>
      <c r="E383" s="3407">
        <v>1200</v>
      </c>
      <c r="F383" s="3407">
        <v>420</v>
      </c>
      <c r="G383" s="3411">
        <v>770</v>
      </c>
    </row>
    <row r="384" spans="1:7" s="2605" customFormat="1" ht="12" thickBot="1">
      <c r="A384" s="2627" t="s">
        <v>3083</v>
      </c>
      <c r="B384" s="2619" t="s">
        <v>3090</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2224</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86" t="str">
        <f>IF(项目基本情况!B9="房地产市场价值","估价结果一览表","结果表-2")</f>
        <v>结果表-2</v>
      </c>
      <c r="B1" s="4486"/>
      <c r="C1" s="4486"/>
      <c r="D1" s="4486"/>
      <c r="E1" s="4486"/>
      <c r="F1" s="4486"/>
      <c r="G1" s="4486"/>
      <c r="H1" s="4486"/>
      <c r="I1" s="4486"/>
    </row>
    <row r="2" spans="1:9" ht="30" customHeight="1" thickTop="1">
      <c r="A2" s="4487" t="s">
        <v>915</v>
      </c>
      <c r="B2" s="4487" t="s">
        <v>916</v>
      </c>
      <c r="C2" s="4487" t="s">
        <v>917</v>
      </c>
      <c r="D2" s="4487" t="str">
        <f>结果表!D116</f>
        <v>出让国有建设用地使用权价值</v>
      </c>
      <c r="E2" s="4487"/>
      <c r="F2" s="4487">
        <f>结果表!F116</f>
        <v>0</v>
      </c>
      <c r="G2" s="4487"/>
      <c r="H2" s="4487" t="str">
        <f>IF(项目基本情况!B9="房地产市场价值","房地产市场价值","房地产价值")</f>
        <v>房地产价值</v>
      </c>
      <c r="I2" s="4487"/>
    </row>
    <row r="3" spans="1:9" ht="15">
      <c r="A3" s="4488"/>
      <c r="B3" s="4488"/>
      <c r="C3" s="4488"/>
      <c r="D3" s="607" t="s">
        <v>912</v>
      </c>
      <c r="E3" s="607" t="s">
        <v>918</v>
      </c>
      <c r="F3" s="607" t="s">
        <v>912</v>
      </c>
      <c r="G3" s="607" t="s">
        <v>913</v>
      </c>
      <c r="H3" s="607" t="s">
        <v>912</v>
      </c>
      <c r="I3" s="607" t="s">
        <v>913</v>
      </c>
    </row>
    <row r="4" spans="1:9" ht="15">
      <c r="A4" s="1150" t="str">
        <f>项目基本情况!S2</f>
        <v>北京市房地产</v>
      </c>
      <c r="B4" s="607">
        <f>项目基本情况!C17</f>
        <v>11046.05</v>
      </c>
      <c r="C4" s="607">
        <f>项目基本情况!C18</f>
        <v>15789.4</v>
      </c>
      <c r="D4" s="607">
        <f ca="1">结果表!D118</f>
        <v>2387</v>
      </c>
      <c r="E4" s="607">
        <f ca="1">结果表!E118</f>
        <v>2161</v>
      </c>
      <c r="F4" s="607">
        <f ca="1">结果表!F118</f>
        <v>3138</v>
      </c>
      <c r="G4" s="607">
        <f ca="1">结果表!G118</f>
        <v>2841</v>
      </c>
      <c r="H4" s="607">
        <f ca="1">结果表!H118</f>
        <v>5525</v>
      </c>
      <c r="I4" s="607">
        <f ca="1">结果表!I118</f>
        <v>5002</v>
      </c>
    </row>
    <row r="5" spans="1:9" ht="30" customHeight="1">
      <c r="A5" s="4488" t="s">
        <v>914</v>
      </c>
      <c r="B5" s="4488"/>
      <c r="C5" s="4488"/>
      <c r="D5" s="4488" t="str">
        <f ca="1">结果表!D119</f>
        <v>贰仟叁佰捌拾柒万元整</v>
      </c>
      <c r="E5" s="4488"/>
      <c r="F5" s="4488" t="str">
        <f ca="1">结果表!F119</f>
        <v>叁仟壹佰叁拾捌万元整</v>
      </c>
      <c r="G5" s="4488"/>
      <c r="H5" s="4488" t="str">
        <f ca="1">结果表!H119</f>
        <v>伍仟伍佰贰拾伍万元整</v>
      </c>
      <c r="I5" s="4488"/>
    </row>
    <row r="6" spans="1:9" ht="15.75">
      <c r="A6" s="4489" t="str">
        <f>结果表!A120</f>
        <v>估价师知悉的法定优先受偿款</v>
      </c>
      <c r="B6" s="4489"/>
      <c r="C6" s="4489"/>
      <c r="D6" s="4489">
        <f>结果表!D120</f>
        <v>0</v>
      </c>
      <c r="E6" s="4489"/>
      <c r="F6" s="4489"/>
      <c r="G6" s="4489"/>
      <c r="H6" s="4489"/>
      <c r="I6" s="4489"/>
    </row>
    <row r="7" spans="1:9" ht="15">
      <c r="A7" s="4488" t="s">
        <v>914</v>
      </c>
      <c r="B7" s="4488"/>
      <c r="C7" s="4488"/>
      <c r="D7" s="4490" t="str">
        <f>结果表!D121</f>
        <v>零元整</v>
      </c>
      <c r="E7" s="4491"/>
      <c r="F7" s="4491"/>
      <c r="G7" s="4491"/>
      <c r="H7" s="4491"/>
      <c r="I7" s="4492"/>
    </row>
    <row r="8" spans="1:9" ht="15.75">
      <c r="A8" s="4489" t="str">
        <f>结果表!A122</f>
        <v>房地产抵押价值</v>
      </c>
      <c r="B8" s="4489"/>
      <c r="C8" s="4489"/>
      <c r="D8" s="4489">
        <f ca="1">结果表!D122</f>
        <v>5525</v>
      </c>
      <c r="E8" s="4489"/>
      <c r="F8" s="4489"/>
      <c r="G8" s="4489"/>
      <c r="H8" s="4489"/>
      <c r="I8" s="4489"/>
    </row>
    <row r="9" spans="1:9" ht="15">
      <c r="A9" s="4488" t="s">
        <v>914</v>
      </c>
      <c r="B9" s="4488"/>
      <c r="C9" s="4488"/>
      <c r="D9" s="4488" t="str">
        <f ca="1">结果表!D123</f>
        <v>伍仟伍佰贰拾伍万元整</v>
      </c>
      <c r="E9" s="4488"/>
      <c r="F9" s="4488"/>
      <c r="G9" s="4488"/>
      <c r="H9" s="4488"/>
      <c r="I9" s="4488"/>
    </row>
    <row r="10" spans="1:9" ht="15.75">
      <c r="A10" s="4489" t="str">
        <f>结果表!A124</f>
        <v/>
      </c>
      <c r="B10" s="4489"/>
      <c r="C10" s="4489"/>
      <c r="D10" s="4489" t="str">
        <f>结果表!D124</f>
        <v>——</v>
      </c>
      <c r="E10" s="4489"/>
      <c r="F10" s="4489"/>
      <c r="G10" s="4489"/>
      <c r="H10" s="4489"/>
      <c r="I10" s="4489"/>
    </row>
    <row r="11" spans="1:9" ht="15">
      <c r="A11" s="4488" t="s">
        <v>914</v>
      </c>
      <c r="B11" s="4488"/>
      <c r="C11" s="4488"/>
      <c r="D11" s="4488" t="e">
        <f>结果表!D125</f>
        <v>#VALUE!</v>
      </c>
      <c r="E11" s="4488"/>
      <c r="F11" s="4488"/>
      <c r="G11" s="4488"/>
      <c r="H11" s="4488"/>
      <c r="I11" s="4488"/>
    </row>
    <row r="12" spans="1:9" ht="15.75">
      <c r="A12" s="4489" t="str">
        <f>结果表!A126</f>
        <v/>
      </c>
      <c r="B12" s="4489"/>
      <c r="C12" s="4489"/>
      <c r="D12" s="4489" t="str">
        <f>结果表!D126</f>
        <v>——</v>
      </c>
      <c r="E12" s="4489"/>
      <c r="F12" s="4489"/>
      <c r="G12" s="4489"/>
      <c r="H12" s="4489"/>
      <c r="I12" s="4489"/>
    </row>
    <row r="13" spans="1:9" ht="15.75" thickBot="1">
      <c r="A13" s="4493" t="s">
        <v>914</v>
      </c>
      <c r="B13" s="4493"/>
      <c r="C13" s="4493"/>
      <c r="D13" s="4493" t="e">
        <f>结果表!D127</f>
        <v>#VALUE!</v>
      </c>
      <c r="E13" s="4493"/>
      <c r="F13" s="4493"/>
      <c r="G13" s="4493"/>
      <c r="H13" s="4493"/>
      <c r="I13" s="4493"/>
    </row>
    <row r="14" spans="1:9" ht="15" thickTop="1">
      <c r="A14" s="4494" t="s">
        <v>919</v>
      </c>
      <c r="B14" s="4494"/>
      <c r="C14" s="4494"/>
      <c r="D14" s="4494"/>
      <c r="E14" s="4494"/>
      <c r="F14" s="4494"/>
      <c r="G14" s="4494"/>
      <c r="H14" s="4494"/>
      <c r="I14" s="4494"/>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495" t="s">
        <v>936</v>
      </c>
      <c r="B1" s="4495"/>
      <c r="C1" s="4495"/>
      <c r="D1" s="4495"/>
    </row>
    <row r="2" spans="1:4" ht="18">
      <c r="A2" s="4496" t="s">
        <v>920</v>
      </c>
      <c r="B2" s="4496"/>
      <c r="C2" s="4496"/>
      <c r="D2" s="4496"/>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496" t="s">
        <v>926</v>
      </c>
      <c r="B6" s="4496"/>
      <c r="C6" s="4496"/>
      <c r="D6" s="4496"/>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497" t="s">
        <v>929</v>
      </c>
      <c r="B11" s="4498"/>
      <c r="C11" s="4498"/>
      <c r="D11" s="4498"/>
    </row>
    <row r="12" spans="1:4" ht="15.75">
      <c r="A12" s="4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99"/>
      <c r="C12" s="4499"/>
      <c r="D12" s="4499"/>
    </row>
    <row r="13" spans="1:4" ht="30" customHeight="1">
      <c r="A13" s="4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99"/>
      <c r="C13" s="4499"/>
      <c r="D13" s="4499"/>
    </row>
    <row r="14" spans="1:4" ht="15.75" customHeight="1">
      <c r="A14" s="4498" t="str">
        <f>IF(项目基本情况!B8="抵押","4.本次评估估价师所知悉的法定优先受偿款情况说明如下：","——")</f>
        <v>4.本次评估估价师所知悉的法定优先受偿款情况说明如下：</v>
      </c>
      <c r="B14" s="4499"/>
      <c r="C14" s="4499"/>
      <c r="D14" s="4499"/>
    </row>
    <row r="15" spans="1:4" ht="42" customHeight="1">
      <c r="A15" s="4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8"/>
      <c r="C15" s="4498"/>
      <c r="D15" s="4498"/>
    </row>
    <row r="16" spans="1:4" ht="30" customHeight="1">
      <c r="A16" s="4501" t="s">
        <v>930</v>
      </c>
      <c r="B16" s="4501"/>
      <c r="C16" s="4501"/>
      <c r="D16" s="4501"/>
    </row>
    <row r="17" spans="1:4" ht="144" customHeight="1">
      <c r="A17" s="4501" t="s">
        <v>931</v>
      </c>
      <c r="B17" s="4501"/>
      <c r="C17" s="4501"/>
      <c r="D17" s="4501"/>
    </row>
    <row r="18" spans="1:4" ht="15.75" customHeight="1">
      <c r="A18" s="4498" t="str">
        <f>IF(项目基本情况!B8="抵押",结果表!K120,"——")</f>
        <v>故，本次评估不存在估价师知悉的法定优先受偿款</v>
      </c>
      <c r="B18" s="4498"/>
      <c r="C18" s="4498"/>
      <c r="D18" s="4498"/>
    </row>
    <row r="19" spans="1:4" ht="46.5" customHeight="1">
      <c r="A19" s="4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8"/>
      <c r="C19" s="4498"/>
      <c r="D19" s="4498"/>
    </row>
    <row r="20" spans="1:4" ht="57.75" customHeight="1">
      <c r="A20" s="4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8"/>
      <c r="C20" s="4498"/>
      <c r="D20" s="4498"/>
    </row>
    <row r="21" spans="1:4" ht="57.75" customHeight="1">
      <c r="A21" s="4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2"/>
      <c r="C21" s="4502"/>
      <c r="D21" s="4502"/>
    </row>
    <row r="22" spans="1:4" ht="18.75" customHeight="1">
      <c r="A22" s="4503" t="s">
        <v>932</v>
      </c>
      <c r="B22" s="4503"/>
      <c r="C22" s="4503"/>
      <c r="D22" s="4503"/>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0">
        <v>42551</v>
      </c>
      <c r="D31" s="450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09" t="s">
        <v>943</v>
      </c>
      <c r="B15" s="4504" t="s">
        <v>107</v>
      </c>
      <c r="C15" s="4505"/>
    </row>
    <row r="16" spans="1:7" ht="13.5">
      <c r="A16" s="4510"/>
      <c r="B16" s="4504" t="s">
        <v>40</v>
      </c>
      <c r="C16" s="4505"/>
    </row>
    <row r="17" spans="1:3" ht="13.5">
      <c r="A17" s="4510"/>
      <c r="B17" s="4507" t="s">
        <v>944</v>
      </c>
      <c r="C17" s="1177" t="s">
        <v>943</v>
      </c>
    </row>
    <row r="18" spans="1:3" ht="13.5">
      <c r="A18" s="4510"/>
      <c r="B18" s="4507"/>
      <c r="C18" s="1177" t="s">
        <v>945</v>
      </c>
    </row>
    <row r="19" spans="1:3" ht="13.5">
      <c r="A19" s="4510"/>
      <c r="B19" s="4507"/>
      <c r="C19" s="1177" t="s">
        <v>946</v>
      </c>
    </row>
    <row r="20" spans="1:3" ht="13.5">
      <c r="A20" s="4511"/>
      <c r="B20" s="4506" t="s">
        <v>947</v>
      </c>
      <c r="C20" s="4505"/>
    </row>
    <row r="21" spans="1:3" ht="13.5">
      <c r="A21" s="1178" t="s">
        <v>948</v>
      </c>
      <c r="B21" s="1179"/>
      <c r="C21" s="1180"/>
    </row>
    <row r="22" spans="1:3" ht="13.5">
      <c r="A22" s="4508" t="s">
        <v>949</v>
      </c>
      <c r="B22" s="4506" t="s">
        <v>950</v>
      </c>
      <c r="C22" s="4505"/>
    </row>
    <row r="23" spans="1:3" ht="13.5">
      <c r="A23" s="4508"/>
      <c r="B23" s="4506" t="s">
        <v>951</v>
      </c>
      <c r="C23" s="4505"/>
    </row>
    <row r="24" spans="1:3" ht="13.5">
      <c r="A24" s="4508"/>
      <c r="B24" s="4506" t="s">
        <v>952</v>
      </c>
      <c r="C24" s="4505"/>
    </row>
    <row r="25" spans="1:3" ht="13.5">
      <c r="A25" s="4508"/>
      <c r="B25" s="4507" t="s">
        <v>953</v>
      </c>
      <c r="C25" s="1177" t="s">
        <v>954</v>
      </c>
    </row>
    <row r="26" spans="1:3" ht="13.5">
      <c r="A26" s="4508"/>
      <c r="B26" s="4507"/>
      <c r="C26" s="1177" t="s">
        <v>955</v>
      </c>
    </row>
    <row r="27" spans="1:3" ht="13.5">
      <c r="A27" s="4508"/>
      <c r="B27" s="4507"/>
      <c r="C27" s="1177" t="s">
        <v>956</v>
      </c>
    </row>
    <row r="28" spans="1:3" ht="13.5">
      <c r="A28" s="4508"/>
      <c r="B28" s="4507"/>
      <c r="C28" s="1177" t="s">
        <v>957</v>
      </c>
    </row>
    <row r="29" spans="1:3" ht="13.5">
      <c r="A29" s="4508"/>
      <c r="B29" s="4507"/>
      <c r="C29" s="1177" t="s">
        <v>958</v>
      </c>
    </row>
    <row r="30" spans="1:3" ht="13.5">
      <c r="A30" s="4508"/>
      <c r="B30" s="4507"/>
      <c r="C30" s="1177" t="s">
        <v>959</v>
      </c>
    </row>
    <row r="31" spans="1:3" ht="13.5">
      <c r="A31" s="4508"/>
      <c r="B31" s="4507"/>
      <c r="C31" s="1177" t="s">
        <v>960</v>
      </c>
    </row>
    <row r="32" spans="1:3" ht="13.5">
      <c r="A32" s="4508"/>
      <c r="B32" s="4507"/>
      <c r="C32" s="1177" t="s">
        <v>961</v>
      </c>
    </row>
    <row r="33" spans="1:3" ht="13.5">
      <c r="A33" s="4508"/>
      <c r="B33" s="4507"/>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2055</v>
      </c>
      <c r="B2" s="1880">
        <f ca="1">TODAY()</f>
        <v>46041</v>
      </c>
      <c r="C2" s="1881" t="s">
        <v>2056</v>
      </c>
      <c r="D2" s="1881"/>
      <c r="E2" s="1881"/>
      <c r="F2" s="1877"/>
      <c r="G2" s="1877"/>
      <c r="H2" s="1877"/>
    </row>
    <row r="3" spans="1:8" ht="24" customHeight="1">
      <c r="A3" s="1882" t="s">
        <v>2057</v>
      </c>
      <c r="B3" s="1883" t="s">
        <v>2058</v>
      </c>
      <c r="C3" s="1883" t="s">
        <v>2059</v>
      </c>
      <c r="D3" s="1884" t="s">
        <v>2060</v>
      </c>
      <c r="E3" s="1885" t="s">
        <v>2061</v>
      </c>
      <c r="F3" s="966" t="s">
        <v>2062</v>
      </c>
      <c r="G3" s="1883" t="s">
        <v>2059</v>
      </c>
      <c r="H3" s="1884" t="s">
        <v>2063</v>
      </c>
    </row>
    <row r="4" spans="1:8" ht="24" customHeight="1">
      <c r="A4" s="966" t="s">
        <v>2064</v>
      </c>
      <c r="B4" s="3987" t="str">
        <f ca="1">IF(C4&lt;B2,"已过期",1119970066)</f>
        <v>已过期</v>
      </c>
      <c r="C4" s="1886">
        <v>45937</v>
      </c>
      <c r="D4" s="1887" t="str">
        <f ca="1">A4&amp;"（注册号："&amp;B4&amp;"）"</f>
        <v>梁津（注册号：已过期）</v>
      </c>
      <c r="E4" s="1888" t="s">
        <v>2064</v>
      </c>
      <c r="F4" s="3987">
        <f ca="1">IF(G4&lt;B2,"已过期",96010014)</f>
        <v>96010014</v>
      </c>
      <c r="G4" s="1889">
        <v>47118</v>
      </c>
      <c r="H4" s="1890" t="str">
        <f ca="1">E4&amp;"（注册号："&amp;F4&amp;"）"</f>
        <v>梁津（注册号：96010014）</v>
      </c>
    </row>
    <row r="5" spans="1:8" ht="24" customHeight="1">
      <c r="A5" s="966" t="s">
        <v>2065</v>
      </c>
      <c r="B5" s="3987" t="str">
        <f ca="1">IF(C5&lt;B2,"已过期",1119970111)</f>
        <v>已过期</v>
      </c>
      <c r="C5" s="1886">
        <v>45937</v>
      </c>
      <c r="D5" s="1887" t="str">
        <f t="shared" ref="D5:D15" ca="1" si="0">A5&amp;"（注册号："&amp;B5&amp;"）"</f>
        <v>叶凌（注册号：已过期）</v>
      </c>
      <c r="E5" s="1888" t="s">
        <v>2065</v>
      </c>
      <c r="F5" s="3987">
        <f ca="1">IF(G5&lt;B2,"已过期",94010078)</f>
        <v>94010078</v>
      </c>
      <c r="G5" s="1889">
        <v>46387</v>
      </c>
      <c r="H5" s="1890" t="str">
        <f t="shared" ref="H5:H16" ca="1" si="1">E5&amp;"（注册号："&amp;F5&amp;"）"</f>
        <v>叶凌（注册号：94010078）</v>
      </c>
    </row>
    <row r="6" spans="1:8" ht="24" customHeight="1">
      <c r="A6" s="966" t="s">
        <v>2066</v>
      </c>
      <c r="B6" s="3987" t="str">
        <f ca="1">IF(C6&lt;B2,"已过期",1120050019)</f>
        <v>已过期</v>
      </c>
      <c r="C6" s="1886">
        <v>45410</v>
      </c>
      <c r="D6" s="1887" t="str">
        <f t="shared" ca="1" si="0"/>
        <v>王鹏（注册号：已过期）</v>
      </c>
      <c r="E6" s="1888" t="s">
        <v>2066</v>
      </c>
      <c r="F6" s="3987">
        <f ca="1">IF(G6&lt;B2,"已过期",2002110030)</f>
        <v>2002110030</v>
      </c>
      <c r="G6" s="1889">
        <v>46387</v>
      </c>
      <c r="H6" s="1890" t="str">
        <f t="shared" ca="1" si="1"/>
        <v>王鹏（注册号：2002110030）</v>
      </c>
    </row>
    <row r="7" spans="1:8" ht="24" customHeight="1">
      <c r="A7" s="966" t="s">
        <v>2067</v>
      </c>
      <c r="B7" s="3987" t="str">
        <f ca="1">IF(C7&lt;B2,"已过期",1120000080)</f>
        <v>已过期</v>
      </c>
      <c r="C7" s="1886">
        <v>45937</v>
      </c>
      <c r="D7" s="1887" t="str">
        <f t="shared" ca="1" si="0"/>
        <v>欧红伟（注册号：已过期）</v>
      </c>
      <c r="E7" s="1888" t="s">
        <v>2067</v>
      </c>
      <c r="F7" s="3987">
        <f ca="1">IF(G7&lt;B2,"已过期",2000110082)</f>
        <v>2000110082</v>
      </c>
      <c r="G7" s="1889">
        <v>46387</v>
      </c>
      <c r="H7" s="1890" t="str">
        <f t="shared" ca="1" si="1"/>
        <v>欧红伟（注册号：2000110082）</v>
      </c>
    </row>
    <row r="8" spans="1:8" ht="24" customHeight="1">
      <c r="A8" s="966" t="s">
        <v>2068</v>
      </c>
      <c r="B8" s="3987" t="str">
        <f ca="1">IF(C8&lt;B2,"已过期",1419970001)</f>
        <v>已过期</v>
      </c>
      <c r="C8" s="1886">
        <v>45937</v>
      </c>
      <c r="D8" s="1887" t="str">
        <f t="shared" ca="1" si="0"/>
        <v>吴薇（注册号：已过期）</v>
      </c>
      <c r="E8" s="1888" t="s">
        <v>2068</v>
      </c>
      <c r="F8" s="3987">
        <f ca="1">IF(G8&lt;B2,"已过期",2002110125)</f>
        <v>2002110125</v>
      </c>
      <c r="G8" s="1889">
        <v>47118</v>
      </c>
      <c r="H8" s="1890" t="str">
        <f t="shared" ca="1" si="1"/>
        <v>吴薇（注册号：2002110125）</v>
      </c>
    </row>
    <row r="9" spans="1:8" ht="24" customHeight="1">
      <c r="A9" s="966" t="s">
        <v>2069</v>
      </c>
      <c r="B9" s="3987" t="str">
        <f ca="1">IF(C9&lt;B2,"已过期",1120060040)</f>
        <v>已过期</v>
      </c>
      <c r="C9" s="1891">
        <v>45592</v>
      </c>
      <c r="D9" s="1887" t="str">
        <f t="shared" ca="1" si="0"/>
        <v>陈颖（注册号：已过期）</v>
      </c>
      <c r="E9" s="1888" t="s">
        <v>2069</v>
      </c>
      <c r="F9" s="3987">
        <f ca="1">IF(G9&lt;B2,"已过期",2004110096)</f>
        <v>2004110096</v>
      </c>
      <c r="G9" s="1889">
        <v>47118</v>
      </c>
      <c r="H9" s="1890" t="str">
        <f t="shared" ca="1" si="1"/>
        <v>陈颖（注册号：2004110096）</v>
      </c>
    </row>
    <row r="10" spans="1:8" ht="24" customHeight="1">
      <c r="A10" s="966" t="s">
        <v>2070</v>
      </c>
      <c r="B10" s="3987" t="str">
        <f ca="1">IF(C10&lt;B2,"已过期",1120100036)</f>
        <v>已过期</v>
      </c>
      <c r="C10" s="1891">
        <v>45752</v>
      </c>
      <c r="D10" s="1887" t="str">
        <f t="shared" ca="1" si="0"/>
        <v>崔锴（注册号：已过期）</v>
      </c>
      <c r="E10" s="1888" t="s">
        <v>2070</v>
      </c>
      <c r="F10" s="3987">
        <f ca="1">IF(G10&lt;B2,"已过期",2010110070)</f>
        <v>2010110070</v>
      </c>
      <c r="G10" s="1889">
        <v>47907</v>
      </c>
      <c r="H10" s="1890" t="str">
        <f t="shared" ca="1" si="1"/>
        <v>崔锴（注册号：2010110070）</v>
      </c>
    </row>
    <row r="11" spans="1:8" ht="24" customHeight="1">
      <c r="A11" s="966" t="s">
        <v>2071</v>
      </c>
      <c r="B11" s="3987" t="str">
        <f ca="1">IF(C11&lt;B2,"已过期",1120070131)</f>
        <v>已过期</v>
      </c>
      <c r="C11" s="1886">
        <v>45937</v>
      </c>
      <c r="D11" s="1887" t="str">
        <f t="shared" ca="1" si="0"/>
        <v>郑燚（注册号：已过期）</v>
      </c>
      <c r="E11" s="1888" t="s">
        <v>2071</v>
      </c>
      <c r="F11" s="3987">
        <f ca="1">IF(G11&lt;B2,"已过期",2014110011)</f>
        <v>2014110011</v>
      </c>
      <c r="G11" s="1889">
        <v>49302</v>
      </c>
      <c r="H11" s="1890" t="str">
        <f t="shared" ca="1" si="1"/>
        <v>郑燚（注册号：2014110011）</v>
      </c>
    </row>
    <row r="12" spans="1:8" ht="24" customHeight="1">
      <c r="A12" s="966" t="s">
        <v>2072</v>
      </c>
      <c r="B12" s="3987" t="str">
        <f ca="1">IF(C12&lt;B2,"已过期",1120040230)</f>
        <v>已过期</v>
      </c>
      <c r="C12" s="1891">
        <v>45937</v>
      </c>
      <c r="D12" s="1887" t="str">
        <f t="shared" ca="1" si="0"/>
        <v>苏海（注册号：已过期）</v>
      </c>
      <c r="E12" s="1888" t="s">
        <v>2072</v>
      </c>
      <c r="F12" s="3987">
        <f ca="1">IF(G12&lt;B2,"已过期",98030020)</f>
        <v>98030020</v>
      </c>
      <c r="G12" s="1889">
        <v>47118</v>
      </c>
      <c r="H12" s="1890" t="str">
        <f t="shared" ca="1" si="1"/>
        <v>苏海（注册号：98030020）</v>
      </c>
    </row>
    <row r="13" spans="1:8" ht="24" customHeight="1">
      <c r="A13" s="966" t="s">
        <v>2073</v>
      </c>
      <c r="B13" s="3987" t="str">
        <f ca="1">IF(C13&lt;B2,"已过期",1120020033)</f>
        <v>已过期</v>
      </c>
      <c r="C13" s="1886">
        <v>45375</v>
      </c>
      <c r="D13" s="1887" t="str">
        <f t="shared" ca="1" si="0"/>
        <v>刘敬东（注册号：已过期）</v>
      </c>
      <c r="E13" s="1888" t="s">
        <v>2073</v>
      </c>
      <c r="F13" s="3987">
        <f ca="1">IF(G13&lt;B2,"已过期",2000110137)</f>
        <v>2000110137</v>
      </c>
      <c r="G13" s="1889">
        <v>46387</v>
      </c>
      <c r="H13" s="1890" t="str">
        <f t="shared" ca="1" si="1"/>
        <v>刘敬东（注册号：2000110137）</v>
      </c>
    </row>
    <row r="14" spans="1:8" ht="24" customHeight="1">
      <c r="A14" s="966" t="s">
        <v>2074</v>
      </c>
      <c r="B14" s="3987" t="str">
        <f ca="1">IF(C14&lt;B2,"已过期",1119980106)</f>
        <v>已过期</v>
      </c>
      <c r="C14" s="1891">
        <v>44969</v>
      </c>
      <c r="D14" s="1887" t="str">
        <f t="shared" ca="1" si="0"/>
        <v>刘俊财（注册号：已过期）</v>
      </c>
      <c r="E14" s="1888" t="s">
        <v>2074</v>
      </c>
      <c r="F14" s="3987">
        <f ca="1">IF(G14&lt;B2,"已过期",96010063)</f>
        <v>96010063</v>
      </c>
      <c r="G14" s="1889">
        <v>47483</v>
      </c>
      <c r="H14" s="1890" t="str">
        <f t="shared" ca="1" si="1"/>
        <v>刘俊财（注册号：96010063）</v>
      </c>
    </row>
    <row r="15" spans="1:8" ht="24" customHeight="1">
      <c r="A15" s="966" t="s">
        <v>2347</v>
      </c>
      <c r="B15" s="3987">
        <v>1120210056</v>
      </c>
      <c r="C15" s="1891">
        <v>45410</v>
      </c>
      <c r="D15" s="1887" t="str">
        <f t="shared" si="0"/>
        <v>宁小鳗（注册号：1120210056）</v>
      </c>
      <c r="E15" s="1888" t="s">
        <v>2075</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12" t="s">
        <v>2076</v>
      </c>
      <c r="B17" s="4512"/>
      <c r="C17" s="4512"/>
      <c r="D17" s="4512"/>
      <c r="E17" s="4512"/>
      <c r="F17" s="4512"/>
      <c r="G17" s="4512"/>
      <c r="H17" s="4512"/>
    </row>
    <row r="18" spans="1:8" ht="24" customHeight="1">
      <c r="A18" s="4513" t="s">
        <v>2077</v>
      </c>
      <c r="B18" s="4513"/>
      <c r="C18" s="4513"/>
      <c r="D18" s="1884"/>
      <c r="E18" s="4514" t="s">
        <v>2078</v>
      </c>
      <c r="F18" s="4513"/>
      <c r="G18" s="4513"/>
    </row>
    <row r="19" spans="1:8" s="1895" customFormat="1" ht="24" customHeight="1">
      <c r="A19" s="1894" t="s">
        <v>2079</v>
      </c>
      <c r="B19" s="1883" t="s">
        <v>2080</v>
      </c>
      <c r="C19" s="1883" t="s">
        <v>2059</v>
      </c>
      <c r="D19" s="1884"/>
      <c r="E19" s="1888" t="s">
        <v>2079</v>
      </c>
      <c r="F19" s="1883" t="s">
        <v>2080</v>
      </c>
      <c r="G19" s="1883" t="s">
        <v>2059</v>
      </c>
    </row>
    <row r="20" spans="1:8" s="1895" customFormat="1" ht="24" customHeight="1">
      <c r="A20" s="1896" t="s">
        <v>2081</v>
      </c>
      <c r="B20" s="1896" t="s">
        <v>2082</v>
      </c>
      <c r="C20" s="1889">
        <v>45898</v>
      </c>
      <c r="D20" s="1897"/>
      <c r="E20" s="1898" t="s">
        <v>2083</v>
      </c>
      <c r="F20" s="1901" t="s">
        <v>2348</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2026-01-19T06:23:23Z</dcterms:modified>
</cp:coreProperties>
</file>