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3740" windowHeight="12510" tabRatio="899" firstSheet="14"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 r:id="rId49"/>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N6" i="1" l="1"/>
  <c r="N20" i="1"/>
  <c r="A3" i="3" l="1"/>
  <c r="B29" i="1" l="1"/>
  <c r="I13" i="3"/>
  <c r="C11" i="80"/>
  <c r="B11" i="80"/>
  <c r="I2" i="80" l="1"/>
  <c r="I6" i="80" l="1"/>
  <c r="I9" i="80"/>
  <c r="G2" i="80"/>
  <c r="I8" i="80"/>
  <c r="I4" i="80"/>
  <c r="I3" i="80"/>
  <c r="I5" i="80"/>
  <c r="I7" i="80"/>
  <c r="I10" i="80"/>
  <c r="G3" i="80"/>
  <c r="F2" i="80"/>
  <c r="E2" i="80"/>
  <c r="I11" i="80" l="1"/>
  <c r="E3" i="80"/>
  <c r="G4" i="80"/>
  <c r="F3" i="80"/>
  <c r="G5" i="80" l="1"/>
  <c r="F4" i="80"/>
  <c r="E4" i="80"/>
  <c r="G6" i="80" l="1"/>
  <c r="F5" i="80"/>
  <c r="E5" i="80"/>
  <c r="G7" i="80" l="1"/>
  <c r="F6" i="80"/>
  <c r="E6" i="80"/>
  <c r="G8" i="80" l="1"/>
  <c r="F7" i="80"/>
  <c r="E7" i="80"/>
  <c r="G9" i="80" l="1"/>
  <c r="F8" i="80"/>
  <c r="E8" i="80"/>
  <c r="G10" i="80" l="1"/>
  <c r="F9" i="80"/>
  <c r="E9" i="80"/>
  <c r="F10" i="80" l="1"/>
  <c r="E10" i="80"/>
  <c r="F11" i="80" l="1"/>
  <c r="F19" i="6" l="1"/>
  <c r="D33" i="43" s="1"/>
  <c r="N18" i="1"/>
  <c r="Y6" i="1" l="1"/>
  <c r="C37" i="34" s="1"/>
  <c r="G37" i="34" s="1"/>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R74" i="31"/>
  <c r="S74" i="31" s="1"/>
  <c r="R75" i="31"/>
  <c r="S75" i="31" s="1"/>
  <c r="R76" i="31"/>
  <c r="S76" i="31" s="1"/>
  <c r="R77" i="31"/>
  <c r="S77" i="31" s="1"/>
  <c r="R78" i="31"/>
  <c r="S78" i="31" s="1"/>
  <c r="R79" i="3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R504" i="31"/>
  <c r="S504" i="31" s="1"/>
  <c r="R505" i="31"/>
  <c r="S505" i="31" s="1"/>
  <c r="R506" i="31"/>
  <c r="S506" i="31" s="1"/>
  <c r="R507" i="31"/>
  <c r="S507" i="31" s="1"/>
  <c r="R508" i="31"/>
  <c r="S508" i="31" s="1"/>
  <c r="R509" i="3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G15" i="3" s="1"/>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4" i="31"/>
  <c r="S368" i="31"/>
  <c r="S360" i="31"/>
  <c r="S356" i="31"/>
  <c r="S352" i="31"/>
  <c r="S348" i="31"/>
  <c r="S344" i="31"/>
  <c r="S340" i="31"/>
  <c r="S336" i="31"/>
  <c r="S332" i="31"/>
  <c r="S328" i="31"/>
  <c r="S324" i="31"/>
  <c r="S320" i="31"/>
  <c r="S316" i="31"/>
  <c r="S312" i="31"/>
  <c r="S308" i="31"/>
  <c r="S304" i="31"/>
  <c r="S300" i="31"/>
  <c r="S296" i="31"/>
  <c r="S286" i="31"/>
  <c r="S282" i="31"/>
  <c r="S278" i="31"/>
  <c r="S274" i="31"/>
  <c r="S266" i="31"/>
  <c r="S258" i="31"/>
  <c r="S253" i="31"/>
  <c r="S219" i="31"/>
  <c r="S155" i="31"/>
  <c r="S491" i="31"/>
  <c r="S475" i="31"/>
  <c r="S435" i="31"/>
  <c r="S502" i="31"/>
  <c r="S466" i="31"/>
  <c r="S462" i="31"/>
  <c r="S458" i="31"/>
  <c r="S454" i="31"/>
  <c r="S450" i="31"/>
  <c r="S73" i="31"/>
  <c r="S79" i="31"/>
  <c r="S448" i="31"/>
  <c r="S50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40" i="33"/>
  <c r="J41" i="33"/>
  <c r="D113" i="33"/>
  <c r="F37" i="33"/>
  <c r="D111" i="33"/>
  <c r="E111" i="33"/>
  <c r="F111" i="33"/>
  <c r="S519"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F114" i="34" s="1"/>
  <c r="G114" i="34" s="1"/>
  <c r="H114" i="34" s="1"/>
  <c r="I114" i="34" s="1"/>
  <c r="J114" i="34" s="1"/>
  <c r="K114" i="34" s="1"/>
  <c r="L114" i="34" s="1"/>
  <c r="M114" i="34" s="1"/>
  <c r="H36" i="34"/>
  <c r="U36" i="34" s="1"/>
  <c r="F28" i="34"/>
  <c r="AA28" i="34"/>
  <c r="F25" i="34"/>
  <c r="S25" i="34" s="1"/>
  <c r="H23" i="34"/>
  <c r="U23" i="34" s="1"/>
  <c r="J23" i="34"/>
  <c r="AC23" i="34" s="1"/>
  <c r="F19" i="34"/>
  <c r="H17" i="34"/>
  <c r="U17" i="34" s="1"/>
  <c r="F15" i="34"/>
  <c r="J15" i="34"/>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H38" i="34"/>
  <c r="AB38" i="34" s="1"/>
  <c r="J36" i="34"/>
  <c r="W36" i="34" s="1"/>
  <c r="H25" i="34"/>
  <c r="AB25" i="34" s="1"/>
  <c r="J25" i="34"/>
  <c r="AC25" i="34" s="1"/>
  <c r="AB23" i="34"/>
  <c r="F23" i="34"/>
  <c r="AA23" i="34" s="1"/>
  <c r="J19" i="34"/>
  <c r="AC19" i="34"/>
  <c r="F17" i="34"/>
  <c r="AA17" i="34" s="1"/>
  <c r="J17" i="34"/>
  <c r="W17" i="34" s="1"/>
  <c r="AA15" i="34"/>
  <c r="S15" i="34"/>
  <c r="S41" i="33"/>
  <c r="F113" i="33"/>
  <c r="G113" i="33"/>
  <c r="H113" i="33"/>
  <c r="I113" i="33"/>
  <c r="J113" i="33"/>
  <c r="K113" i="33"/>
  <c r="L113" i="33"/>
  <c r="M113" i="33"/>
  <c r="H37" i="33"/>
  <c r="AB37" i="33"/>
  <c r="H15" i="33"/>
  <c r="AB15" i="33"/>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3" i="34"/>
  <c r="W41" i="34"/>
  <c r="AC42" i="34"/>
  <c r="U39" i="34"/>
  <c r="S43" i="34"/>
  <c r="AB41" i="34"/>
  <c r="AA45" i="34"/>
  <c r="AA25" i="34"/>
  <c r="U28" i="34"/>
  <c r="S17" i="34"/>
  <c r="AA29" i="34"/>
  <c r="S23"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s="1"/>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AB36" i="34"/>
  <c r="AC14" i="34"/>
  <c r="AC32" i="34"/>
  <c r="AC29" i="34"/>
  <c r="W29" i="34"/>
  <c r="W46" i="34"/>
  <c r="AC46" i="34"/>
  <c r="S32" i="34"/>
  <c r="AA32" i="34"/>
  <c r="U30" i="34"/>
  <c r="AB30" i="34"/>
  <c r="AA19" i="34"/>
  <c r="S19" i="34"/>
  <c r="AA36" i="34"/>
  <c r="S36" i="34"/>
  <c r="AA8" i="34"/>
  <c r="S8" i="34"/>
  <c r="S46" i="34"/>
  <c r="AA46" i="34"/>
  <c r="U32" i="34"/>
  <c r="AB32" i="34"/>
  <c r="U14" i="34"/>
  <c r="AB14" i="34"/>
  <c r="AC43"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76" i="67"/>
  <c r="F6" i="67"/>
  <c r="D3" i="73"/>
  <c r="B11" i="76"/>
  <c r="M29" i="15"/>
  <c r="L48" i="67"/>
  <c r="F42" i="15"/>
  <c r="B12" i="76"/>
  <c r="F5" i="73"/>
  <c r="B9" i="76"/>
  <c r="M6" i="15"/>
  <c r="E2" i="69"/>
  <c r="F38" i="15"/>
  <c r="M26" i="67"/>
  <c r="F16" i="15"/>
  <c r="M6" i="67"/>
  <c r="M22" i="15"/>
  <c r="F7" i="73"/>
  <c r="M23" i="15"/>
  <c r="E10" i="76"/>
  <c r="F13" i="15"/>
  <c r="E13" i="76"/>
  <c r="B13" i="76"/>
  <c r="F8" i="67"/>
  <c r="D6" i="73"/>
  <c r="F42" i="67"/>
  <c r="F40" i="15"/>
  <c r="D4" i="73"/>
  <c r="D5" i="73"/>
  <c r="AO13" i="1"/>
  <c r="F36" i="15"/>
  <c r="F7" i="15"/>
  <c r="F26" i="15"/>
  <c r="B7" i="76"/>
  <c r="F3" i="73"/>
  <c r="F40" i="67"/>
  <c r="F16" i="67"/>
  <c r="M9" i="67"/>
  <c r="E2" i="68"/>
  <c r="M24" i="67"/>
  <c r="F37" i="67"/>
  <c r="B8" i="76"/>
  <c r="L48" i="15"/>
  <c r="C76" i="15"/>
  <c r="M22" i="67"/>
  <c r="M8" i="67"/>
  <c r="E11" i="76"/>
  <c r="M24" i="15"/>
  <c r="D7" i="73"/>
  <c r="L47" i="15"/>
  <c r="E12" i="76"/>
  <c r="M8" i="15"/>
  <c r="F13" i="67"/>
  <c r="E8" i="76"/>
  <c r="F6" i="15"/>
  <c r="F8" i="15"/>
  <c r="E7" i="76"/>
  <c r="J15" i="67"/>
  <c r="F9" i="15"/>
  <c r="M28" i="67"/>
  <c r="F20" i="31"/>
  <c r="J15" i="15"/>
  <c r="F9" i="67"/>
  <c r="M26" i="15"/>
  <c r="F43" i="15"/>
  <c r="F36" i="67"/>
  <c r="L47" i="67"/>
  <c r="F38" i="67"/>
  <c r="M23" i="67"/>
  <c r="F6" i="73"/>
  <c r="E9" i="76"/>
  <c r="F4" i="73"/>
  <c r="F26" i="67"/>
  <c r="M28" i="15"/>
  <c r="B10" i="76"/>
  <c r="F37" i="15"/>
  <c r="M9" i="15"/>
  <c r="H69" i="43" l="1"/>
  <c r="H67" i="43"/>
  <c r="C18" i="9"/>
  <c r="D18" i="9" s="1"/>
  <c r="G6" i="1"/>
  <c r="I24" i="43"/>
  <c r="F54" i="9"/>
  <c r="F28" i="15"/>
  <c r="F32" i="15"/>
  <c r="F60" i="15" s="1"/>
  <c r="F32" i="67"/>
  <c r="F60" i="67" s="1"/>
  <c r="F52" i="9"/>
  <c r="F28" i="67"/>
  <c r="C28" i="67" s="1"/>
  <c r="F30" i="68"/>
  <c r="F48" i="68" s="1"/>
  <c r="BA18" i="3"/>
  <c r="AZ18" i="3" s="1"/>
  <c r="BL15" i="3"/>
  <c r="AZ15" i="3" s="1"/>
  <c r="H50" i="43"/>
  <c r="G5" i="3"/>
  <c r="B3" i="3" s="1"/>
  <c r="C34" i="34"/>
  <c r="K6" i="1"/>
  <c r="C8" i="68" s="1"/>
  <c r="C5" i="68" s="1"/>
  <c r="BA5" i="3"/>
  <c r="AP6" i="1"/>
  <c r="BL5" i="3"/>
  <c r="H40" i="34"/>
  <c r="F40" i="34"/>
  <c r="S40" i="34" s="1"/>
  <c r="F118" i="34"/>
  <c r="G118" i="34" s="1"/>
  <c r="J40" i="34"/>
  <c r="J37" i="34"/>
  <c r="AC37" i="34" s="1"/>
  <c r="F112" i="34"/>
  <c r="G112" i="34" s="1"/>
  <c r="H112" i="34" s="1"/>
  <c r="I112" i="34" s="1"/>
  <c r="J112" i="34" s="1"/>
  <c r="K112" i="34" s="1"/>
  <c r="L112" i="34" s="1"/>
  <c r="M112" i="34" s="1"/>
  <c r="F37" i="34"/>
  <c r="H37" i="34"/>
  <c r="U37" i="34" s="1"/>
  <c r="F27" i="34"/>
  <c r="F90" i="34"/>
  <c r="G90" i="34" s="1"/>
  <c r="H90" i="34" s="1"/>
  <c r="I90" i="34" s="1"/>
  <c r="J90" i="34" s="1"/>
  <c r="K90" i="34" s="1"/>
  <c r="L90" i="34" s="1"/>
  <c r="M90" i="34" s="1"/>
  <c r="J27" i="34"/>
  <c r="H27" i="34"/>
  <c r="AB27" i="34" s="1"/>
  <c r="U25" i="34"/>
  <c r="S21" i="34"/>
  <c r="S44" i="34"/>
  <c r="U44" i="34"/>
  <c r="AA40" i="34"/>
  <c r="AA39" i="34"/>
  <c r="U38" i="34"/>
  <c r="AC36" i="34"/>
  <c r="AB35" i="34"/>
  <c r="S35" i="34"/>
  <c r="AB33" i="34"/>
  <c r="U19" i="34"/>
  <c r="AB17" i="34"/>
  <c r="U15" i="34"/>
  <c r="W8" i="34"/>
  <c r="W9" i="34"/>
  <c r="AB9" i="34"/>
  <c r="U9" i="34"/>
  <c r="AA38" i="34"/>
  <c r="W39" i="34"/>
  <c r="W33" i="34"/>
  <c r="U27" i="34"/>
  <c r="W25" i="34"/>
  <c r="AB8" i="34"/>
  <c r="C21" i="68"/>
  <c r="C40" i="69"/>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G28" i="6"/>
  <c r="F29" i="6"/>
  <c r="E29" i="6" s="1"/>
  <c r="K15" i="1" s="1"/>
  <c r="D19" i="53"/>
  <c r="B38" i="72" s="1"/>
  <c r="D21" i="53"/>
  <c r="B39" i="72" s="1"/>
  <c r="D16" i="53"/>
  <c r="B34"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G30" i="6"/>
  <c r="G31" i="6" s="1"/>
  <c r="E28" i="6"/>
  <c r="L19" i="6"/>
  <c r="L27" i="6"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C36" i="69"/>
  <c r="D9" i="68"/>
  <c r="M29" i="67"/>
  <c r="F7" i="67"/>
  <c r="F43" i="67"/>
  <c r="C16" i="15"/>
  <c r="G1" i="73"/>
  <c r="AB37" i="34" l="1"/>
  <c r="AZ5" i="3"/>
  <c r="F30" i="6"/>
  <c r="W37" i="34"/>
  <c r="J26" i="43"/>
  <c r="E26" i="43"/>
  <c r="H26" i="43"/>
  <c r="E539" i="3"/>
  <c r="E148" i="3"/>
  <c r="E199" i="3"/>
  <c r="E575" i="3"/>
  <c r="R6" i="3"/>
  <c r="E442" i="3"/>
  <c r="E541" i="3"/>
  <c r="E449" i="3"/>
  <c r="I3" i="6"/>
  <c r="E554" i="3"/>
  <c r="E435" i="3"/>
  <c r="E417" i="3"/>
  <c r="E56" i="3"/>
  <c r="E95" i="3"/>
  <c r="E132" i="3"/>
  <c r="E258" i="3"/>
  <c r="E292" i="3"/>
  <c r="E349" i="3"/>
  <c r="E544" i="3"/>
  <c r="E59" i="3"/>
  <c r="E484" i="3"/>
  <c r="E467" i="3"/>
  <c r="E524" i="3"/>
  <c r="E265" i="3"/>
  <c r="E176" i="3"/>
  <c r="E20" i="3"/>
  <c r="E364" i="3"/>
  <c r="E289" i="3"/>
  <c r="E123" i="3"/>
  <c r="E36" i="3"/>
  <c r="AQ6" i="3"/>
  <c r="E325" i="3"/>
  <c r="E299" i="3"/>
  <c r="E234" i="3"/>
  <c r="E137" i="3"/>
  <c r="E100" i="3"/>
  <c r="E79" i="3"/>
  <c r="E428" i="3"/>
  <c r="AL6" i="3"/>
  <c r="E243" i="3"/>
  <c r="E198" i="3"/>
  <c r="E26" i="3"/>
  <c r="E494" i="3"/>
  <c r="E360" i="3"/>
  <c r="E469" i="3"/>
  <c r="E534" i="3"/>
  <c r="E197" i="3"/>
  <c r="E77" i="3"/>
  <c r="E156" i="3"/>
  <c r="E568" i="3"/>
  <c r="E238" i="3"/>
  <c r="E181" i="3"/>
  <c r="E434" i="3"/>
  <c r="E545" i="3"/>
  <c r="E128" i="3"/>
  <c r="AK6" i="3"/>
  <c r="E262" i="3"/>
  <c r="E228" i="3"/>
  <c r="E120" i="3"/>
  <c r="E277" i="3"/>
  <c r="E177" i="3"/>
  <c r="E133" i="3"/>
  <c r="E330" i="3"/>
  <c r="K6" i="3"/>
  <c r="H6" i="3" s="1"/>
  <c r="Q6" i="3"/>
  <c r="E560" i="3"/>
  <c r="E437" i="3"/>
  <c r="E472" i="3"/>
  <c r="E481" i="3"/>
  <c r="E406" i="3"/>
  <c r="E424" i="3"/>
  <c r="E465" i="3"/>
  <c r="E344" i="3"/>
  <c r="E587" i="3"/>
  <c r="AE6" i="3"/>
  <c r="E577" i="3"/>
  <c r="E429" i="3"/>
  <c r="E468" i="3"/>
  <c r="E496" i="3"/>
  <c r="E454" i="3"/>
  <c r="E55" i="3"/>
  <c r="E106" i="3"/>
  <c r="E73" i="3"/>
  <c r="E146" i="3"/>
  <c r="E203" i="3"/>
  <c r="E329" i="3"/>
  <c r="E188" i="3"/>
  <c r="E116" i="3"/>
  <c r="E393" i="3"/>
  <c r="E564" i="3"/>
  <c r="E427" i="3"/>
  <c r="E507" i="3"/>
  <c r="E440" i="3"/>
  <c r="E376" i="3"/>
  <c r="J6" i="3"/>
  <c r="E419" i="3"/>
  <c r="E401" i="3"/>
  <c r="E40" i="3"/>
  <c r="E108" i="3"/>
  <c r="E119" i="3"/>
  <c r="E242" i="3"/>
  <c r="E276" i="3"/>
  <c r="E333" i="3"/>
  <c r="L6" i="3"/>
  <c r="E43" i="3"/>
  <c r="E473" i="3"/>
  <c r="E455"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6" i="3"/>
  <c r="E223" i="3"/>
  <c r="E105" i="3"/>
  <c r="E493" i="3"/>
  <c r="E543" i="3"/>
  <c r="E486" i="3"/>
  <c r="E422" i="3"/>
  <c r="E490" i="3"/>
  <c r="AH6" i="3"/>
  <c r="E498" i="3"/>
  <c r="E483" i="3"/>
  <c r="E463" i="3"/>
  <c r="E25" i="3"/>
  <c r="E178" i="3"/>
  <c r="E202" i="3"/>
  <c r="E226" i="3"/>
  <c r="E346" i="3"/>
  <c r="E372" i="3"/>
  <c r="E60" i="3"/>
  <c r="E540" i="3"/>
  <c r="E47" i="3"/>
  <c r="E98" i="3"/>
  <c r="E65" i="3"/>
  <c r="E138" i="3"/>
  <c r="E195" i="3"/>
  <c r="E163" i="3"/>
  <c r="E248" i="3"/>
  <c r="E209" i="3"/>
  <c r="E266" i="3"/>
  <c r="E307" i="3"/>
  <c r="E354" i="3"/>
  <c r="E66" i="3"/>
  <c r="E48" i="3"/>
  <c r="E127" i="3"/>
  <c r="E284" i="3"/>
  <c r="Y6" i="3"/>
  <c r="E19" i="3"/>
  <c r="E179" i="3"/>
  <c r="E323" i="3"/>
  <c r="E82" i="3"/>
  <c r="E386" i="3"/>
  <c r="E87" i="3"/>
  <c r="E250" i="3"/>
  <c r="E154" i="3"/>
  <c r="E373" i="3"/>
  <c r="E584" i="3"/>
  <c r="E24" i="3"/>
  <c r="E341" i="3"/>
  <c r="E51" i="3"/>
  <c r="E222" i="3"/>
  <c r="E205" i="3"/>
  <c r="E140" i="3"/>
  <c r="E173" i="3"/>
  <c r="E525" i="3"/>
  <c r="T6" i="3"/>
  <c r="E456" i="3"/>
  <c r="E512" i="3"/>
  <c r="E451" i="3"/>
  <c r="E556" i="3"/>
  <c r="E13" i="3"/>
  <c r="E452" i="3"/>
  <c r="E420" i="3"/>
  <c r="E104" i="3"/>
  <c r="E115" i="3"/>
  <c r="E139" i="3"/>
  <c r="E281" i="3"/>
  <c r="E332" i="3"/>
  <c r="E356" i="3"/>
  <c r="E42" i="3"/>
  <c r="E75" i="3"/>
  <c r="E48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46" i="3"/>
  <c r="E521" i="3"/>
  <c r="E462" i="3"/>
  <c r="E488"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E510" i="3"/>
  <c r="E15" i="3"/>
  <c r="N370" i="46"/>
  <c r="G26" i="43"/>
  <c r="D26" i="43" s="1"/>
  <c r="C25" i="43" s="1"/>
  <c r="H16" i="1"/>
  <c r="Q16" i="1"/>
  <c r="F27" i="69" s="1"/>
  <c r="F45" i="69" s="1"/>
  <c r="M6" i="1"/>
  <c r="O6" i="1" s="1"/>
  <c r="C6" i="67"/>
  <c r="C32" i="67" s="1"/>
  <c r="F31" i="67"/>
  <c r="F50" i="67"/>
  <c r="C49" i="67" s="1"/>
  <c r="M7" i="67"/>
  <c r="J6" i="67" s="1"/>
  <c r="J18" i="67" s="1"/>
  <c r="F71" i="67"/>
  <c r="J34" i="34"/>
  <c r="F34" i="34"/>
  <c r="H34" i="34"/>
  <c r="K16" i="1"/>
  <c r="W40" i="34"/>
  <c r="AC40" i="34"/>
  <c r="U40" i="34"/>
  <c r="AB40" i="34"/>
  <c r="AA37" i="34"/>
  <c r="S37" i="34"/>
  <c r="W27" i="34"/>
  <c r="AC27" i="34"/>
  <c r="AA27" i="34"/>
  <c r="S27" i="34"/>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C16" i="67"/>
  <c r="AE6" i="1"/>
  <c r="AC6" i="3" l="1"/>
  <c r="E6" i="3" s="1"/>
  <c r="F59" i="67"/>
  <c r="F27" i="11"/>
  <c r="C29" i="11" s="1"/>
  <c r="D27" i="11" s="1"/>
  <c r="F28" i="12"/>
  <c r="C29" i="12" s="1"/>
  <c r="D28" i="12" s="1"/>
  <c r="J5" i="67"/>
  <c r="J24" i="67" s="1"/>
  <c r="M17" i="67"/>
  <c r="E65" i="39"/>
  <c r="AB34" i="34"/>
  <c r="T49" i="34" s="1"/>
  <c r="G49" i="34" s="1"/>
  <c r="G53" i="34" s="1"/>
  <c r="H53" i="34" s="1"/>
  <c r="U34" i="34"/>
  <c r="AC34" i="34"/>
  <c r="W34" i="34"/>
  <c r="AA34" i="34"/>
  <c r="S34" i="34"/>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F41" i="67"/>
  <c r="C47" i="11" l="1"/>
  <c r="D45" i="11" s="1"/>
  <c r="D116" i="43"/>
  <c r="B1" i="74"/>
  <c r="F69" i="67"/>
  <c r="R50" i="34"/>
  <c r="C49"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C25" i="11" l="1"/>
  <c r="D30" i="6"/>
  <c r="H24" i="6"/>
  <c r="H22" i="6"/>
  <c r="C50" i="34"/>
  <c r="H25" i="6"/>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Q69" i="67" l="1"/>
  <c r="Q68" i="67" s="1"/>
  <c r="H39" i="6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L51" i="15"/>
  <c r="D2" i="36"/>
  <c r="D2" i="37"/>
  <c r="D2" i="34"/>
  <c r="D19" i="9"/>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10" i="1"/>
  <c r="AO8" i="1"/>
  <c r="AO9" i="1"/>
  <c r="AO7" i="1"/>
  <c r="AO12" i="1"/>
  <c r="D20" i="9"/>
  <c r="AO6" i="1"/>
  <c r="AO11" i="1"/>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C20" i="9"/>
  <c r="D35"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R32" i="31" l="1"/>
  <c r="S32" i="31" s="1"/>
  <c r="H10" i="80" s="1"/>
  <c r="D10" i="80" s="1"/>
  <c r="R31" i="31"/>
  <c r="S31" i="31" s="1"/>
  <c r="H9" i="80" s="1"/>
  <c r="D9" i="80" s="1"/>
  <c r="S24" i="31"/>
  <c r="H2" i="80" s="1"/>
  <c r="R30" i="31"/>
  <c r="S30" i="31" s="1"/>
  <c r="H8" i="80" s="1"/>
  <c r="D8" i="80" s="1"/>
  <c r="R26" i="31"/>
  <c r="S26" i="31" s="1"/>
  <c r="H4" i="80" s="1"/>
  <c r="D4" i="80" s="1"/>
  <c r="R27" i="31"/>
  <c r="S27" i="31" s="1"/>
  <c r="H5" i="80" s="1"/>
  <c r="D5" i="80" s="1"/>
  <c r="R28" i="31"/>
  <c r="S28" i="31" s="1"/>
  <c r="H6" i="80" s="1"/>
  <c r="D6" i="80" s="1"/>
  <c r="R29" i="31"/>
  <c r="S29" i="31" s="1"/>
  <c r="H7" i="80" s="1"/>
  <c r="D7" i="80" s="1"/>
  <c r="R25" i="31"/>
  <c r="S25" i="31" s="1"/>
  <c r="H3" i="80" s="1"/>
  <c r="D3" i="80" s="1"/>
  <c r="B58" i="40"/>
  <c r="F58" i="40" s="1"/>
  <c r="B54" i="40"/>
  <c r="F54" i="40" s="1"/>
  <c r="B53" i="40"/>
  <c r="F53" i="40" s="1"/>
  <c r="B59" i="40"/>
  <c r="F59" i="40" s="1"/>
  <c r="B52" i="40"/>
  <c r="F52" i="40" s="1"/>
  <c r="B56" i="40"/>
  <c r="F56" i="40" s="1"/>
  <c r="B60" i="40"/>
  <c r="F60" i="40" s="1"/>
  <c r="B57" i="40"/>
  <c r="F57" i="40" s="1"/>
  <c r="B51" i="40"/>
  <c r="F51" i="40" s="1"/>
  <c r="F61" i="40"/>
  <c r="B2" i="40" s="1"/>
  <c r="B3" i="40" s="1"/>
  <c r="D2" i="80" l="1"/>
  <c r="D11" i="80" s="1"/>
  <c r="H11" i="80"/>
  <c r="S22" i="31"/>
  <c r="D14" i="74" s="1"/>
  <c r="G14" i="74" s="1"/>
  <c r="I118" i="9"/>
  <c r="H118" i="9" s="1"/>
  <c r="R22" i="31" l="1"/>
  <c r="B20" i="31"/>
  <c r="B21" i="31" s="1"/>
  <c r="E14" i="74"/>
  <c r="B5" i="74"/>
  <c r="D5" i="74" s="1"/>
  <c r="F14" i="74"/>
  <c r="H101" i="9"/>
  <c r="C104" i="9"/>
  <c r="H119" i="9"/>
  <c r="H5" i="52" s="1"/>
  <c r="H4" i="52"/>
  <c r="C105" i="9"/>
  <c r="H102" i="9"/>
  <c r="I4" i="52"/>
  <c r="D45" i="9" l="1"/>
  <c r="D5" i="53"/>
  <c r="M48" i="9"/>
  <c r="H107" i="9"/>
  <c r="B6" i="74" s="1"/>
  <c r="D6" i="74" s="1"/>
  <c r="C5" i="74"/>
  <c r="D7" i="53"/>
  <c r="B21" i="72" s="1"/>
  <c r="H108" i="9" l="1"/>
  <c r="D13" i="53"/>
  <c r="D122" i="9"/>
  <c r="M49" i="9"/>
  <c r="B20" i="72"/>
  <c r="D6" i="53"/>
  <c r="B22" i="72" s="1"/>
  <c r="D52" i="9"/>
  <c r="C93" i="9"/>
  <c r="C86" i="9" s="1"/>
  <c r="C72" i="9"/>
  <c r="D53" i="9"/>
  <c r="C78" i="9"/>
  <c r="C73" i="9" s="1"/>
  <c r="C64" i="9"/>
  <c r="C63" i="9" s="1"/>
  <c r="C67" i="9" s="1"/>
  <c r="D55" i="9"/>
  <c r="M53" i="9" s="1"/>
  <c r="C85" i="9"/>
  <c r="C95" i="9" l="1"/>
  <c r="C96" i="9" s="1"/>
  <c r="E96" i="9" s="1"/>
  <c r="E97" i="9" s="1"/>
  <c r="L66" i="9"/>
  <c r="M66" i="9" s="1"/>
  <c r="L65" i="9"/>
  <c r="M65" i="9" s="1"/>
  <c r="L67" i="9"/>
  <c r="M67" i="9" s="1"/>
  <c r="L68" i="9"/>
  <c r="M68" i="9" s="1"/>
  <c r="L63" i="9"/>
  <c r="M63" i="9" s="1"/>
  <c r="L64" i="9"/>
  <c r="M64" i="9" s="1"/>
  <c r="B30" i="72"/>
  <c r="D14" i="53"/>
  <c r="B32" i="72" s="1"/>
  <c r="D59" i="9"/>
  <c r="M55" i="9" s="1"/>
  <c r="C68" i="9"/>
  <c r="D54" i="9" s="1"/>
  <c r="C79" i="9"/>
  <c r="C80" i="9" s="1"/>
  <c r="E80" i="9" s="1"/>
  <c r="E81" i="9" s="1"/>
  <c r="D8" i="52"/>
  <c r="D123" i="9"/>
  <c r="D9" i="52" s="1"/>
  <c r="D15" i="53"/>
  <c r="B31" i="72" s="1"/>
  <c r="C6" i="74"/>
  <c r="C97" i="9" l="1"/>
  <c r="D58" i="9" s="1"/>
  <c r="D56" i="9" s="1"/>
  <c r="M54" i="9" s="1"/>
  <c r="N57" i="9" s="1"/>
  <c r="P57" i="9" s="1"/>
  <c r="C81" i="9"/>
  <c r="M69" i="9"/>
  <c r="N69" i="9" s="1"/>
  <c r="N59" i="9" l="1"/>
  <c r="N60" i="9" s="1"/>
  <c r="N58" i="9"/>
  <c r="G118" i="9"/>
  <c r="G4" i="52" s="1"/>
  <c r="B52" i="72" s="1"/>
  <c r="N61" i="9" l="1"/>
  <c r="E118" i="9"/>
  <c r="D118" i="9" s="1"/>
  <c r="D119" i="9" s="1"/>
  <c r="D5" i="52" s="1"/>
  <c r="B49" i="72" s="1"/>
  <c r="F118" i="9"/>
  <c r="F119" i="9" s="1"/>
  <c r="F5" i="52" s="1"/>
  <c r="B53" i="72" s="1"/>
  <c r="D4" i="52" l="1"/>
  <c r="B47" i="72" s="1"/>
  <c r="E4" i="52"/>
  <c r="B48" i="72" s="1"/>
  <c r="F4" i="52"/>
  <c r="B51"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<sst xmlns="http://schemas.openxmlformats.org/spreadsheetml/2006/main" count="7951" uniqueCount="3478">
  <si>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</si>
  <si>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</si>
  <si>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</si>
  <si>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</si>
  <si>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</si>
  <si>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</si>
  <si>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</si>
  <si>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</si>
  <si>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</si>
  <si>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</si>
  <si>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</si>
  <si>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</si>
  <si>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</si>
  <si>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</si>
  <si>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</si>
  <si>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</si>
  <si>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</si>
  <si>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</si>
  <si>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</si>
  <si>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</si>
  <si>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</si>
  <si>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</si>
  <si>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</si>
  <si>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</si>
  <si>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</si>
  <si>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</si>
  <si>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</si>
  <si>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</si>
  <si>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</si>
  <si>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</si>
  <si>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</si>
  <si>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</si>
  <si>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</si>
  <si>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</si>
  <si>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</si>
  <si>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</si>
  <si>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</si>
  <si>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</si>
  <si>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</si>
  <si>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</si>
  <si>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</si>
  <si>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</si>
  <si>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</si>
  <si>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</si>
  <si>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</si>
  <si>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</si>
  <si>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</si>
  <si>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</si>
  <si>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</si>
  <si>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</si>
  <si>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</si>
  <si>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</si>
  <si>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</si>
  <si>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</si>
  <si>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</si>
  <si>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</si>
  <si>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</si>
  <si>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</si>
  <si>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</si>
  <si>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</si>
  <si>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</si>
  <si>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</si>
  <si>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</si>
  <si>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</si>
  <si>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</si>
  <si>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</si>
  <si>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</si>
  <si>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</si>
  <si>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</si>
  <si>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</si>
  <si>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</si>
  <si>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</si>
  <si>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</si>
  <si>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</si>
  <si>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</si>
  <si>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</si>
  <si>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</si>
  <si>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</si>
  <si>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</si>
  <si>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</si>
  <si>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</si>
  <si>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</si>
  <si>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</si>
  <si>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</si>
  <si>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</si>
  <si>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</si>
  <si>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</si>
  <si>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</si>
  <si>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</si>
  <si>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</si>
  <si>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</si>
  <si>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</si>
  <si>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</si>
  <si>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</si>
  <si>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</si>
  <si>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</si>
  <si>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</si>
  <si>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</si>
  <si>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</si>
  <si>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</si>
  <si>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</si>
  <si>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</si>
  <si>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</si>
  <si>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</si>
  <si>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</si>
  <si>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</si>
  <si>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</si>
  <si>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</si>
  <si>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</si>
  <si>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</si>
  <si>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</si>
  <si>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</si>
  <si>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</si>
  <si>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</si>
  <si>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</si>
  <si>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</si>
  <si>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</si>
  <si>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</si>
  <si>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</si>
  <si>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</si>
  <si>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</si>
  <si>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</si>
  <si>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</si>
  <si>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</si>
  <si>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</si>
  <si>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</si>
  <si>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</si>
  <si>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</si>
  <si>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</si>
  <si>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</si>
  <si>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</si>
  <si>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</si>
  <si>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</si>
  <si>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</si>
  <si>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</si>
  <si>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</si>
  <si>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</si>
  <si>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</si>
  <si>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</si>
  <si>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</si>
  <si>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</si>
  <si>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</si>
  <si>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</si>
  <si>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</si>
  <si>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</si>
  <si>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</si>
  <si>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</si>
  <si>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</si>
  <si>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</si>
  <si>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</si>
  <si>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</si>
  <si>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</si>
  <si>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</si>
  <si>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</si>
  <si>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</si>
  <si>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</si>
  <si>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</si>
  <si>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</si>
  <si>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</si>
  <si>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</si>
  <si>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</si>
  <si>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</si>
  <si>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</si>
  <si>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</si>
  <si>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</si>
  <si>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</si>
  <si>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</si>
  <si>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</si>
  <si>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</si>
  <si>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</si>
  <si>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</si>
  <si>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</si>
  <si>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</si>
  <si>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</si>
  <si>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</si>
  <si>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</si>
  <si>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</si>
  <si>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</si>
  <si>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</si>
  <si>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</si>
  <si>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</si>
  <si>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</si>
  <si>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</si>
  <si>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</si>
  <si>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</si>
  <si>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</si>
  <si>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</si>
  <si>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</si>
  <si>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</si>
  <si>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</si>
  <si>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</si>
  <si>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</si>
  <si>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</si>
  <si>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</si>
  <si>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</si>
  <si>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</si>
  <si>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</si>
  <si>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</si>
  <si>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</si>
  <si>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</si>
  <si>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</si>
  <si>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</si>
  <si>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</si>
  <si>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</si>
  <si>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</si>
  <si>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</si>
  <si>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</si>
  <si>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</si>
  <si>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</si>
  <si>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</si>
  <si>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</si>
  <si>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</si>
  <si>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</si>
  <si>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</si>
  <si>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</si>
  <si>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</si>
  <si>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</si>
  <si>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</si>
  <si>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</si>
  <si>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</si>
  <si>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</si>
  <si>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</si>
  <si>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</si>
  <si>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</si>
  <si>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</si>
  <si>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</si>
  <si>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</si>
  <si>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</si>
  <si>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</si>
  <si>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</si>
  <si>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</si>
  <si>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</si>
  <si>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</si>
  <si>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</si>
  <si>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</si>
  <si>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</si>
  <si>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</si>
  <si>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</si>
  <si>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</si>
  <si>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</si>
  <si>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</si>
  <si>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</si>
  <si>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</si>
  <si>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</si>
  <si>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</si>
  <si>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</si>
  <si>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</si>
  <si>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</si>
  <si>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</si>
  <si>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</si>
  <si>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</si>
  <si>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</si>
  <si>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</si>
  <si>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</si>
  <si>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</si>
  <si>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</si>
  <si>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</si>
  <si>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</si>
  <si>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</si>
  <si>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</si>
  <si>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</si>
  <si>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</si>
  <si>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</si>
  <si>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</si>
  <si>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</si>
  <si>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</si>
  <si>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</si>
  <si>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</si>
  <si>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</si>
  <si>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</si>
  <si>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</si>
  <si>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</si>
  <si>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</si>
  <si>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</si>
  <si>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</si>
  <si>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</si>
  <si>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</si>
  <si>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</si>
  <si>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</si>
  <si>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</si>
  <si>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</si>
  <si>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</si>
  <si>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</si>
  <si>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</si>
  <si>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</si>
  <si>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</si>
  <si>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</si>
  <si>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</si>
  <si>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</si>
  <si>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</si>
  <si>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</si>
  <si>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</si>
  <si>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</si>
  <si>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</si>
  <si>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</si>
  <si>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</si>
  <si>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</si>
  <si>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</si>
  <si>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</si>
  <si>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</si>
  <si>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</si>
  <si>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</si>
  <si>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</si>
  <si>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</si>
  <si>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</si>
  <si>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</si>
  <si>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</si>
  <si>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</si>
  <si>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</si>
  <si>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</si>
  <si>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</si>
  <si>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</si>
  <si>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</si>
  <si>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</si>
  <si>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</si>
  <si>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</si>
  <si>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</si>
  <si>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</si>
  <si>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</si>
  <si>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</si>
  <si>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</si>
  <si>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</si>
  <si>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</si>
  <si>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</si>
  <si>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</si>
  <si>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</si>
  <si>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</si>
  <si>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</si>
  <si>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</si>
  <si>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</si>
  <si>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</si>
  <si>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</si>
  <si>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</si>
  <si>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</si>
  <si>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</si>
  <si>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</si>
  <si>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</si>
  <si>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</si>
  <si>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</si>
  <si>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</si>
  <si>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</si>
  <si>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</si>
  <si>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</si>
  <si>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</si>
  <si>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</si>
  <si>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</si>
  <si>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</si>
  <si>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</si>
  <si>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</si>
  <si>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</si>
  <si>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</si>
  <si>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</si>
  <si>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</si>
  <si>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</si>
  <si>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</si>
  <si>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</si>
  <si>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</si>
  <si>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</si>
  <si>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</si>
  <si>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</si>
  <si>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</si>
  <si>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</si>
  <si>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</si>
  <si>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</si>
  <si>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</si>
  <si>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</si>
  <si>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</si>
  <si>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</si>
  <si>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</si>
  <si>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</si>
  <si>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</si>
  <si>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</si>
  <si>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</si>
  <si>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</si>
  <si>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</si>
  <si>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</si>
  <si>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</si>
  <si>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</si>
  <si>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</si>
  <si>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</si>
  <si>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</si>
  <si>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</si>
  <si>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</si>
  <si>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</si>
  <si>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</si>
  <si>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</si>
  <si>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</si>
  <si>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</si>
  <si>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</si>
  <si>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</si>
  <si>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</si>
  <si>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</si>
  <si>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</si>
  <si>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</si>
  <si>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</si>
  <si>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</si>
  <si>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</si>
  <si>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</si>
  <si>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</si>
  <si>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</si>
  <si>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</si>
  <si>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</si>
  <si>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</si>
  <si>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</si>
  <si>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</si>
  <si>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</si>
  <si>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</si>
  <si>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</si>
  <si>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</si>
  <si>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</si>
  <si>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</si>
  <si>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</si>
  <si>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</si>
  <si>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</si>
  <si>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</si>
  <si>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</si>
  <si>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</si>
  <si>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</si>
  <si>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</si>
  <si>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</si>
  <si>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</si>
  <si>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</si>
  <si>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</si>
  <si>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</si>
  <si>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</si>
  <si>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</si>
  <si>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</si>
  <si>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</si>
  <si>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</si>
  <si>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</si>
  <si>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</si>
  <si>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</si>
  <si>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</si>
  <si>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</si>
  <si>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</si>
  <si>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</si>
  <si>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</si>
  <si>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</si>
  <si>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</si>
  <si>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</si>
  <si>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</si>
  <si>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</si>
  <si>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</si>
  <si>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</si>
  <si>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</si>
  <si>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</si>
  <si>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</si>
  <si>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</si>
  <si>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</si>
  <si>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</si>
  <si>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</si>
  <si>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</si>
  <si>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</si>
  <si>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</si>
  <si>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</si>
  <si>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</si>
  <si>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</si>
  <si>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</si>
  <si>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</si>
  <si>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</si>
  <si>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</si>
  <si>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</si>
  <si>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</si>
  <si>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</si>
  <si>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</si>
  <si>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</si>
  <si>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</si>
  <si>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</si>
  <si>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</si>
  <si>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</si>
  <si>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</si>
  <si>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</si>
  <si>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</si>
  <si>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</si>
  <si>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</si>
  <si>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</si>
  <si>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</si>
  <si>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</si>
  <si>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</si>
  <si>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</si>
  <si>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</si>
  <si>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</si>
  <si>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</si>
  <si>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</si>
  <si>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</si>
  <si>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</si>
  <si>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</si>
  <si>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</si>
  <si>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</si>
  <si>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</si>
  <si>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</si>
  <si>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</si>
  <si>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</si>
  <si>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</si>
  <si>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</si>
  <si>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</si>
  <si>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</si>
  <si>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</si>
  <si>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</si>
  <si>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</si>
  <si>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</si>
  <si>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</si>
  <si>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</si>
  <si>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</si>
  <si>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</si>
  <si>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</si>
  <si>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</si>
  <si>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</si>
  <si>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</si>
  <si>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</si>
  <si>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</si>
  <si>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</si>
  <si>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</si>
  <si>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</si>
  <si>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</si>
  <si>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</si>
  <si>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</si>
  <si>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</si>
  <si>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</si>
  <si>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</si>
  <si>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</si>
  <si>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</si>
  <si>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</si>
  <si>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</si>
  <si>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</si>
  <si>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</si>
  <si>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</si>
  <si>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</si>
  <si>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</si>
  <si>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</si>
  <si>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</si>
  <si>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</si>
  <si>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</si>
  <si>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</si>
  <si>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</si>
  <si>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</si>
  <si>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</si>
  <si>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</si>
  <si>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</si>
  <si>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</si>
  <si>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</si>
  <si>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</si>
  <si>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</si>
  <si>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</si>
  <si>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</si>
  <si>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</si>
  <si>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</si>
  <si>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</si>
  <si>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</si>
  <si>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</si>
  <si>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</si>
  <si>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</si>
  <si>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</si>
  <si>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</si>
  <si>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</si>
  <si>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</si>
  <si>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</si>
  <si>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</si>
  <si>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</si>
  <si>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</si>
  <si>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</si>
  <si>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</si>
  <si>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</si>
  <si>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</si>
  <si>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</si>
  <si>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</si>
  <si>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</si>
  <si>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</si>
  <si>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</si>
  <si>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</si>
  <si>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</si>
  <si>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</si>
  <si>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</si>
  <si>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</si>
  <si>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</si>
  <si>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</si>
  <si>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</si>
  <si>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</si>
  <si>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</si>
  <si>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</si>
  <si>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</si>
  <si>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</si>
  <si>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</si>
  <si>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</si>
  <si>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</si>
  <si>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</si>
  <si>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</si>
  <si>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</si>
  <si>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</si>
  <si>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</si>
  <si>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</si>
  <si>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</si>
  <si>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</si>
  <si>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</si>
  <si>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</si>
  <si>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</si>
  <si>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</si>
  <si>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</si>
  <si>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</si>
  <si>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</si>
  <si>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</si>
  <si>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</si>
  <si>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</si>
  <si>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</si>
  <si>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</si>
  <si>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</si>
  <si>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</si>
  <si>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</si>
  <si>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</si>
  <si>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</si>
  <si>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</si>
  <si>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</si>
  <si>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</si>
  <si>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</si>
  <si>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</si>
  <si>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</si>
  <si>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</si>
  <si>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</si>
  <si>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</si>
  <si>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</si>
  <si>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</si>
  <si>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</si>
  <si>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</si>
  <si>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</si>
  <si>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</si>
  <si>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</si>
  <si>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</si>
  <si>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</si>
  <si>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</si>
  <si>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</si>
  <si>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</si>
  <si>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</si>
  <si>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</si>
  <si>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</si>
  <si>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</si>
  <si>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</si>
  <si>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</si>
  <si>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</si>
  <si>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</si>
  <si>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</si>
  <si>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</si>
  <si>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</si>
  <si>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</si>
  <si>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</si>
  <si>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</si>
  <si>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</si>
  <si>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</si>
  <si>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</si>
  <si>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</si>
  <si>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</si>
  <si>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</si>
  <si>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</si>
  <si>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</si>
  <si>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</si>
  <si>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</si>
  <si>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</si>
  <si>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</si>
  <si>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</si>
  <si>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</si>
  <si>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</si>
  <si>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</si>
  <si>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</si>
  <si>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</si>
  <si>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</si>
  <si>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</si>
  <si>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</si>
  <si>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</si>
  <si>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</si>
  <si>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</si>
  <si>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</si>
  <si>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</si>
  <si>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</si>
  <si>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</si>
  <si>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</si>
  <si>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</si>
  <si>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</si>
  <si>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</si>
  <si>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</si>
  <si>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</si>
  <si>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</si>
  <si>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</si>
  <si>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</si>
  <si>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</si>
  <si>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</si>
  <si>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</si>
  <si>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</si>
  <si>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</si>
  <si>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</si>
  <si>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</si>
  <si>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</si>
  <si>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</si>
  <si>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</si>
  <si>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</si>
  <si>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</si>
  <si>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</si>
  <si>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</si>
  <si>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</si>
  <si>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</si>
  <si>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</si>
  <si>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</si>
  <si>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</si>
  <si>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</si>
  <si>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</si>
  <si>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</si>
  <si>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</si>
  <si>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</si>
  <si>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</si>
  <si>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</si>
  <si>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</si>
  <si>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</si>
  <si>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</si>
  <si>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</si>
  <si>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</si>
  <si>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</si>
  <si>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</si>
  <si>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</si>
  <si>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</si>
  <si>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</si>
  <si>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</si>
  <si>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</si>
  <si>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</si>
  <si>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</si>
  <si>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</si>
  <si>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</si>
  <si>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</si>
  <si>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</si>
  <si>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</si>
  <si>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</si>
  <si>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</si>
  <si>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</si>
  <si>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</si>
  <si>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</si>
  <si>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</si>
  <si>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</si>
  <si>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</si>
  <si>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</si>
  <si>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</si>
  <si>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</si>
  <si>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</si>
  <si>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</si>
  <si>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</si>
  <si>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</si>
  <si>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</si>
  <si>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</si>
  <si>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</si>
  <si>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</si>
  <si>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</si>
  <si>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</si>
  <si>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</si>
  <si>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</si>
  <si>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</si>
  <si>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</si>
  <si>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</si>
  <si>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</si>
  <si>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</si>
  <si>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</si>
  <si>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</si>
  <si>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</si>
  <si>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</si>
  <si>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</si>
  <si>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</si>
  <si>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</si>
  <si>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</si>
  <si>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</si>
  <si>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</si>
  <si>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</si>
  <si>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</si>
  <si>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</si>
  <si>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</si>
  <si>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</si>
  <si>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</si>
  <si>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</si>
  <si>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</si>
  <si>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</si>
  <si>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</si>
  <si>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</si>
  <si>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</si>
  <si>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</si>
  <si>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</si>
  <si>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</si>
  <si>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</si>
  <si>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</si>
  <si>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</si>
  <si>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</si>
  <si>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</si>
  <si>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</si>
  <si>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</si>
  <si>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</si>
  <si>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</si>
  <si>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</si>
  <si>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</si>
  <si>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</si>
  <si>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</si>
  <si>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</si>
  <si>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</si>
  <si>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</si>
  <si>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</si>
  <si>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</si>
  <si>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</si>
  <si>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</si>
  <si>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</si>
  <si>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</si>
  <si>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</si>
  <si>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</si>
  <si>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</si>
  <si>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</si>
  <si>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</si>
  <si>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</si>
  <si>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</si>
  <si>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</si>
  <si>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</si>
  <si>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</si>
  <si>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</si>
  <si>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</si>
  <si>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</si>
  <si>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</si>
  <si>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</si>
  <si>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</si>
  <si>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</si>
  <si>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</si>
  <si>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</si>
  <si>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</si>
  <si>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</si>
  <si>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</si>
  <si>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</si>
  <si>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</si>
  <si>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</si>
  <si>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</si>
  <si>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</si>
  <si>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</si>
  <si>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</si>
  <si>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</si>
  <si>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</si>
  <si>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</si>
  <si>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</si>
  <si>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</si>
  <si>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</si>
  <si>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</si>
  <si>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</si>
  <si>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</si>
  <si>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</si>
  <si>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</si>
  <si>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</si>
  <si>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</si>
  <si>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</si>
  <si>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</si>
  <si>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</si>
  <si>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</si>
  <si>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</si>
  <si>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</si>
  <si>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</si>
  <si>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</si>
  <si>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</si>
  <si>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</si>
  <si>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</si>
  <si>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</si>
  <si>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</si>
  <si>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</si>
  <si>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</si>
  <si>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</si>
  <si>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</si>
  <si>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</si>
  <si>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</si>
  <si>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</si>
  <si>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</si>
  <si>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</si>
  <si>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</si>
  <si>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</si>
  <si>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</si>
  <si>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</si>
  <si>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</si>
  <si>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</si>
  <si>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</si>
  <si>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</si>
  <si>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</si>
  <si>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</si>
  <si>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</si>
  <si>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</si>
  <si>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</si>
  <si>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</si>
  <si>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</si>
  <si>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</si>
  <si>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</si>
  <si>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</si>
  <si>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</si>
  <si>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</si>
  <si>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</si>
  <si>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</si>
  <si>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</si>
  <si>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</si>
  <si>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</si>
  <si>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</si>
  <si>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</si>
  <si>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</si>
  <si>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</si>
  <si>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</si>
  <si>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</si>
  <si>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</si>
  <si>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</si>
  <si>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</si>
  <si>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</si>
  <si>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</si>
  <si>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</si>
  <si>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</si>
  <si>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</si>
  <si>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</si>
  <si>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</si>
  <si>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</si>
  <si>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</si>
  <si>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</si>
  <si>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</si>
  <si>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</si>
  <si>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</si>
  <si>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</si>
  <si>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</si>
  <si>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</si>
  <si>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</si>
  <si>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</si>
  <si>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</si>
  <si>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</si>
  <si>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</si>
  <si>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</si>
  <si>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</si>
  <si>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</si>
  <si>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</si>
  <si>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</si>
  <si>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</si>
  <si>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</si>
  <si>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</si>
  <si>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</si>
  <si>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</si>
  <si>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</si>
  <si>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</si>
  <si>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</si>
  <si>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</si>
  <si>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</si>
  <si>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</si>
  <si>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</si>
  <si>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</si>
  <si>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</si>
  <si>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</si>
  <si>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</si>
  <si>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</si>
  <si>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</si>
  <si>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</si>
  <si>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</si>
  <si>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</si>
  <si>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</si>
  <si>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</si>
  <si>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</si>
  <si>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</si>
  <si>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</si>
  <si>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</si>
  <si>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</si>
  <si>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</si>
  <si>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</si>
  <si>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</si>
  <si>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</si>
  <si>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</si>
  <si>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</si>
  <si>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</si>
  <si>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</si>
  <si>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</si>
  <si>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</si>
  <si>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</si>
  <si>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</si>
  <si>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</si>
  <si>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</si>
  <si>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</si>
  <si>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</si>
  <si>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</si>
  <si>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</si>
  <si>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</si>
  <si>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</si>
  <si>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</si>
  <si>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</si>
  <si>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</si>
  <si>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</si>
  <si>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</si>
  <si>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</si>
  <si>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</si>
  <si>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</si>
  <si>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</si>
  <si>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</si>
  <si>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</si>
  <si>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</si>
  <si>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</si>
  <si>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</si>
  <si>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</si>
  <si>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</si>
  <si>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</si>
  <si>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</si>
  <si>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</si>
  <si>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</si>
  <si>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</si>
  <si>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</si>
  <si>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</si>
  <si>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</si>
  <si>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</si>
  <si>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</si>
  <si>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</si>
  <si>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</si>
  <si>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</si>
  <si>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</si>
  <si>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</si>
  <si>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</si>
  <si>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</si>
  <si>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</si>
  <si>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</si>
  <si>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</si>
  <si>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</si>
  <si>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</si>
  <si>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</si>
  <si>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</si>
  <si>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</si>
  <si>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</si>
  <si>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</si>
  <si>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</si>
  <si>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</si>
  <si>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</si>
  <si>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</si>
  <si>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</si>
  <si>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</si>
  <si>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</si>
  <si>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</si>
  <si>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</si>
  <si>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</si>
  <si>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</si>
  <si>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</si>
  <si>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</si>
  <si>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</si>
  <si>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</si>
  <si>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</si>
  <si>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</si>
  <si>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</si>
  <si>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</si>
  <si>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</si>
  <si>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</si>
  <si>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</si>
  <si>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</si>
  <si>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</si>
  <si>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</si>
  <si>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</si>
  <si>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</si>
  <si>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</si>
  <si>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</si>
  <si>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</si>
  <si>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</si>
  <si>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</si>
  <si>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</si>
  <si>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</si>
  <si>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</si>
  <si>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</si>
  <si>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</si>
  <si>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</si>
  <si>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</si>
  <si>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</si>
  <si>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</si>
  <si>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</si>
  <si>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</si>
  <si>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</si>
  <si>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</si>
  <si>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</si>
  <si>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</si>
  <si>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</si>
  <si>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</si>
  <si>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</si>
  <si>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</si>
  <si>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</si>
  <si>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</si>
  <si>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</si>
  <si>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</si>
  <si>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</si>
  <si>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</si>
  <si>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</si>
  <si>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</si>
  <si>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</si>
  <si>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</si>
  <si>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</si>
  <si>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</si>
  <si>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</si>
  <si>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</si>
  <si>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</si>
  <si>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</si>
  <si>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</si>
  <si>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</si>
  <si>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</si>
  <si>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</si>
  <si>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</si>
  <si>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</si>
  <si>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</si>
  <si>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</si>
  <si>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</si>
  <si>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</si>
  <si>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</si>
  <si>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</si>
  <si>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</si>
  <si>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</si>
  <si>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</si>
  <si>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</si>
  <si>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</si>
  <si>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</si>
  <si>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</si>
  <si>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</si>
  <si>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</si>
  <si>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</si>
  <si>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</si>
  <si>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</si>
  <si>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</si>
  <si>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</si>
  <si>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</si>
  <si>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</si>
  <si>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</si>
  <si>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</si>
  <si>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</si>
  <si>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</si>
  <si>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</si>
  <si>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</si>
  <si>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</si>
  <si>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</si>
  <si>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</si>
  <si>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</si>
  <si>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</si>
  <si>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</si>
  <si>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</si>
  <si>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</si>
  <si>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</si>
  <si>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</si>
  <si>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</si>
  <si>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</si>
  <si>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</si>
  <si>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</si>
  <si>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</si>
  <si>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</si>
  <si>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</si>
  <si>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</si>
  <si>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</si>
  <si>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</si>
  <si>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</si>
  <si>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</si>
  <si>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</si>
  <si>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</si>
  <si>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</si>
  <si>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</si>
  <si>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</si>
  <si>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</si>
  <si>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</si>
  <si>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</si>
  <si>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</si>
  <si>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</si>
  <si>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</si>
  <si>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</si>
  <si>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</si>
  <si>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</si>
  <si>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</si>
  <si>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</si>
  <si>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</si>
  <si>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</si>
  <si>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</si>
  <si>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</si>
  <si>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</si>
  <si>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</si>
  <si>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</si>
  <si>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</si>
  <si>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</si>
  <si>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</si>
  <si>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</si>
  <si>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</si>
  <si>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</si>
  <si>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</si>
  <si>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</si>
  <si>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</si>
  <si>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</si>
  <si>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</si>
  <si>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</si>
  <si>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</si>
  <si>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</si>
  <si>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</si>
  <si>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</si>
  <si>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</si>
  <si>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</si>
  <si>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</si>
  <si>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</si>
  <si>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</si>
  <si>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</si>
  <si>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</si>
  <si>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</si>
  <si>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</si>
  <si>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</si>
  <si>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</si>
  <si>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</si>
  <si>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</si>
  <si>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</si>
  <si>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</si>
  <si>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</si>
  <si>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</si>
  <si>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</si>
  <si>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</si>
  <si>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</si>
  <si>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</si>
  <si>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</si>
  <si>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</si>
  <si>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</si>
  <si>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</si>
  <si>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</si>
  <si>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</si>
  <si>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</si>
  <si>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</si>
  <si>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</si>
  <si>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</si>
  <si>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</si>
  <si>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</si>
  <si>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</si>
  <si>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</si>
  <si>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</si>
  <si>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</si>
  <si>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</si>
  <si>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</si>
  <si>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</si>
  <si>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</si>
  <si>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</si>
  <si>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</si>
  <si>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</si>
  <si>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</si>
  <si>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</si>
  <si>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</si>
  <si>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</si>
  <si>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</si>
  <si>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</si>
  <si>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</si>
  <si>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</si>
  <si>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</si>
  <si>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</si>
  <si>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</si>
  <si>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</si>
  <si>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</si>
  <si>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</si>
  <si>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</si>
  <si>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</si>
  <si>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</si>
  <si>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</si>
  <si>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</si>
  <si>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</si>
  <si>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</si>
  <si>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</si>
  <si>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</si>
  <si>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</si>
  <si>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</si>
  <si>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</si>
  <si>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</si>
  <si>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</si>
  <si>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</si>
  <si>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</si>
  <si>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</si>
  <si>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</si>
  <si>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</si>
  <si>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</si>
  <si>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</si>
  <si>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</si>
  <si>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</si>
  <si>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</si>
  <si>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</si>
  <si>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</si>
  <si>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</si>
  <si>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</si>
  <si>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</si>
  <si>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</si>
  <si>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</si>
  <si>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</si>
  <si>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</si>
  <si>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</si>
  <si>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</si>
  <si>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</si>
  <si>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</si>
  <si>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</si>
  <si>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</si>
  <si>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</si>
  <si>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</si>
  <si>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</si>
  <si>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</si>
  <si>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</si>
  <si>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</si>
  <si>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</si>
  <si>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</si>
  <si>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</si>
  <si>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</si>
  <si>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</si>
  <si>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</si>
  <si>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</si>
  <si>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</si>
  <si>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</si>
  <si>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</si>
  <si>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</si>
  <si>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</si>
  <si>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</si>
  <si>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</si>
  <si>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</si>
  <si>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</si>
  <si>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</si>
  <si>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</si>
  <si>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</si>
  <si>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</si>
  <si>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</si>
  <si>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</si>
  <si>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</si>
  <si>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</si>
  <si>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</si>
  <si>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</si>
  <si>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</si>
  <si>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</si>
  <si>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</si>
  <si>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</si>
  <si>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</si>
  <si>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</si>
  <si>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</si>
  <si>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</si>
  <si>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</si>
  <si>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</si>
  <si>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</si>
  <si>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</si>
  <si>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</si>
  <si>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</si>
  <si>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</si>
  <si>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</si>
  <si>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</si>
  <si>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</si>
  <si>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</si>
  <si>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</si>
  <si>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</si>
  <si>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</si>
  <si>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</si>
  <si>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</si>
  <si>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</si>
  <si>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</si>
  <si>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</si>
  <si>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</si>
  <si>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</si>
  <si>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</si>
  <si>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</si>
  <si>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</si>
  <si>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</si>
  <si>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</si>
  <si>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</si>
  <si>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</si>
  <si>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</si>
  <si>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</si>
  <si>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</si>
  <si>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</si>
  <si>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</si>
  <si>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</si>
  <si>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</si>
  <si>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</si>
  <si>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</si>
  <si>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</si>
  <si>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</si>
  <si>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</si>
  <si>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</si>
  <si>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</si>
  <si>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</si>
  <si>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</si>
  <si>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</si>
  <si>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</si>
  <si>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</si>
  <si>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</si>
  <si>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</si>
  <si>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</si>
  <si>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</si>
  <si>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</si>
  <si>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</si>
  <si>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</si>
  <si>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</si>
  <si>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</si>
  <si>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</si>
  <si>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</si>
  <si>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</si>
  <si>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</si>
  <si>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</si>
  <si>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</si>
  <si>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</si>
  <si>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</si>
  <si>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</si>
  <si>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</si>
  <si>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</si>
  <si>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</si>
  <si>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</si>
  <si>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</si>
  <si>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</si>
  <si>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</si>
  <si>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</si>
  <si>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</si>
  <si>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</si>
  <si>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</si>
  <si>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</si>
  <si>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</si>
  <si>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</si>
  <si>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</si>
  <si>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</si>
  <si>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</si>
  <si>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</si>
  <si>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</si>
  <si>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</si>
  <si>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</si>
  <si>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</si>
  <si>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</si>
  <si>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</si>
  <si>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</si>
  <si>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</si>
  <si>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</si>
  <si>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</si>
  <si>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</si>
  <si>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</si>
  <si>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</si>
  <si>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</si>
  <si>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</si>
  <si>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</si>
  <si>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</si>
  <si>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</si>
  <si>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</si>
  <si>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</si>
  <si>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</si>
  <si>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</si>
  <si>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</si>
  <si>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</si>
  <si>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</si>
  <si>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</si>
  <si>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</si>
  <si>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</si>
  <si>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</si>
  <si>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</si>
  <si>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</si>
  <si>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</si>
  <si>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</si>
  <si>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</si>
  <si>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</si>
  <si>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</si>
  <si>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</si>
  <si>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</si>
  <si>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</si>
  <si>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</si>
  <si>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</si>
  <si>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</si>
  <si>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</si>
  <si>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</si>
  <si>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</si>
  <si>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</si>
  <si>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</si>
  <si>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</si>
  <si>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</si>
  <si>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</si>
  <si>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</si>
  <si>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</si>
  <si>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</si>
  <si>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</si>
  <si>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</si>
  <si>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</si>
  <si>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</si>
  <si>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</si>
  <si>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</si>
  <si>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</si>
  <si>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</si>
  <si>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</si>
  <si>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</si>
  <si>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</si>
  <si>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</si>
  <si>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</si>
  <si>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</si>
  <si>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</si>
  <si>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</si>
  <si>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</si>
  <si>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</si>
  <si>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</si>
  <si>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</si>
  <si>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</si>
  <si>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</si>
  <si>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</si>
  <si>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</si>
  <si>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</si>
  <si>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</si>
  <si>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</si>
  <si>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</si>
  <si>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</si>
  <si>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</si>
  <si>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</si>
  <si>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</si>
  <si>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</si>
  <si>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</si>
  <si>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</si>
  <si>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</si>
  <si>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</si>
  <si>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</si>
  <si>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</si>
  <si>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</si>
  <si>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</si>
  <si>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</si>
  <si>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</si>
  <si>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</si>
  <si>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</si>
  <si>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</si>
  <si>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</si>
  <si>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</si>
  <si>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</si>
  <si>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</si>
  <si>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</si>
  <si>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</si>
  <si>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</si>
  <si>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</si>
  <si>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</si>
  <si>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</si>
  <si>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</si>
  <si>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</si>
  <si>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</si>
  <si>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</si>
  <si>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</si>
  <si>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</si>
  <si>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</si>
  <si>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</si>
  <si>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</si>
  <si>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</si>
  <si>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</si>
  <si>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</si>
  <si>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</si>
  <si>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</si>
  <si>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</si>
  <si>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</si>
  <si>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</si>
  <si>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</si>
  <si>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</si>
  <si>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</si>
  <si>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</si>
  <si>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</si>
  <si>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</si>
  <si>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</si>
  <si>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</si>
  <si>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</si>
  <si>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</si>
  <si>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</si>
  <si>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</si>
  <si>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</si>
  <si>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</si>
  <si>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</si>
  <si>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</si>
  <si>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</si>
  <si>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</si>
  <si>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</si>
  <si>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</si>
  <si>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</si>
  <si>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</si>
  <si>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</si>
  <si>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</si>
  <si>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</si>
  <si>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</si>
  <si>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</si>
  <si>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</si>
  <si>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</si>
  <si>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</si>
  <si>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</si>
  <si>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</si>
  <si>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</si>
  <si>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</si>
  <si>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</si>
  <si>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</si>
  <si>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</si>
  <si>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</si>
  <si>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</si>
  <si>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</si>
  <si>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</si>
  <si>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</si>
  <si>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</si>
  <si>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</si>
  <si>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</si>
  <si>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</si>
  <si>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</si>
  <si>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</si>
  <si>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</si>
  <si>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</si>
  <si>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</si>
  <si>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</si>
  <si>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</si>
  <si>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</si>
  <si>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</si>
  <si>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</si>
  <si>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</si>
  <si>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</si>
  <si>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</si>
  <si>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</si>
  <si>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</si>
  <si>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</si>
  <si>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</si>
  <si>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</si>
  <si>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</si>
  <si>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</si>
  <si>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</si>
  <si>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</si>
  <si>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</si>
  <si>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</si>
  <si>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</si>
  <si>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</si>
  <si>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</si>
  <si>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</si>
  <si>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</si>
  <si>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</si>
  <si>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</si>
  <si>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</si>
  <si>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</si>
  <si>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</si>
  <si>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</si>
  <si>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</si>
  <si>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</si>
  <si>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</si>
  <si>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</si>
  <si>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</si>
  <si>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</si>
  <si>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</si>
  <si>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</si>
  <si>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</si>
  <si>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</si>
  <si>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</si>
  <si>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</si>
  <si>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</si>
  <si>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</si>
  <si>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</si>
  <si>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</si>
  <si>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</si>
  <si>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</si>
  <si>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</si>
  <si>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</si>
  <si>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</si>
  <si>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</si>
  <si>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</si>
  <si>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</si>
  <si>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</si>
  <si>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</si>
  <si>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</si>
  <si>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</si>
  <si>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</si>
  <si>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</si>
  <si>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</si>
  <si>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</si>
  <si>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</si>
  <si>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</si>
  <si>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</si>
  <si>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</si>
  <si>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</si>
  <si>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</si>
  <si>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</si>
  <si>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</si>
  <si>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</si>
  <si>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</si>
  <si>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</si>
  <si>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</si>
  <si>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</si>
  <si>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</si>
  <si>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</si>
  <si>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</si>
  <si>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</si>
  <si>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</si>
  <si>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</si>
  <si>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</si>
  <si>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</si>
  <si>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</si>
  <si>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</si>
  <si>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</si>
  <si>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</si>
  <si>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</si>
  <si>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</si>
  <si>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</si>
  <si>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</si>
  <si>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</si>
  <si>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</si>
  <si>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</si>
  <si>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</si>
  <si>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</si>
  <si>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</si>
  <si>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</si>
  <si>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</si>
  <si>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</si>
  <si>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</si>
  <si>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</si>
  <si>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</si>
  <si>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</si>
  <si>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</si>
  <si>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</si>
  <si>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</si>
  <si>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</si>
  <si>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</si>
  <si>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</si>
  <si>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</si>
  <si>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</si>
  <si>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</si>
  <si>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</si>
  <si>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</si>
  <si>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</si>
  <si>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</si>
  <si>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</si>
  <si>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</si>
  <si>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</si>
  <si>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</si>
  <si>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</si>
  <si>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</si>
  <si>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</si>
  <si>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</si>
  <si>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</si>
  <si>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</si>
  <si>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</si>
  <si>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</si>
  <si>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</si>
  <si>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</si>
  <si>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</si>
  <si>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</si>
  <si>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</si>
  <si>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</si>
  <si>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</si>
  <si>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</si>
  <si>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</si>
  <si>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</si>
  <si>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</si>
  <si>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</si>
  <si>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</si>
  <si>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</si>
  <si>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</si>
  <si>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</si>
  <si>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</si>
  <si>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</si>
  <si>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</si>
  <si>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</si>
  <si>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</si>
  <si>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</si>
  <si>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</si>
  <si>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</si>
  <si>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</si>
  <si>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</si>
  <si>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</si>
  <si>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</si>
  <si>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</si>
  <si>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</si>
  <si>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</si>
  <si>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</si>
  <si>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</si>
  <si>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</si>
  <si>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</si>
  <si>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</si>
  <si>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</si>
  <si>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</si>
  <si>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</si>
  <si>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</si>
  <si>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</si>
  <si>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</si>
  <si>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</si>
  <si>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</si>
  <si>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</si>
  <si>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</si>
  <si>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</si>
  <si>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</si>
  <si>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</si>
  <si>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</si>
  <si>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</si>
  <si>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</si>
  <si>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</si>
  <si>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</si>
  <si>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</si>
  <si>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</si>
  <si>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</si>
  <si>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</si>
  <si>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</si>
  <si>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</si>
  <si>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</si>
  <si>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</si>
  <si>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</si>
  <si>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</si>
  <si>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</si>
  <si>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</si>
  <si>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</si>
  <si>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</si>
  <si>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</si>
  <si>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</si>
  <si>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</si>
  <si>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</si>
  <si>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</si>
  <si>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</si>
  <si>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</si>
  <si>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</si>
  <si>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</si>
  <si>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</si>
  <si>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</si>
  <si>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</si>
  <si>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</si>
  <si>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</si>
  <si>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</si>
  <si>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</si>
  <si>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</si>
  <si>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</si>
  <si>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</si>
  <si>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</si>
  <si>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</si>
  <si>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</si>
  <si>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</si>
  <si>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</si>
  <si>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</si>
  <si>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</si>
  <si>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</si>
  <si>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</si>
  <si>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</si>
  <si>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</si>
  <si>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</si>
  <si>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</si>
  <si>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</si>
  <si>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</si>
  <si>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</si>
  <si>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</si>
  <si>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</si>
  <si>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</si>
  <si>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</si>
  <si>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</si>
  <si>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</si>
  <si>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</si>
  <si>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</si>
  <si>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</si>
  <si>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</si>
  <si>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</si>
  <si>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</si>
  <si>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</si>
  <si>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</si>
  <si>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</si>
  <si>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</si>
  <si>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</si>
  <si>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</si>
  <si>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</si>
  <si>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</si>
  <si>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</si>
  <si>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</si>
  <si>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</si>
  <si>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</si>
  <si>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</si>
  <si>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</si>
  <si>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</si>
  <si>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</si>
  <si>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</si>
  <si>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</si>
  <si>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</si>
  <si>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</si>
  <si>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</si>
  <si>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</si>
  <si>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</si>
  <si>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</si>
  <si>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</si>
  <si>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</si>
  <si>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</si>
  <si>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</si>
  <si>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</si>
  <si>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</si>
  <si>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</si>
  <si>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</si>
  <si>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</si>
  <si>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</si>
  <si>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</si>
  <si>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</si>
  <si>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</si>
  <si>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</si>
  <si>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</si>
  <si>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</si>
  <si>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</si>
  <si>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</si>
  <si>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</si>
  <si>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</si>
  <si>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</si>
  <si>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</si>
  <si>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</si>
  <si>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</si>
  <si>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</si>
  <si>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</si>
  <si>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</si>
  <si>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</si>
  <si>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</si>
  <si>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</si>
  <si>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</si>
  <si>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</si>
  <si>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</si>
  <si>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</si>
  <si>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</si>
  <si>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</si>
  <si>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</si>
  <si>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</si>
  <si>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</si>
  <si>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</si>
  <si>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</si>
  <si>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</si>
  <si>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</si>
  <si>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</si>
  <si>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</si>
  <si>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</si>
  <si>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</si>
  <si>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</si>
  <si>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</si>
  <si>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</si>
  <si>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</si>
  <si>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</si>
  <si>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</si>
  <si>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</si>
  <si>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</si>
  <si>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</si>
  <si>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</si>
  <si>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</si>
  <si>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</si>
  <si>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</si>
  <si>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</si>
  <si>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</si>
  <si>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</si>
  <si>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</si>
  <si>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</si>
  <si>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</si>
  <si>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</si>
  <si>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</si>
  <si>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</si>
  <si>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</si>
  <si>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</si>
  <si>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</si>
  <si>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</si>
  <si>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</si>
  <si>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</si>
  <si>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</si>
  <si>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</si>
  <si>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</si>
  <si>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</si>
  <si>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</si>
  <si>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</si>
  <si>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</si>
  <si>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</si>
  <si>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</si>
  <si>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</si>
  <si>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</si>
  <si>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</si>
  <si>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</si>
  <si>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</si>
  <si>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</si>
  <si>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</si>
  <si>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</si>
  <si>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</si>
  <si>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</si>
  <si>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</si>
  <si>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</si>
  <si>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</si>
  <si>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</si>
  <si>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</si>
  <si>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</si>
  <si>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</si>
  <si>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</si>
  <si>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</si>
  <si>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</si>
  <si>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</si>
  <si>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</si>
  <si>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</si>
  <si>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</si>
  <si>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</si>
  <si>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</si>
  <si>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</si>
  <si>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</si>
  <si>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</si>
  <si>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</si>
  <si>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</si>
  <si>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</si>
  <si>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</si>
  <si>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</si>
  <si>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</si>
  <si>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</si>
  <si>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</si>
  <si>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</si>
  <si>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</si>
  <si>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</si>
  <si>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</si>
  <si>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</si>
  <si>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</si>
  <si>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</si>
  <si>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</si>
  <si>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</si>
  <si>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</si>
  <si>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</si>
  <si>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</si>
  <si>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</si>
  <si>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</si>
  <si>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</si>
  <si>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</si>
  <si>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</si>
  <si>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</si>
  <si>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</si>
  <si>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</si>
  <si>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</si>
  <si>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</si>
  <si>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</si>
  <si>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</si>
  <si>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</si>
  <si>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</si>
  <si>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</si>
  <si>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</si>
  <si>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</si>
  <si>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</si>
  <si>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</si>
  <si>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</si>
  <si>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</si>
  <si>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</si>
  <si>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</si>
  <si>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</si>
  <si>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</si>
  <si>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</si>
  <si>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</si>
  <si>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</si>
  <si>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</si>
  <si>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</si>
  <si>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</si>
  <si>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</si>
  <si>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</si>
  <si>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</si>
  <si>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</si>
  <si>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</si>
  <si>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</si>
  <si>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</si>
  <si>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</si>
  <si>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</si>
  <si>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</si>
  <si>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</si>
  <si>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</si>
  <si>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</si>
  <si>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</si>
  <si>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</si>
  <si>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</si>
  <si>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</si>
  <si>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</si>
  <si>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</si>
  <si>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</si>
  <si>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</si>
  <si>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</si>
  <si>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</si>
  <si>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</si>
  <si>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</si>
  <si>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</si>
  <si>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</si>
  <si>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</si>
  <si>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</si>
  <si>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</si>
  <si>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</si>
  <si>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</si>
  <si>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</si>
  <si>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</si>
  <si>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</si>
  <si>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</si>
  <si>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</si>
  <si>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</si>
  <si>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</si>
  <si>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</si>
  <si>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</si>
  <si>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</si>
  <si>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</si>
  <si>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</si>
  <si>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</si>
  <si>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</si>
  <si>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</si>
  <si>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</si>
  <si>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</si>
  <si>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</si>
  <si>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</si>
  <si>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</si>
  <si>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</si>
  <si>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</si>
  <si>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</si>
  <si>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</si>
  <si>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</si>
  <si>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</si>
  <si>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</si>
  <si>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</si>
  <si>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</si>
  <si>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</si>
  <si>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</si>
  <si>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</si>
  <si>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</si>
  <si>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</si>
  <si>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</si>
  <si>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</si>
  <si>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</si>
  <si>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</si>
  <si>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</si>
  <si>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</si>
  <si>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</si>
  <si>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</si>
  <si>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</si>
  <si>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</si>
  <si>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</si>
  <si>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</si>
  <si>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</si>
  <si>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</si>
  <si>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</si>
  <si>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</si>
  <si>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</si>
  <si>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</si>
  <si>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</si>
  <si>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</si>
  <si>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</si>
  <si>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</si>
  <si>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</si>
  <si>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</si>
  <si>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</si>
  <si>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</si>
  <si>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</si>
  <si>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</si>
  <si>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</si>
  <si>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</si>
  <si>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</si>
  <si>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</si>
  <si>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</si>
  <si>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</si>
  <si>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</si>
  <si>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</si>
  <si>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</si>
  <si>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</si>
  <si>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</si>
  <si>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</si>
  <si>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</si>
  <si>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</si>
  <si>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</si>
  <si>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</si>
  <si>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</si>
  <si>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</si>
  <si>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</si>
  <si>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</si>
  <si>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</si>
  <si>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</si>
  <si>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</si>
  <si>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</si>
  <si>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</si>
  <si>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</si>
  <si>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</si>
  <si>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</si>
  <si>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</si>
  <si>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</si>
  <si>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</si>
  <si>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</si>
  <si>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</si>
  <si>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</si>
  <si>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</si>
  <si>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</si>
  <si>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</si>
  <si>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</si>
  <si>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</si>
  <si>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</si>
  <si>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</si>
  <si>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</si>
  <si>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</si>
  <si>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</si>
  <si>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</si>
  <si>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</si>
  <si>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</si>
  <si>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</si>
  <si>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</si>
  <si>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</si>
  <si>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</si>
  <si>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</si>
  <si>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</si>
  <si>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</si>
  <si>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</si>
  <si>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</si>
  <si>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</si>
  <si>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</si>
  <si>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</si>
  <si>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</si>
  <si>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</si>
  <si>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</si>
  <si>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</si>
  <si>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</si>
  <si>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</si>
  <si>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</si>
  <si>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</si>
  <si>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</si>
  <si>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</si>
  <si>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</si>
  <si>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</si>
  <si>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</si>
  <si>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</si>
  <si>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</si>
  <si>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</si>
  <si>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</si>
  <si>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</si>
  <si>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</si>
  <si>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</si>
  <si>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</si>
  <si>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</si>
  <si>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</si>
  <si>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</si>
  <si>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</si>
  <si>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</si>
  <si>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</si>
  <si>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</si>
  <si>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</si>
  <si>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</si>
  <si>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</si>
  <si>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</si>
  <si>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</si>
  <si>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</si>
  <si>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</si>
  <si>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</si>
  <si>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</si>
  <si>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</si>
  <si>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</si>
  <si>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</si>
  <si>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</si>
  <si>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</si>
  <si>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</si>
  <si>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</si>
  <si>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</si>
  <si>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</si>
  <si>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</si>
  <si>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</si>
  <si>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</si>
  <si>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</si>
  <si>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</si>
  <si>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</si>
  <si>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</si>
  <si>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</si>
  <si>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</si>
  <si>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</si>
  <si>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</si>
  <si>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</si>
  <si>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</si>
  <si>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</si>
  <si>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</si>
  <si>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</si>
  <si>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</si>
  <si>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</si>
  <si>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</si>
  <si>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</si>
  <si>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</si>
  <si>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</si>
  <si>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</si>
  <si>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</si>
  <si>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</si>
  <si>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</si>
  <si>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</si>
  <si>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</si>
  <si>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</si>
  <si>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</si>
  <si>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</si>
  <si>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</si>
  <si>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</si>
  <si>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</si>
  <si>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</si>
  <si>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</si>
  <si>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</si>
  <si>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</si>
  <si>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</si>
  <si>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</si>
  <si>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</si>
  <si>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</si>
  <si>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</si>
  <si>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</si>
  <si>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</si>
  <si>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</si>
  <si>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</si>
  <si>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</si>
  <si>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</si>
  <si>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</si>
  <si>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</si>
  <si>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</si>
  <si>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</si>
  <si>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</si>
  <si>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</si>
  <si>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</si>
  <si>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</si>
  <si>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</si>
  <si>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</si>
  <si>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</si>
  <si>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</si>
  <si>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</si>
  <si>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</si>
  <si>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</si>
  <si>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</si>
  <si>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</si>
  <si>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</si>
  <si>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</si>
  <si>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</si>
  <si>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</si>
  <si>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</si>
  <si>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</si>
  <si>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</si>
  <si>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</si>
  <si>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</si>
  <si>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</si>
  <si>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</si>
  <si>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</si>
  <si>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</si>
  <si>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</si>
  <si>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</si>
  <si>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</si>
  <si>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</si>
  <si>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</si>
  <si>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</si>
  <si>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</si>
  <si>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</si>
  <si>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</si>
  <si>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</si>
  <si>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</si>
  <si>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</si>
  <si>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</si>
  <si>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</si>
  <si>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</si>
  <si>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</si>
  <si>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</si>
  <si>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</si>
  <si>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</si>
  <si>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</si>
  <si>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</si>
  <si>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</si>
  <si>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</si>
  <si>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</si>
  <si>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</si>
  <si>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</si>
  <si>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</si>
  <si>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</si>
  <si>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</si>
  <si>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</si>
  <si>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</si>
  <si>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</si>
  <si>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</si>
  <si>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</si>
  <si>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</si>
  <si>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</si>
  <si>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</si>
  <si>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</si>
  <si>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</si>
  <si>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</si>
  <si>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</si>
  <si>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</si>
  <si>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</si>
  <si>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</si>
  <si>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</si>
  <si>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</si>
  <si>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</si>
  <si>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</si>
  <si>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</si>
  <si>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</si>
  <si>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</si>
  <si>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</si>
  <si>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</si>
  <si>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</si>
  <si>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</si>
  <si>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</si>
  <si>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</si>
  <si>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</si>
  <si>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</si>
  <si>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</si>
  <si>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</si>
  <si>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</si>
  <si>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</si>
  <si>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</si>
  <si>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</si>
  <si>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</si>
  <si>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</si>
  <si>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</si>
  <si>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</si>
  <si>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</si>
  <si>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</si>
  <si>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</si>
  <si>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</si>
  <si>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</si>
  <si>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</si>
  <si>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</si>
  <si>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</si>
  <si>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</si>
  <si>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</si>
  <si>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</si>
  <si>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</si>
  <si>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</si>
  <si>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</si>
  <si>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</si>
  <si>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</si>
  <si>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</si>
  <si>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</si>
  <si>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</si>
  <si>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</si>
  <si>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</si>
  <si>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</si>
  <si>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</si>
  <si>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</si>
  <si>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</si>
  <si>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</si>
  <si>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</si>
  <si>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</si>
  <si>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</si>
  <si>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</si>
  <si>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</si>
  <si>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</si>
  <si>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</si>
  <si>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</si>
  <si>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</si>
  <si>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</si>
  <si>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</si>
  <si>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</si>
  <si>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</si>
  <si>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</si>
  <si>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</si>
  <si>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</si>
  <si>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</si>
  <si>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</si>
  <si>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</si>
  <si>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</si>
  <si>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</si>
  <si>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</si>
  <si>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</si>
  <si>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</si>
  <si>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</si>
  <si>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</si>
  <si>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</si>
  <si>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</si>
  <si>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</si>
  <si>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</si>
  <si>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</si>
  <si>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</si>
  <si>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</si>
  <si>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</si>
  <si>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</si>
  <si>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</si>
  <si>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</si>
  <si>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</si>
  <si>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</si>
  <si>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</si>
  <si>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</si>
  <si>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</si>
  <si>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</si>
  <si>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</si>
  <si>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</si>
  <si>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</si>
  <si>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</si>
  <si>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</si>
  <si>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</si>
  <si>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</si>
  <si>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</si>
  <si>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</si>
  <si>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</si>
  <si>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</si>
  <si>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</si>
  <si>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</si>
  <si>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</si>
  <si>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</si>
  <si>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</si>
  <si>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</si>
  <si>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</si>
  <si>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</si>
  <si>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</si>
  <si>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</si>
  <si>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</si>
  <si>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</si>
  <si>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</si>
  <si>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</si>
  <si>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</si>
  <si>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</si>
  <si>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</si>
  <si>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</si>
  <si>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</si>
  <si>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</si>
  <si>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</si>
  <si>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</si>
  <si>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</si>
  <si>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</si>
  <si>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</si>
  <si>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</si>
  <si>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</si>
  <si>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</si>
  <si>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</si>
  <si>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</si>
  <si>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</si>
  <si>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</si>
  <si>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</si>
  <si>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</si>
  <si>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</si>
  <si>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</si>
  <si>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</si>
  <si>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</si>
  <si>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</si>
  <si>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</si>
  <si>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</si>
  <si>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</si>
  <si>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</si>
  <si>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</si>
  <si>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</si>
  <si>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</si>
  <si>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</si>
  <si>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</si>
  <si>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</si>
  <si>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</si>
  <si>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</si>
  <si>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</si>
  <si>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</si>
  <si>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</si>
  <si>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</si>
  <si>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</si>
  <si>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</si>
  <si>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</si>
  <si>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</si>
  <si>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</si>
  <si>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</si>
  <si>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</si>
  <si>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</si>
  <si>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</si>
  <si>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</si>
  <si>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</si>
  <si>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</si>
  <si>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</si>
  <si>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</si>
  <si>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</si>
  <si>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</si>
  <si>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</si>
  <si>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</si>
  <si>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</si>
  <si>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</si>
  <si>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</si>
  <si>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</si>
  <si>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</si>
  <si>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</si>
  <si>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</si>
  <si>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</si>
  <si>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</si>
  <si>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</si>
  <si>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</si>
  <si>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</si>
  <si>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</si>
  <si>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</si>
  <si>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</si>
  <si>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</si>
  <si>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</si>
  <si>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</si>
  <si>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</si>
  <si>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</si>
  <si>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</si>
  <si>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</si>
  <si>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</si>
  <si>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</si>
  <si>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</si>
  <si>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</si>
  <si>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</si>
  <si>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</si>
  <si>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</si>
  <si>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</si>
  <si>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</si>
  <si>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</si>
  <si>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</si>
  <si>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</si>
  <si>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</si>
  <si>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</si>
  <si>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</si>
  <si>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</si>
  <si>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</si>
  <si>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</si>
  <si>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</si>
  <si>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</si>
  <si>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</si>
  <si>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</si>
  <si>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</si>
  <si>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</si>
  <si>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</si>
  <si>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</si>
  <si>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</si>
  <si>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</si>
  <si>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</si>
  <si>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</si>
  <si>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</si>
  <si>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</si>
  <si>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</si>
  <si>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</si>
  <si>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</si>
  <si>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</si>
  <si>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</si>
  <si>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</si>
  <si>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</si>
  <si>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</si>
  <si>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</si>
  <si>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</si>
  <si>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</si>
  <si>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</si>
  <si>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</si>
  <si>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</si>
  <si>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</si>
  <si>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</si>
  <si>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</si>
  <si>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</si>
  <si>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</si>
  <si>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</si>
  <si>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</si>
  <si>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</si>
  <si>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</si>
  <si>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</si>
  <si>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</si>
  <si>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</si>
  <si>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</si>
  <si>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</si>
  <si>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</si>
  <si>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</si>
  <si>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</si>
  <si>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</si>
  <si>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</si>
  <si>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</si>
  <si>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</si>
  <si>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</si>
  <si>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</si>
  <si>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</si>
  <si>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</si>
  <si>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</si>
  <si>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</si>
  <si>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</si>
  <si>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</si>
  <si>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</si>
  <si>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</si>
  <si>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</si>
  <si>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</si>
  <si>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</si>
  <si>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</si>
  <si>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</si>
  <si>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</si>
  <si>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</si>
  <si>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</si>
  <si>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</si>
  <si>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</si>
  <si>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</si>
  <si>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</si>
  <si>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</si>
  <si>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</si>
  <si>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</si>
  <si>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</si>
  <si>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</si>
  <si>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</si>
  <si>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</si>
  <si>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</si>
  <si>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</si>
  <si>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</si>
  <si>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</si>
  <si>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</si>
  <si>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</si>
  <si>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</si>
  <si>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</si>
  <si>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</si>
  <si>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</si>
  <si>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</si>
  <si>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</si>
  <si>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</si>
  <si>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</si>
  <si>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</si>
  <si>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</si>
  <si>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</si>
  <si>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</si>
  <si>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</si>
  <si>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</si>
  <si>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</si>
  <si>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</si>
  <si>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</si>
  <si>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</si>
  <si>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</si>
  <si>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</si>
  <si>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</si>
  <si>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</si>
  <si>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</si>
  <si>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</si>
  <si>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</si>
  <si>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</si>
  <si>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</si>
  <si>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</si>
  <si>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</si>
  <si>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</si>
  <si>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</si>
  <si>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</si>
  <si>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</si>
  <si>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</si>
  <si>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</si>
  <si>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</si>
  <si>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</si>
  <si>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</si>
  <si>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</si>
  <si>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</si>
  <si>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</si>
  <si>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</si>
  <si>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</si>
  <si>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</si>
  <si>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</si>
  <si>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</si>
  <si>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</si>
  <si>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</si>
  <si>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</si>
  <si>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</si>
  <si>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</si>
  <si>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</si>
  <si>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</si>
  <si>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</si>
  <si>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</si>
  <si>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</si>
  <si>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</si>
  <si>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</si>
  <si>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</si>
  <si>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</si>
  <si>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</si>
  <si>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</si>
  <si>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</si>
  <si>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</si>
  <si>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</si>
  <si>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</si>
  <si>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</si>
  <si>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</si>
  <si>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</si>
  <si>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</si>
  <si>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</si>
  <si>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</si>
  <si>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</si>
  <si>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</si>
  <si>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</si>
  <si>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</si>
  <si>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</si>
  <si>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</si>
  <si>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</si>
  <si>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</si>
  <si>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</si>
  <si>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</si>
  <si>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</si>
  <si>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</si>
  <si>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</si>
  <si>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</si>
  <si>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</si>
  <si>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</si>
  <si>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</si>
  <si>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</si>
  <si>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</si>
  <si>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</si>
  <si>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</si>
  <si>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</si>
  <si>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</si>
  <si>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</si>
  <si>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</si>
  <si>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</si>
  <si>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</si>
  <si>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</si>
  <si>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</si>
  <si>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</si>
  <si>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</si>
  <si>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</si>
  <si>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</si>
  <si>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</si>
  <si>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</si>
  <si>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</si>
  <si>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</si>
  <si>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</si>
  <si>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</si>
  <si>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</si>
  <si>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</si>
  <si>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</si>
  <si>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</si>
  <si>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</si>
  <si>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</si>
  <si>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</si>
  <si>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</si>
  <si>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</si>
  <si>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</si>
  <si>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</si>
  <si>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</si>
  <si>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</si>
  <si>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</si>
  <si>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</si>
  <si>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</si>
  <si>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</si>
  <si>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</si>
  <si>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</si>
  <si>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</si>
  <si>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</si>
  <si>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</si>
  <si>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</si>
  <si>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</si>
  <si>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</si>
  <si>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</si>
  <si>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</si>
  <si>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</si>
  <si>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</si>
  <si>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</si>
  <si>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</si>
  <si>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</si>
  <si>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</si>
  <si>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</si>
  <si>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</si>
  <si>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</si>
  <si>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</si>
  <si>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</si>
  <si>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</si>
  <si>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</si>
  <si>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</si>
  <si>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</si>
  <si>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</si>
  <si>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</si>
  <si>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</si>
  <si>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</si>
  <si>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</si>
  <si>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</si>
  <si>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</si>
  <si>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</si>
  <si>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</si>
  <si>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</si>
  <si>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</si>
  <si>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</si>
  <si>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</si>
  <si>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</si>
  <si>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</si>
  <si>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</si>
  <si>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</si>
  <si>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</si>
  <si>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</si>
  <si>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</si>
  <si>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</si>
  <si>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</si>
  <si>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</si>
  <si>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</si>
  <si>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</si>
  <si>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</si>
  <si>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</si>
  <si>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</si>
  <si>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</si>
  <si>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</si>
  <si>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</si>
  <si>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</si>
  <si>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</si>
  <si>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</si>
  <si>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</si>
  <si>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</si>
  <si>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</si>
  <si>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</si>
  <si>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</si>
  <si>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</si>
  <si>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</si>
  <si>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</si>
  <si>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</si>
  <si>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</si>
  <si>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</si>
  <si>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</si>
  <si>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</si>
  <si>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</si>
  <si>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</si>
  <si>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</si>
  <si>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</si>
  <si>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</si>
  <si>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</si>
  <si>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</si>
  <si>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</si>
  <si>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</si>
  <si>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</si>
  <si>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</si>
  <si>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</si>
  <si>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</si>
  <si>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</si>
  <si>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</si>
  <si>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</si>
  <si>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</si>
  <si>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</si>
  <si>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</si>
  <si>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</si>
  <si>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</si>
  <si>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</si>
  <si>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</si>
  <si>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</si>
  <si>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</si>
  <si>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</si>
  <si>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</si>
  <si>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</si>
  <si>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</si>
  <si>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</si>
  <si>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</si>
  <si>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</si>
  <si>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</si>
  <si>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</si>
  <si>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</si>
  <si>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</si>
  <si>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</si>
  <si>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</si>
  <si>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</si>
  <si>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</si>
  <si>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</si>
  <si>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</si>
  <si>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</si>
  <si>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</si>
  <si>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</si>
  <si>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</si>
  <si>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</si>
  <si>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</si>
  <si>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</si>
  <si>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</si>
  <si>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</si>
  <si>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</si>
  <si>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</si>
  <si>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</si>
  <si>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</si>
  <si>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</si>
  <si>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</si>
  <si>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</si>
  <si>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</si>
  <si>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</si>
  <si>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</si>
  <si>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</si>
  <si>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</si>
  <si>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</si>
  <si>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</si>
  <si>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</si>
  <si>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</si>
  <si>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</si>
  <si>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</si>
  <si>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</si>
  <si>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</si>
  <si>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</si>
  <si>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</si>
  <si>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</si>
  <si>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</si>
  <si>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</si>
  <si>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</si>
  <si>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</si>
  <si>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</si>
  <si>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</si>
  <si>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</si>
  <si>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</si>
  <si>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</si>
  <si>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</si>
  <si>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</si>
  <si>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</si>
  <si>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</si>
  <si>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</si>
  <si>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</si>
  <si>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</si>
  <si>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</si>
  <si>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</si>
  <si>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</si>
  <si>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</si>
  <si>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</si>
  <si>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</si>
  <si>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</si>
  <si>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</si>
  <si>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</si>
  <si>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</si>
  <si>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</si>
  <si>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</si>
  <si>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</si>
  <si>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</si>
  <si>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</si>
  <si>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</si>
  <si>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</si>
  <si>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</si>
  <si>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</si>
  <si>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</si>
  <si>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</si>
  <si>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</si>
  <si>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</si>
  <si>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</si>
  <si>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</si>
  <si>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</si>
  <si>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</si>
  <si>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</si>
  <si>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</si>
  <si>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</si>
  <si>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</si>
  <si>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</si>
  <si>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</si>
  <si>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</si>
  <si>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</si>
  <si>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</si>
  <si>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</si>
  <si>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</si>
  <si>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</si>
  <si>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</si>
  <si>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</si>
  <si>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</si>
  <si>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</si>
  <si>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</si>
  <si>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</si>
  <si>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</si>
  <si>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</si>
  <si>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</si>
  <si>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</si>
  <si>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</si>
  <si>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</si>
  <si>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</si>
  <si>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</si>
  <si>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</si>
  <si>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</si>
  <si>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</si>
  <si>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</si>
  <si>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</si>
  <si>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</si>
  <si>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</si>
  <si>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</si>
  <si>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</si>
  <si>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</si>
  <si>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</si>
  <si>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</si>
  <si>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</si>
  <si>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</si>
  <si>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</si>
  <si>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</si>
  <si>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</si>
  <si>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</si>
  <si>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</si>
  <si>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</si>
  <si>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</si>
  <si>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</si>
  <si>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</si>
  <si>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</si>
  <si>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</si>
  <si>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</si>
  <si>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</si>
  <si>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</si>
  <si>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</si>
  <si>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</si>
  <si>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</si>
  <si>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</si>
  <si>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</si>
  <si>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</si>
  <si>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</si>
  <si>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</si>
  <si>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</si>
  <si>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</si>
  <si>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</si>
  <si>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</si>
  <si>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</si>
  <si>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</si>
  <si>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</si>
  <si>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</si>
  <si>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</si>
  <si>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</si>
  <si>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</si>
  <si>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</si>
  <si>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</si>
  <si>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</si>
  <si>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</si>
  <si>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</si>
  <si>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</si>
  <si>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</si>
  <si>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</si>
  <si>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</si>
  <si>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</si>
  <si>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</si>
  <si>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</si>
  <si>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</si>
  <si>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</si>
  <si>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</si>
  <si>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</si>
  <si>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</si>
  <si>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</si>
  <si>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</si>
  <si>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</si>
  <si>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</si>
  <si>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</si>
  <si>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</si>
  <si>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</si>
  <si>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</si>
  <si>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</si>
  <si>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</si>
  <si>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</si>
  <si>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</si>
  <si>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</si>
  <si>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</si>
  <si>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</si>
  <si>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</si>
  <si>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</si>
  <si>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</si>
  <si>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</si>
  <si>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</si>
  <si>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</si>
  <si>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</si>
  <si>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</si>
  <si>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</si>
  <si>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</si>
  <si>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</si>
  <si>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</si>
  <si>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</si>
  <si>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</si>
  <si>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</si>
  <si>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</si>
  <si>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</si>
  <si>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</si>
  <si>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</si>
  <si>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</si>
  <si>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</si>
  <si>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</si>
  <si>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</si>
  <si>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</si>
  <si>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</si>
  <si>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</si>
  <si>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</si>
  <si>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</si>
  <si>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</si>
  <si>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</si>
  <si>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</si>
  <si>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</si>
  <si>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</si>
  <si>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</si>
  <si>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</si>
  <si>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</si>
  <si>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</si>
  <si>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</si>
  <si>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</si>
  <si>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</si>
  <si>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</si>
  <si>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</si>
  <si>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</si>
  <si>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</si>
  <si>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</si>
  <si>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</si>
  <si>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</si>
  <si>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</si>
  <si>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</si>
  <si>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</si>
  <si>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</si>
  <si>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</si>
  <si>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</si>
  <si>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</si>
  <si>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</si>
  <si>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</si>
  <si>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</si>
  <si>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</si>
  <si>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</si>
  <si>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</si>
  <si>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</si>
  <si>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</si>
  <si>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</si>
  <si>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</si>
  <si>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</si>
  <si>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</si>
  <si>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</si>
  <si>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</si>
  <si>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</si>
  <si>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</si>
  <si>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</si>
  <si>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</si>
  <si>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</si>
  <si>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</si>
  <si>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</si>
  <si>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</si>
  <si>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</si>
  <si>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</si>
  <si>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</si>
  <si>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</si>
  <si>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</si>
  <si>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</si>
  <si>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</si>
  <si>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</si>
  <si>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</si>
  <si>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</si>
  <si>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</si>
  <si>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</si>
  <si>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</si>
  <si>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</si>
  <si>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</si>
  <si>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</si>
  <si>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</si>
  <si>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</si>
  <si>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</si>
  <si>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</si>
  <si>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</si>
  <si>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</si>
  <si>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</si>
  <si>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</si>
  <si>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</si>
  <si>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</si>
  <si>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</si>
  <si>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</si>
  <si>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</si>
  <si>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</si>
  <si>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</si>
  <si>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</si>
  <si>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</si>
  <si>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</si>
  <si>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</si>
  <si>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</si>
  <si>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</si>
  <si>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</si>
  <si>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</si>
  <si>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</si>
  <si>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</si>
  <si>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</si>
  <si>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</si>
  <si>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</si>
  <si>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</si>
  <si>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</si>
  <si>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</si>
  <si>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</si>
  <si>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</si>
  <si>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</si>
  <si>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</si>
  <si>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</si>
  <si>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</si>
  <si>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</si>
  <si>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</si>
  <si>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</si>
  <si>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</si>
  <si>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</si>
  <si>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</si>
  <si>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</si>
  <si>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</si>
  <si>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</si>
  <si>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</si>
  <si>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</si>
  <si>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</si>
  <si>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</si>
  <si>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</si>
  <si>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</si>
  <si>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</si>
  <si>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</si>
  <si>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</si>
  <si>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</si>
  <si>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</si>
  <si>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</si>
  <si>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</si>
  <si>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</si>
  <si>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</si>
  <si>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</si>
  <si>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</si>
  <si>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</si>
  <si>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</si>
  <si>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</si>
  <si>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</si>
  <si>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</si>
  <si>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</si>
  <si>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</si>
  <si>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</si>
  <si>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</si>
  <si>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</si>
  <si>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</si>
  <si>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</si>
  <si>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</si>
  <si>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</si>
  <si>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</si>
  <si>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</si>
  <si>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</si>
  <si>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</si>
  <si>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</si>
  <si>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</si>
  <si>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</si>
  <si>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</si>
  <si>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</si>
  <si>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</si>
  <si>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</si>
  <si>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</si>
  <si>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</si>
  <si>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</si>
  <si>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</si>
  <si>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</si>
  <si>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</si>
  <si>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</si>
  <si>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</si>
  <si>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</si>
  <si>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</si>
  <si>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</si>
  <si>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</si>
  <si>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</si>
  <si>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</si>
  <si>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</si>
  <si>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</si>
  <si>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</si>
  <si>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</si>
  <si>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</si>
  <si>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</si>
  <si>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</si>
  <si>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</si>
  <si>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</si>
  <si>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</si>
  <si>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</si>
  <si>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</si>
  <si>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</si>
  <si>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</si>
  <si>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</si>
  <si>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</si>
  <si>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</si>
  <si>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</si>
  <si>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</si>
  <si>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</si>
  <si>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</si>
  <si>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</si>
  <si>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</si>
  <si>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</si>
  <si>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</si>
  <si>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</si>
  <si>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</si>
  <si>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</si>
  <si>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</si>
  <si>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</si>
  <si>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</si>
  <si>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</si>
  <si>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</si>
  <si>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</si>
  <si>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</si>
  <si>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</si>
  <si>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</si>
  <si>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</si>
  <si>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</si>
  <si>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</si>
  <si>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</si>
  <si>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</si>
  <si>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</si>
  <si>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</si>
  <si>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</si>
  <si>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</si>
  <si>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</si>
  <si>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</si>
  <si>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</si>
  <si>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</si>
  <si>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</si>
  <si>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</si>
  <si>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</si>
  <si>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</si>
  <si>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</si>
  <si>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</si>
  <si>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</si>
  <si>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</si>
  <si>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</si>
  <si>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</si>
  <si>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</si>
  <si>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</si>
  <si>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</si>
  <si>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</si>
  <si>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</si>
  <si>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</si>
  <si>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</si>
  <si>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</si>
  <si>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</si>
  <si>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</si>
  <si>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</si>
  <si>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</si>
  <si>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</si>
  <si>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</si>
  <si>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</si>
  <si>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</si>
  <si>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</si>
  <si>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</si>
  <si>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</si>
  <si>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</si>
  <si>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</si>
  <si>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</si>
  <si>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</si>
  <si>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</si>
  <si>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</si>
  <si>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</si>
  <si>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</si>
  <si>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</si>
  <si>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</si>
  <si>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</si>
  <si>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</si>
  <si>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</si>
  <si>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</si>
  <si>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</si>
  <si>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</si>
  <si>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</si>
  <si>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</si>
  <si>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</si>
  <si>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</si>
  <si>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</si>
  <si>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</si>
  <si>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</si>
  <si>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</si>
  <si>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</si>
  <si>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</si>
  <si>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</si>
  <si>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</si>
  <si>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</si>
  <si>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</si>
  <si>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</si>
  <si>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</si>
  <si>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</si>
  <si>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</si>
  <si>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</si>
  <si>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</si>
  <si>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</si>
  <si>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</si>
  <si>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</si>
  <si>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</si>
  <si>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</si>
  <si>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</si>
  <si>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</si>
  <si>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</si>
  <si>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</si>
  <si>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</si>
  <si>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</si>
  <si>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</si>
  <si>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</si>
  <si>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</si>
  <si>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</si>
  <si>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</si>
  <si>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</si>
  <si>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否</t>
  </si>
  <si>
    <t>现房</t>
  </si>
  <si>
    <t>办公项目</t>
  </si>
  <si>
    <t>无</t>
  </si>
  <si>
    <t>通路</t>
  </si>
  <si>
    <t>通电</t>
  </si>
  <si>
    <t>通讯</t>
  </si>
  <si>
    <t>通上水</t>
  </si>
  <si>
    <t>通下水</t>
  </si>
  <si>
    <t>是</t>
  </si>
  <si>
    <t>地上</t>
  </si>
  <si>
    <t>办公</t>
    <phoneticPr fontId="7" type="noConversion"/>
  </si>
  <si>
    <t>成新度</t>
  </si>
  <si>
    <t>收益法 (元)</t>
  </si>
  <si>
    <t>押一</t>
  </si>
  <si>
    <t>钢混</t>
  </si>
  <si>
    <t>非生产用房</t>
  </si>
  <si>
    <t>单套模式</t>
  </si>
  <si>
    <t>售价</t>
  </si>
  <si>
    <t>收益法</t>
  </si>
  <si>
    <t>报价</t>
  </si>
  <si>
    <t>报价</t>
    <phoneticPr fontId="31" type="noConversion"/>
  </si>
  <si>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</si>
  <si>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</si>
  <si>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</si>
  <si>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</si>
  <si>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</si>
  <si>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高区</t>
  </si>
  <si>
    <t>中区</t>
  </si>
  <si>
    <t>低区</t>
  </si>
  <si>
    <t>标准写字楼</t>
  </si>
  <si>
    <t>标准写字楼</t>
    <phoneticPr fontId="31" type="noConversion"/>
  </si>
  <si>
    <t>钢混</t>
    <phoneticPr fontId="3" type="noConversion"/>
  </si>
  <si>
    <t>精装</t>
    <phoneticPr fontId="3" type="noConversion"/>
  </si>
  <si>
    <t>精装</t>
    <phoneticPr fontId="3" type="noConversion"/>
  </si>
  <si>
    <t>简装</t>
    <phoneticPr fontId="3" type="noConversion"/>
  </si>
  <si>
    <t>毛坯</t>
    <phoneticPr fontId="3" type="noConversion"/>
  </si>
  <si>
    <t>七通</t>
  </si>
  <si>
    <t>六通</t>
  </si>
  <si>
    <t>五通</t>
  </si>
  <si>
    <t>四通</t>
  </si>
  <si>
    <t>三通</t>
  </si>
  <si>
    <t>专业</t>
  </si>
  <si>
    <t>专业</t>
    <phoneticPr fontId="31" type="noConversion"/>
  </si>
  <si>
    <t>甲</t>
  </si>
  <si>
    <t>甲</t>
    <phoneticPr fontId="31" type="noConversion"/>
  </si>
  <si>
    <t>正常</t>
  </si>
  <si>
    <t>办公</t>
    <phoneticPr fontId="31" type="noConversion"/>
  </si>
  <si>
    <t>较好</t>
  </si>
  <si>
    <t>精装</t>
  </si>
  <si>
    <t>楼面单价</t>
  </si>
  <si>
    <t>收益比率</t>
  </si>
  <si>
    <t>商务金融用地</t>
  </si>
  <si>
    <t>自定义容积率</t>
  </si>
  <si>
    <t>平整</t>
  </si>
  <si>
    <t>与级别开发程度不一致</t>
  </si>
  <si>
    <t>一般</t>
  </si>
  <si>
    <t>较差</t>
  </si>
  <si>
    <t>不临65条商业街</t>
  </si>
  <si>
    <t>500-1000米</t>
  </si>
  <si>
    <t>中心城区以外</t>
  </si>
  <si>
    <t>未包含在土地购买价格中</t>
  </si>
  <si>
    <t>已包含在土地取得成本中</t>
  </si>
  <si>
    <t>项目名称</t>
  </si>
  <si>
    <t>建筑面积</t>
  </si>
  <si>
    <t>分摊土地面积</t>
  </si>
  <si>
    <t>土地价值</t>
  </si>
  <si>
    <t>单价</t>
  </si>
  <si>
    <t>建筑物价值</t>
  </si>
  <si>
    <t>总价</t>
  </si>
  <si>
    <t>北京市西城区宣武门外大街6、8、10、12、16、18号6号楼7层708办公用房房地产</t>
  </si>
  <si>
    <t>北京市西城区宣武门外大街6、8、10、12、16、18号6号楼7层728办公用房房地产</t>
  </si>
  <si>
    <t>北京市西城区宣武门外大街6、8、10、12、16、18号6号楼7层731办公用房房地产</t>
  </si>
  <si>
    <t>北京市西城区宣武门外大街6、8、10、12、16、18号6号楼7层732办公用房房地产</t>
  </si>
  <si>
    <t>北京市西城区宣武门外大街6、8、10、12、16、18号6号楼7层734办公用房房地产</t>
  </si>
  <si>
    <t>北京市西城区宣武门外大街6、8、10、12、16、18号6号楼7层735办公用房房地产</t>
  </si>
  <si>
    <t>北京市西城区宣武门外大街6、8、10、12、16、18号6号楼11层1132办公用房房地产</t>
  </si>
  <si>
    <t>北京市西城区宣武门外大街6、8、10、12、16、18号6号楼15层1510办公用房房地产</t>
  </si>
  <si>
    <t>北京市西城区宣武门外大街6、8、10、12、16、18号6号楼15层1516办公用房房地产</t>
  </si>
  <si>
    <t>合计</t>
  </si>
  <si>
    <t>6号楼7层708</t>
  </si>
  <si>
    <t>6号楼7层728</t>
  </si>
  <si>
    <t>6号楼7层731</t>
  </si>
  <si>
    <t>6号楼7层732</t>
  </si>
  <si>
    <t>6号楼7层734</t>
  </si>
  <si>
    <t>6号楼7层735</t>
  </si>
  <si>
    <t>6号楼11层1132</t>
  </si>
  <si>
    <t>6号楼15层1510</t>
  </si>
  <si>
    <t>6号楼15层1516</t>
  </si>
  <si>
    <t>企业</t>
  </si>
  <si>
    <t>庄胜广场</t>
    <phoneticPr fontId="3" type="noConversion"/>
  </si>
  <si>
    <t>海格国际</t>
    <phoneticPr fontId="3" type="noConversion"/>
  </si>
  <si>
    <t>简装</t>
  </si>
  <si>
    <t>庄胜广场</t>
    <phoneticPr fontId="3" type="noConversion"/>
  </si>
  <si>
    <t>比较法-办公</t>
  </si>
  <si>
    <t>权重</t>
  </si>
  <si>
    <t>直线</t>
  </si>
  <si>
    <t>观察</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</si>
</sst>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77" fontId="113" fillId="0" borderId="1" xfId="1" applyNumberFormat="1" applyFont="1" applyFill="1" applyBorder="1" applyAlignment="1" applyProtection="1">
      <alignment horizontal="center" vertical="center"/>
      <protection locked="0"/>
    </xf>
    <xf numFmtId="181" fontId="100" fillId="0" borderId="1" xfId="0" applyNumberFormat="1" applyFont="1" applyBorder="1" applyAlignment="1" applyProtection="1">
      <alignment vertical="center"/>
      <protection locked="0"/>
    </xf>
    <xf numFmtId="0" fontId="100" fillId="0" borderId="78" xfId="0" applyNumberFormat="1" applyFont="1" applyFill="1" applyBorder="1" applyAlignment="1" applyProtection="1">
      <alignment horizontal="center" vertical="center" wrapText="1"/>
      <protection locked="0"/>
    </xf>
    <xf numFmtId="179" fontId="100" fillId="5" borderId="23" xfId="0" applyNumberFormat="1" applyFont="1" applyFill="1" applyBorder="1" applyAlignment="1" applyProtection="1">
      <alignment horizontal="center" vertical="center"/>
      <protection locked="0"/>
    </xf>
    <xf numFmtId="10" fontId="100" fillId="5" borderId="1" xfId="0" applyNumberFormat="1" applyFont="1" applyFill="1" applyBorder="1" applyAlignment="1" applyProtection="1">
      <alignment horizontal="center" vertical="center"/>
      <protection locked="0"/>
    </xf>
    <xf numFmtId="181" fontId="100" fillId="5" borderId="24" xfId="0" applyNumberFormat="1" applyFont="1" applyFill="1" applyBorder="1" applyAlignment="1" applyProtection="1">
      <alignment horizontal="center" vertical="center"/>
      <protection locked="0"/>
    </xf>
    <xf numFmtId="0" fontId="0" fillId="0" borderId="0" xfId="0" applyAlignment="1">
      <alignment vertical="center" wrapText="1"/>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0" fillId="5" borderId="0" xfId="0" applyFill="1" applyAlignment="1">
      <alignment vertical="center" wrapText="1"/>
    </xf>
    <xf numFmtId="0" fontId="0" fillId="5" borderId="0" xfId="0"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Protection="1">
      <alignment vertical="center"/>
      <protection locked="0"/>
    </xf>
    <xf numFmtId="9" fontId="47" fillId="12" borderId="0" xfId="0" applyNumberFormat="1" applyFont="1" applyFill="1" applyProtection="1">
      <alignment vertical="center"/>
      <protection locked="0"/>
    </xf>
    <xf numFmtId="0" fontId="47" fillId="12" borderId="0" xfId="0" applyFont="1" applyFill="1" applyProtection="1">
      <alignment vertical="center"/>
      <protection locked="0"/>
    </xf>
    <xf numFmtId="10" fontId="113" fillId="0" borderId="1"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161926</xdr:rowOff>
    </xdr:from>
    <xdr:to>
      <xdr:col>4</xdr:col>
      <xdr:colOff>542925</xdr:colOff>
      <xdr:row>69</xdr:row>
      <xdr:rowOff>58732</xdr:rowOff>
    </xdr:to>
    <xdr:pic>
      <xdr:nvPicPr>
        <xdr:cNvPr id="4" name="图片 3"/>
        <xdr:cNvPicPr>
          <a:picLocks noChangeAspect="1"/>
        </xdr:cNvPicPr>
      </xdr:nvPicPr>
      <xdr:blipFill>
        <a:blip xmlns:r="http://schemas.openxmlformats.org/officeDocument/2006/relationships" r:embed="rId1"/>
        <a:stretch>
          <a:fillRect/>
        </a:stretch>
      </xdr:blipFill>
      <xdr:spPr>
        <a:xfrm>
          <a:off x="0" y="8048626"/>
          <a:ext cx="5762625" cy="3840156"/>
        </a:xfrm>
        <a:prstGeom prst="rect">
          <a:avLst/>
        </a:prstGeom>
      </xdr:spPr>
    </xdr:pic>
    <xdr:clientData/>
  </xdr:twoCellAnchor>
  <xdr:twoCellAnchor editAs="oneCell">
    <xdr:from>
      <xdr:col>0</xdr:col>
      <xdr:colOff>0</xdr:colOff>
      <xdr:row>15</xdr:row>
      <xdr:rowOff>0</xdr:rowOff>
    </xdr:from>
    <xdr:to>
      <xdr:col>6</xdr:col>
      <xdr:colOff>437198</xdr:colOff>
      <xdr:row>61</xdr:row>
      <xdr:rowOff>151396</xdr:rowOff>
    </xdr:to>
    <xdr:pic>
      <xdr:nvPicPr>
        <xdr:cNvPr id="2" name="图片 1"/>
        <xdr:cNvPicPr>
          <a:picLocks noChangeAspect="1"/>
        </xdr:cNvPicPr>
      </xdr:nvPicPr>
      <xdr:blipFill>
        <a:blip xmlns:r="http://schemas.openxmlformats.org/officeDocument/2006/relationships" r:embed="rId2"/>
        <a:stretch>
          <a:fillRect/>
        </a:stretch>
      </xdr:blipFill>
      <xdr:spPr>
        <a:xfrm>
          <a:off x="0" y="6000750"/>
          <a:ext cx="7619048" cy="80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32043;&#29020;/2022/&#39033;&#30446;/2022-1-0382-&#24196;&#32988;/F03/&#26368;&#32456;/&#35745;&#31639;&#34920;-&#24196;&#32988;9&#22871;2022-2&#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Sheet1"/>
      <sheetName val="拆分建筑物及土地价值"/>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5">
          <cell r="C35">
            <v>4923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4">
          <cell r="R24">
            <v>38760</v>
          </cell>
        </row>
        <row r="25">
          <cell r="R25">
            <v>38760</v>
          </cell>
        </row>
        <row r="26">
          <cell r="R26">
            <v>38760</v>
          </cell>
        </row>
        <row r="27">
          <cell r="R27">
            <v>39148</v>
          </cell>
        </row>
        <row r="28">
          <cell r="R28">
            <v>39148</v>
          </cell>
        </row>
        <row r="29">
          <cell r="R29">
            <v>39148</v>
          </cell>
        </row>
        <row r="30">
          <cell r="R30">
            <v>40322</v>
          </cell>
        </row>
        <row r="31">
          <cell r="R31">
            <v>39923</v>
          </cell>
        </row>
        <row r="32">
          <cell r="R32">
            <v>40322</v>
          </cell>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估价对象为北京市房地产，为所有。根据《国有土地使用证》[]，估价对象（分摊）出让国有建设用地使用权面积为11.01平方米，建筑面积为107.22平方米。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估价对象为北京市房地产,属开发建设的办公项目，该项目尚在开发建设中。根据《国有土地使用证》[]，估价对象（分摊）出让国有建设用地使用权面积为11.01平方米，规划建筑面积为107.22平方米。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2023年6月30日（评估专业人员实地查勘之日）</v>
      </c>
    </row>
    <row r="13" spans="1:2" s="1201" customFormat="1">
      <c r="A13" s="1199" t="s">
        <v>529</v>
      </c>
      <c r="B13" s="1200" t="str">
        <f>'预评函-1'!A18</f>
        <v>本次估价的“房地产价值”是指在正常市场情况下，在价值时点2023年6月30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386</v>
      </c>
    </row>
    <row r="21" spans="1:2" s="1201" customFormat="1">
      <c r="A21" s="1199" t="s">
        <v>537</v>
      </c>
      <c r="B21" s="1200">
        <f ca="1">'预评函-2'!D7</f>
        <v>36019</v>
      </c>
    </row>
    <row r="22" spans="1:2" s="1201" customFormat="1">
      <c r="A22" s="1199" t="s">
        <v>538</v>
      </c>
      <c r="B22" s="1200" t="str">
        <f ca="1">'预评函-2'!D6</f>
        <v>叁佰捌拾陆万元整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386</v>
      </c>
    </row>
    <row r="31" spans="1:2" s="1201" customFormat="1">
      <c r="A31" s="1199" t="s">
        <v>576</v>
      </c>
      <c r="B31" s="1200">
        <f ca="1">'预评函-2'!D15</f>
        <v>36019</v>
      </c>
    </row>
    <row r="32" spans="1:2" s="1201" customFormat="1">
      <c r="A32" s="1199" t="s">
        <v>543</v>
      </c>
      <c r="B32" s="1200" t="str">
        <f ca="1">'预评函-2'!D14</f>
        <v>叁佰捌拾陆万元整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107.22</v>
      </c>
    </row>
    <row r="44" spans="1:2" s="1201" customFormat="1">
      <c r="A44" s="1199" t="s">
        <v>575</v>
      </c>
      <c r="B44" s="1200" t="str">
        <f>'预评函-3'!C2</f>
        <v>(分摊)土地面积</v>
      </c>
    </row>
    <row r="45" spans="1:2" s="1201" customFormat="1">
      <c r="A45" s="1199" t="s">
        <v>547</v>
      </c>
      <c r="B45" s="1200">
        <f>'预评函-3'!C4</f>
        <v>11.01</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2580</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2581</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2" t="s">
        <v>385</v>
      </c>
      <c r="C54" s="1549" t="s">
        <v>583</v>
      </c>
    </row>
    <row r="55" spans="1:4">
      <c r="A55" s="3505"/>
      <c r="B55" s="1552" t="s">
        <v>386</v>
      </c>
      <c r="C55" s="1549" t="s">
        <v>584</v>
      </c>
    </row>
    <row r="56" spans="1:4">
      <c r="A56" s="3505"/>
      <c r="B56" s="1552" t="s">
        <v>387</v>
      </c>
      <c r="C56" s="1549" t="s">
        <v>588</v>
      </c>
    </row>
    <row r="57" spans="1:4">
      <c r="A57" s="350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06" t="s">
        <v>2583</v>
      </c>
      <c r="J2" s="3506"/>
      <c r="K2" s="3506"/>
      <c r="L2" s="3506"/>
      <c r="M2" s="3506"/>
      <c r="N2" s="3506"/>
      <c r="O2" s="3506"/>
      <c r="P2" s="3506"/>
      <c r="Q2" s="3506"/>
      <c r="R2" s="3506"/>
    </row>
    <row r="3" spans="1:18">
      <c r="A3" s="3018" t="s">
        <v>2504</v>
      </c>
      <c r="B3" s="3019">
        <f>项目基本情况!D3</f>
        <v>45107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3.47</v>
      </c>
      <c r="D5" s="3023">
        <f>IF(ISERROR(ROUND(POWER(1+E5,A5-C5)*(POWER(1+E5,C5)-1)/(POWER(1+E5,A5)-1),3)),0,ROUND(POWER(1+E5,A5-C5)*(POWER(1+E5,C5)-1)/(POWER(1+E5,A5)-1),4))</f>
        <v>0.16070000000000001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13.48</v>
      </c>
      <c r="D6" s="3023">
        <f>IF(ISERROR(ROUND(POWER(1+E6,A6-C6)*(POWER(1+E6,C6)-1)/(POWER(1+E6,A6)-1),3)),0,ROUND(POWER(1+E6,A6-C6)*(POWER(1+E6,C6)-1)/(POWER(1+E6,A6)-1),4))</f>
        <v>0.47789999999999999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33.49</v>
      </c>
      <c r="D7" s="3023">
        <f>IF(ISERROR(ROUND(POWER(1+E7,A7-C7)*(POWER(1+E7,C7)-1)/(POWER(1+E7,A7)-1),3)),0,ROUND(POWER(1+E7,A7-C7)*(POWER(1+E7,C7)-1)/(POWER(1+E7,A7)-1),4))</f>
        <v>0.78129999999999999</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37" sqref="C37:C3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v>45107</v>
      </c>
      <c r="C3" s="2372" t="s">
        <v>2170</v>
      </c>
      <c r="D3" s="2371">
        <f>B3</f>
        <v>45107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3377</v>
      </c>
      <c r="C8" s="2388"/>
      <c r="D8" s="3510" t="s">
        <v>2176</v>
      </c>
      <c r="E8" s="2389" t="s">
        <v>3378</v>
      </c>
      <c r="F8" s="2390"/>
      <c r="G8" s="2661"/>
      <c r="H8" s="2661"/>
      <c r="I8" s="2661"/>
      <c r="J8" s="2437"/>
      <c r="K8" s="2612"/>
      <c r="L8" s="2611"/>
      <c r="M8" s="2611"/>
      <c r="N8" s="2437"/>
      <c r="O8" s="2448"/>
      <c r="P8" s="2437"/>
      <c r="Q8" s="2437"/>
      <c r="R8" s="2437"/>
    </row>
    <row r="9" spans="1:30" ht="13.5" thickBot="1">
      <c r="A9" s="2391" t="s">
        <v>2177</v>
      </c>
      <c r="B9" s="2392" t="s">
        <v>3378</v>
      </c>
      <c r="C9" s="2393"/>
      <c r="D9" s="3511"/>
      <c r="E9" s="2392"/>
      <c r="F9" s="2394"/>
      <c r="G9" s="2663"/>
      <c r="H9" s="2663"/>
      <c r="I9" s="2663"/>
      <c r="J9" s="2437"/>
      <c r="K9" s="2614"/>
      <c r="L9" s="2611"/>
      <c r="M9" s="2611"/>
      <c r="N9" s="2437"/>
      <c r="O9" s="2448"/>
      <c r="P9" s="2437"/>
      <c r="Q9" s="2437"/>
      <c r="R9" s="2437"/>
    </row>
    <row r="10" spans="1:30" ht="13.5" thickTop="1">
      <c r="A10" s="2395" t="s">
        <v>2178</v>
      </c>
      <c r="B10" s="2396" t="s">
        <v>3379</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3469</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3336</v>
      </c>
      <c r="B13" s="2405" t="s">
        <v>2189</v>
      </c>
      <c r="C13" s="856"/>
      <c r="D13" s="856"/>
      <c r="E13" s="856">
        <v>52677</v>
      </c>
      <c r="F13" s="856"/>
      <c r="G13" s="856"/>
      <c r="H13" s="856"/>
      <c r="I13" s="856"/>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20.73</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7"/>
      <c r="C16" s="3518"/>
      <c r="D16" s="3519"/>
      <c r="E16" s="2411" t="s">
        <v>2193</v>
      </c>
      <c r="F16" s="3520"/>
      <c r="G16" s="3521"/>
      <c r="H16" s="3521"/>
      <c r="I16" s="3522"/>
      <c r="J16" s="2437"/>
      <c r="K16" s="2615"/>
      <c r="L16" s="2449"/>
      <c r="M16" s="2449"/>
      <c r="N16" s="2507"/>
      <c r="O16" s="2449"/>
      <c r="P16" s="2507"/>
      <c r="Q16" s="2437"/>
      <c r="R16" s="2437"/>
    </row>
    <row r="17" spans="1:28">
      <c r="A17" s="313" t="s">
        <v>2194</v>
      </c>
      <c r="B17" s="302" t="s">
        <v>2195</v>
      </c>
      <c r="C17" s="8">
        <f>'数据-汇总表'!E3</f>
        <v>107.22</v>
      </c>
      <c r="D17" s="2320" t="s">
        <v>2196</v>
      </c>
      <c r="E17" s="3523" t="s">
        <v>2197</v>
      </c>
      <c r="F17" s="3524"/>
      <c r="G17" s="3524"/>
      <c r="H17" s="3524"/>
      <c r="I17" s="3525"/>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11.01</v>
      </c>
      <c r="D18" s="1090" t="s">
        <v>2200</v>
      </c>
      <c r="E18" s="3526" t="s">
        <v>2201</v>
      </c>
      <c r="F18" s="3527"/>
      <c r="G18" s="3527"/>
      <c r="H18" s="3527"/>
      <c r="I18" s="3528"/>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3380</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3" t="s">
        <v>2205</v>
      </c>
      <c r="C20" s="3514"/>
      <c r="D20" s="3515" t="s">
        <v>2206</v>
      </c>
      <c r="E20" s="3516"/>
      <c r="F20" s="2645" t="s">
        <v>1056</v>
      </c>
      <c r="G20" s="2662"/>
      <c r="H20" s="2662"/>
      <c r="I20" s="2662"/>
      <c r="J20" s="2437"/>
      <c r="K20" s="3512"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0" t="s">
        <v>2213</v>
      </c>
      <c r="B27" s="320" t="s">
        <v>2214</v>
      </c>
      <c r="C27" s="2414" t="s">
        <v>3382</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0"/>
      <c r="B28" s="302" t="s">
        <v>2215</v>
      </c>
      <c r="C28" s="2416" t="s">
        <v>3383</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0"/>
      <c r="B29" s="302" t="s">
        <v>2216</v>
      </c>
      <c r="C29" s="2418" t="s">
        <v>3380</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1"/>
      <c r="B30" s="302" t="s">
        <v>2217</v>
      </c>
      <c r="C30" s="3532"/>
      <c r="D30" s="3533"/>
      <c r="E30" s="2662"/>
      <c r="F30" s="2662"/>
      <c r="G30" s="2662"/>
      <c r="H30" s="2662"/>
      <c r="I30" s="2662"/>
      <c r="J30" s="2437"/>
      <c r="K30" s="2614"/>
      <c r="L30" s="2611"/>
      <c r="M30" s="2611"/>
      <c r="N30" s="2437"/>
      <c r="O30" s="2448"/>
      <c r="P30" s="2437"/>
      <c r="Q30" s="2437"/>
      <c r="R30" s="2437"/>
      <c r="S30" s="2437"/>
      <c r="T30" s="2437"/>
      <c r="U30" s="2437"/>
      <c r="V30" s="2437"/>
    </row>
    <row r="31" spans="1:28">
      <c r="A31" s="3534" t="s">
        <v>2218</v>
      </c>
      <c r="B31" s="2420" t="s">
        <v>3381</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35"/>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35"/>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3384</v>
      </c>
      <c r="C34" s="2024" t="s">
        <v>3385</v>
      </c>
      <c r="D34" s="2024" t="s">
        <v>3386</v>
      </c>
      <c r="E34" s="2024" t="s">
        <v>3387</v>
      </c>
      <c r="F34" s="2024" t="s">
        <v>3388</v>
      </c>
      <c r="G34" s="2024"/>
      <c r="H34" s="2024"/>
      <c r="I34" s="2662"/>
      <c r="J34" s="2437"/>
      <c r="K34" s="2425">
        <f>COUNTIF(B34:H34,"——")</f>
        <v>0</v>
      </c>
      <c r="L34" s="323" t="s">
        <v>2220</v>
      </c>
      <c r="M34" s="323" t="s">
        <v>2221</v>
      </c>
      <c r="N34" s="323" t="s">
        <v>2222</v>
      </c>
      <c r="O34" s="323" t="s">
        <v>2223</v>
      </c>
      <c r="P34" s="323" t="s">
        <v>2224</v>
      </c>
      <c r="Q34" s="323" t="s">
        <v>2225</v>
      </c>
      <c r="R34" s="323" t="s">
        <v>2226</v>
      </c>
      <c r="S34" s="3529" t="s">
        <v>2227</v>
      </c>
      <c r="T34" s="2426" t="str">
        <f>NUMBERSTRING(7-K34,1)&amp;"通"</f>
        <v>七通</v>
      </c>
      <c r="U34" s="2437"/>
      <c r="V34" s="2437"/>
    </row>
    <row r="35" spans="1:30">
      <c r="A35" s="2427"/>
      <c r="B35" s="3536" t="s">
        <v>2228</v>
      </c>
      <c r="C35" s="3536"/>
      <c r="D35" s="3536"/>
      <c r="E35" s="3536"/>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29"/>
      <c r="T35" s="329" t="str">
        <f>IF(T34="一通",L35,IF(T34="二通",M35,IF(T34="三通",N35,IF(T34="四通",O35,IF(T34="五通",P35,IF(T34="六通",Q35,R35))))))</f>
        <v>通路、通电、通讯、通上水、通下水、、</v>
      </c>
      <c r="U35" s="2437"/>
      <c r="V35" s="2437"/>
    </row>
    <row r="36" spans="1:30">
      <c r="A36" s="2428"/>
      <c r="B36" s="664" t="s">
        <v>2184</v>
      </c>
      <c r="C36" s="664" t="s">
        <v>2185</v>
      </c>
      <c r="D36" s="664" t="s">
        <v>2183</v>
      </c>
      <c r="E36" s="664"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f>Sheet1!C2</f>
        <v>11.01</v>
      </c>
      <c r="B3" s="11">
        <f>IF(C3="否",G5-AT5,G5)</f>
        <v>107.22</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107.22</v>
      </c>
      <c r="H5" s="13">
        <f t="shared" ref="H5:AT5" si="0">SUM(H13:H656)</f>
        <v>107.22</v>
      </c>
      <c r="I5" s="13">
        <f t="shared" si="0"/>
        <v>107.22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107.22</v>
      </c>
      <c r="BA5" s="15">
        <f t="shared" si="1"/>
        <v>107.22</v>
      </c>
      <c r="BB5" s="15">
        <f t="shared" si="1"/>
        <v>107.22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11.01</v>
      </c>
      <c r="F6" s="13" t="s">
        <v>0</v>
      </c>
      <c r="G6" s="13" t="s">
        <v>1</v>
      </c>
      <c r="H6" s="17">
        <f>SUMIF(I$12:AB$12,"总值",I6:AB6)</f>
        <v>11.01</v>
      </c>
      <c r="I6" s="13">
        <f t="shared" ref="I6:AB6" si="2">ROUND($A$3*I5/$B$3,2)</f>
        <v>11.01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11.01</v>
      </c>
      <c r="AZ6" s="13" t="s">
        <v>2</v>
      </c>
      <c r="BA6" s="13">
        <f>ROUND($AY$6*BA5/$AZ$5,2)</f>
        <v>11.01</v>
      </c>
      <c r="BB6" s="13">
        <f>ROUND($AY$6*BB5/$AZ$5,2)</f>
        <v>11.01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9"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3390</v>
      </c>
      <c r="J9" s="809"/>
      <c r="K9" s="1601"/>
      <c r="L9" s="809"/>
      <c r="M9" s="1601"/>
      <c r="N9" s="809"/>
      <c r="O9" s="1601"/>
      <c r="P9" s="809"/>
      <c r="Q9" s="1601"/>
      <c r="R9" s="809"/>
      <c r="S9" s="1601"/>
      <c r="T9" s="809"/>
      <c r="U9" s="1601"/>
      <c r="V9" s="809"/>
      <c r="W9" s="1601"/>
      <c r="X9" s="1602"/>
      <c r="Y9" s="1601"/>
      <c r="Z9" s="809"/>
      <c r="AA9" s="1601"/>
      <c r="AB9" s="809"/>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9"/>
      <c r="K10" s="1607"/>
      <c r="L10" s="809"/>
      <c r="M10" s="1607"/>
      <c r="N10" s="809"/>
      <c r="O10" s="1607"/>
      <c r="P10" s="809"/>
      <c r="Q10" s="1607"/>
      <c r="R10" s="809"/>
      <c r="S10" s="1607"/>
      <c r="T10" s="809"/>
      <c r="U10" s="1607"/>
      <c r="V10" s="809"/>
      <c r="W10" s="1607"/>
      <c r="X10" s="809"/>
      <c r="Y10" s="1607"/>
      <c r="Z10" s="809"/>
      <c r="AA10" s="1607"/>
      <c r="AB10" s="809"/>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708</v>
      </c>
      <c r="D13" s="1623" t="s">
        <v>3389</v>
      </c>
      <c r="E13" s="13">
        <f>IF($C$3="是",ROUND($A$3*G13/$B$3,2),ROUND($A$3*(G13-AT13)/$B$3,2))</f>
        <v>11.01</v>
      </c>
      <c r="F13" s="29"/>
      <c r="G13" s="30">
        <f>H13+AC13+AT13</f>
        <v>107.22</v>
      </c>
      <c r="H13" s="17">
        <f>SUMIF(I$12:AB$12,"总值",I13:AB13)</f>
        <v>107.22</v>
      </c>
      <c r="I13" s="1624">
        <f>Sheet1!B2</f>
        <v>107.22</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708</v>
      </c>
      <c r="AY13" s="1347">
        <f>ROUND($AY$6*AZ13/$AZ$5,2)</f>
        <v>11.01</v>
      </c>
      <c r="AZ13" s="13">
        <f>BA13+BL13</f>
        <v>107.22</v>
      </c>
      <c r="BA13" s="13">
        <f>SUM(BB13:BK13)</f>
        <v>107.22</v>
      </c>
      <c r="BB13" s="13">
        <f>IF($D13="是",I13-J13,0)</f>
        <v>107.22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v>304</v>
      </c>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304</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v>305</v>
      </c>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305</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049">
        <v>306</v>
      </c>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306</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049">
        <v>307</v>
      </c>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307</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9">
        <v>308</v>
      </c>
      <c r="D18" s="162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308</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9">
        <v>309</v>
      </c>
      <c r="D19" s="162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309</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6" t="s">
        <v>1131</v>
      </c>
      <c r="B2" s="3546"/>
      <c r="C2" s="3546"/>
      <c r="D2" s="796" t="s">
        <v>1107</v>
      </c>
      <c r="E2" s="1637" t="s">
        <v>1108</v>
      </c>
      <c r="F2" s="2657"/>
      <c r="G2" s="2648"/>
      <c r="H2" s="2649"/>
      <c r="I2" s="2323" t="s">
        <v>1132</v>
      </c>
      <c r="J2" s="2657"/>
      <c r="K2" s="2657"/>
      <c r="L2" s="2657"/>
      <c r="M2" s="2657"/>
      <c r="N2" s="2659"/>
      <c r="O2" s="2657"/>
      <c r="P2" s="2657"/>
    </row>
    <row r="3" spans="1:16" ht="15.75" thickBot="1">
      <c r="A3" s="3547" t="s">
        <v>1105</v>
      </c>
      <c r="B3" s="3547"/>
      <c r="C3" s="3547"/>
      <c r="D3" s="43">
        <f>'数据-基础表'!AY6</f>
        <v>11.01</v>
      </c>
      <c r="E3" s="43">
        <f>'数据-基础表'!AZ5</f>
        <v>107.22</v>
      </c>
      <c r="F3" s="2657"/>
      <c r="G3" s="1143"/>
      <c r="H3" s="1024" t="s">
        <v>1106</v>
      </c>
      <c r="I3" s="855">
        <f>ROUND('数据-基础表'!B3/'数据-基础表'!A3,2)</f>
        <v>9.74</v>
      </c>
      <c r="J3" s="2657"/>
      <c r="K3" s="2657"/>
      <c r="L3" s="2657"/>
      <c r="M3" s="2657"/>
      <c r="N3" s="2659"/>
      <c r="O3" s="2657"/>
      <c r="P3" s="2657"/>
    </row>
    <row r="4" spans="1:16" ht="15">
      <c r="A4" s="3548"/>
      <c r="B4" s="3549"/>
      <c r="C4" s="3550"/>
      <c r="D4" s="1639" t="s">
        <v>1107</v>
      </c>
      <c r="E4" s="1640" t="s">
        <v>1108</v>
      </c>
      <c r="F4" s="2657"/>
      <c r="G4" s="2650" t="s">
        <v>1133</v>
      </c>
      <c r="H4" s="1024" t="s">
        <v>1113</v>
      </c>
      <c r="I4" s="855">
        <f>ROUND(SUMIF('数据-基础表'!I9:AS9,"地上",'数据-基础表'!I5:AS5)/'数据-基础表'!A3,2)</f>
        <v>9.74</v>
      </c>
      <c r="J4" s="2657"/>
      <c r="K4" s="2657"/>
      <c r="L4" s="2657"/>
      <c r="M4" s="2657"/>
      <c r="N4" s="2659"/>
      <c r="O4" s="2657"/>
      <c r="P4" s="2657"/>
    </row>
    <row r="5" spans="1:16">
      <c r="A5" s="44" t="s">
        <v>1109</v>
      </c>
      <c r="B5" s="3551" t="s">
        <v>1110</v>
      </c>
      <c r="C5" s="3551"/>
      <c r="D5" s="45">
        <f>ROUND($D$3*E5/$E$3,2)</f>
        <v>0</v>
      </c>
      <c r="E5" s="46">
        <f>SUMIF('数据-基础表'!$11:$11,"住宅",'数据-基础表'!$5:$5)</f>
        <v>0</v>
      </c>
      <c r="F5" s="2657"/>
      <c r="G5" s="1143"/>
      <c r="H5" s="1024" t="s">
        <v>1106</v>
      </c>
      <c r="I5" s="855">
        <f>ROUND(E31/D31,2)</f>
        <v>9.74</v>
      </c>
      <c r="J5" s="2657"/>
      <c r="K5" s="2657"/>
      <c r="L5" s="2657"/>
      <c r="M5" s="2657"/>
      <c r="N5" s="2657"/>
      <c r="O5" s="2657"/>
      <c r="P5" s="2657"/>
    </row>
    <row r="6" spans="1:16" ht="15" thickBot="1">
      <c r="A6" s="1642"/>
      <c r="B6" s="3551" t="s">
        <v>1111</v>
      </c>
      <c r="C6" s="3551"/>
      <c r="D6" s="45">
        <f>ROUND($D$3*E6/$E$3,2)</f>
        <v>11.01</v>
      </c>
      <c r="E6" s="46">
        <f>E3-E5</f>
        <v>107.22</v>
      </c>
      <c r="F6" s="2657"/>
      <c r="G6" s="2651" t="s">
        <v>1112</v>
      </c>
      <c r="H6" s="1144" t="s">
        <v>1113</v>
      </c>
      <c r="I6" s="2652">
        <f>ROUND(F31/D31,2)</f>
        <v>9.74</v>
      </c>
      <c r="J6" s="2657"/>
      <c r="K6" s="2657"/>
      <c r="L6" s="2657"/>
      <c r="M6" s="2657"/>
      <c r="N6" s="2657"/>
      <c r="O6" s="2657"/>
      <c r="P6" s="2657"/>
    </row>
    <row r="7" spans="1:16" ht="15.75" thickBot="1">
      <c r="A7" s="3543"/>
      <c r="B7" s="3544"/>
      <c r="C7" s="3545"/>
      <c r="D7" s="1639" t="s">
        <v>1107</v>
      </c>
      <c r="E7" s="1643"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11.01</v>
      </c>
      <c r="E8" s="48">
        <f>SUMIF('数据-基础表'!BB10:BK10,"地上",'数据-基础表'!BB5:BK5)</f>
        <v>107.22</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11.01</v>
      </c>
      <c r="E16" s="50">
        <f>SUM(E8:E15)</f>
        <v>107.22</v>
      </c>
      <c r="F16" s="2657"/>
      <c r="G16" s="2658"/>
      <c r="H16" s="1646" t="s">
        <v>1135</v>
      </c>
      <c r="I16" s="1647"/>
      <c r="J16" s="1137"/>
      <c r="K16" s="3540" t="s">
        <v>1135</v>
      </c>
      <c r="L16" s="3541"/>
      <c r="M16" s="3541"/>
      <c r="N16" s="3541"/>
      <c r="O16" s="3541"/>
      <c r="P16" s="3542"/>
    </row>
    <row r="17" spans="1:19" ht="15">
      <c r="A17" s="1648" t="s">
        <v>1136</v>
      </c>
      <c r="B17" s="1649" t="s">
        <v>1137</v>
      </c>
      <c r="C17" s="1650" t="s">
        <v>1138</v>
      </c>
      <c r="D17" s="1651" t="s">
        <v>1126</v>
      </c>
      <c r="E17" s="1652" t="s">
        <v>1127</v>
      </c>
      <c r="F17" s="1653"/>
      <c r="G17" s="1654"/>
      <c r="H17" s="1655" t="s">
        <v>1139</v>
      </c>
      <c r="I17" s="1656" t="s">
        <v>1124</v>
      </c>
      <c r="J17" s="1137"/>
      <c r="K17" s="3537" t="s">
        <v>1140</v>
      </c>
      <c r="L17" s="3538"/>
      <c r="M17" s="3539"/>
      <c r="N17" s="3537" t="s">
        <v>1141</v>
      </c>
      <c r="O17" s="3538"/>
      <c r="P17" s="3539"/>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5" t="s">
        <v>1150</v>
      </c>
      <c r="N18" s="1039" t="s">
        <v>1148</v>
      </c>
      <c r="O18" s="1664" t="s">
        <v>1149</v>
      </c>
      <c r="P18" s="855" t="s">
        <v>1150</v>
      </c>
      <c r="R18" s="1024" t="s">
        <v>1151</v>
      </c>
      <c r="S18" s="1024" t="s">
        <v>1152</v>
      </c>
    </row>
    <row r="19" spans="1:19">
      <c r="A19" s="1665"/>
      <c r="B19" s="47" t="s">
        <v>1125</v>
      </c>
      <c r="C19" s="3415" t="s">
        <v>3391</v>
      </c>
      <c r="D19" s="45">
        <f>ROUND($D$3*E19/$E$3,2)</f>
        <v>11.01</v>
      </c>
      <c r="E19" s="53">
        <f t="shared" ref="E19:E26" si="1">SUM(F19:G19)</f>
        <v>107.22</v>
      </c>
      <c r="F19" s="2793">
        <f>'数据-基础表'!I13</f>
        <v>107.22</v>
      </c>
      <c r="G19" s="2794"/>
      <c r="H19" s="670">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11.01</v>
      </c>
      <c r="S19" s="1025">
        <f t="shared" si="5"/>
        <v>107.22</v>
      </c>
    </row>
    <row r="20" spans="1:19">
      <c r="A20" s="1668"/>
      <c r="B20" s="47" t="s">
        <v>1153</v>
      </c>
      <c r="C20" s="3415"/>
      <c r="D20" s="45">
        <f t="shared" ref="D20:D26" si="6">ROUND($D$3*E20/$E$3,2)</f>
        <v>0</v>
      </c>
      <c r="E20" s="53">
        <f t="shared" si="1"/>
        <v>0</v>
      </c>
      <c r="F20" s="2793"/>
      <c r="G20" s="2794"/>
      <c r="H20" s="670">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70">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70">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70">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70">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11.01</v>
      </c>
      <c r="E27" s="1139">
        <f>IF(SUM(E19:E26)='数据-基础表'!BA5,SUM(E19:E26),IF(F27="地上面积有误","面积有误","地下面积有误"))</f>
        <v>107.22</v>
      </c>
      <c r="F27" s="1138">
        <f>IF(SUM(F19:F26)=E8,SUM(F19:F26),"地上面积有误")</f>
        <v>107.22</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11.01</v>
      </c>
      <c r="S27" s="1024">
        <f>IF(SUM(S19:S26)=$E$3,SUM(S19:S26),SUM(S19:S26)&amp;"误差"&amp;ROUND(SUM(S19:S26)-E3,2))</f>
        <v>107.22</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5" t="s">
        <v>1158</v>
      </c>
      <c r="D31" s="676">
        <f>D27+D30</f>
        <v>11.01</v>
      </c>
      <c r="E31" s="676">
        <f>E27+E30</f>
        <v>107.22</v>
      </c>
      <c r="F31" s="677">
        <f>F27+F30</f>
        <v>107.22</v>
      </c>
      <c r="G31" s="678">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M17" sqref="M17:O20"/>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45107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3392</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8">
        <f>SUMIF(项目基本情况!C$12:I$12,C6,项目基本情况!C$14:I$14)</f>
        <v>50</v>
      </c>
      <c r="E6" s="857">
        <f>IF(B6="","",SUMIF(项目基本情况!C$12:I$12,C6,项目基本情况!C$13:I$13))</f>
        <v>52677</v>
      </c>
      <c r="F6" s="64">
        <f>SUMIF(项目基本情况!C$12:I$12,C6,项目基本情况!C$15:I$15)</f>
        <v>20.73</v>
      </c>
      <c r="G6" s="65">
        <f>IF(ISERROR(ROUND(POWER(1+H6,D6-F6)*(POWER(1+H6,F6)-1)/(POWER(1+H6,D6)-1),3)),0,ROUND(POWER(1+H6,D6-F6)*(POWER(1+H6,F6)-1)/(POWER(1+H6,D6)-1),3))</f>
        <v>0.69699999999999995</v>
      </c>
      <c r="H6" s="732">
        <v>0.05</v>
      </c>
      <c r="I6" s="732">
        <v>5.5E-2</v>
      </c>
      <c r="J6" s="66">
        <v>7.0000000000000007E-2</v>
      </c>
      <c r="K6" s="1028">
        <f>SUMIF('数据-汇总表'!C$19:C$33,A6,'数据-汇总表'!E$19:E$33)</f>
        <v>107.22</v>
      </c>
      <c r="L6" s="3452">
        <v>4500</v>
      </c>
      <c r="M6" s="67">
        <f t="shared" ref="M6:M14" si="0">ROUND(K6*L6/10000,0)</f>
        <v>48</v>
      </c>
      <c r="N6" s="3809">
        <f>N20</f>
        <v>0.78</v>
      </c>
      <c r="O6" s="67" t="str">
        <f>IF($N$5="成新度","——",ROUND(M6*N6,0))</f>
        <v>——</v>
      </c>
      <c r="P6" s="68" t="str">
        <f>IF($N$5="成新度","——",M6-O6)</f>
        <v>——</v>
      </c>
      <c r="Q6" s="734">
        <v>0.15</v>
      </c>
      <c r="R6" s="69">
        <f ca="1">SUMIF('数据-汇总表'!C$19:C$33,A6,'数据-汇总表'!R$19:R$27)</f>
        <v>11.01</v>
      </c>
      <c r="S6" s="51">
        <f>IF('数据-汇总表'!$I$17="按面积比例",SUMIF('数据-汇总表'!C$19:C$33,A6,'数据-汇总表'!K$19:K$33),SUMIF('数据-汇总表'!C$19:C$33,A6,'数据-汇总表'!N$19:N$33))</f>
        <v>0</v>
      </c>
      <c r="T6" s="1170">
        <f>ROUND($L$14*S6/10000,0)</f>
        <v>0</v>
      </c>
      <c r="U6" s="3455">
        <v>7</v>
      </c>
      <c r="V6" s="3453">
        <v>2.5000000000000001E-2</v>
      </c>
      <c r="W6" s="70">
        <v>0.1</v>
      </c>
      <c r="X6" s="1038"/>
      <c r="Y6" s="71">
        <f>N6</f>
        <v>0.78</v>
      </c>
      <c r="Z6" s="72"/>
      <c r="AA6" s="66"/>
      <c r="AB6" s="66"/>
      <c r="AC6" s="1038"/>
      <c r="AD6" s="73"/>
      <c r="AE6" s="1039">
        <f ca="1">IF(AN6="",0,SUMIF(INDIRECT("'"&amp;AN6&amp;"'"&amp;"!E:E"),$AE$5,INDIRECT("'"&amp;AN6&amp;"'"&amp;"!F:F")))</f>
        <v>20.73</v>
      </c>
      <c r="AF6" s="1346"/>
      <c r="AG6" s="138">
        <f>IF(AF6="",0,AE6-AF6)</f>
        <v>0</v>
      </c>
      <c r="AH6" s="74"/>
      <c r="AI6" s="76">
        <v>365</v>
      </c>
      <c r="AJ6" s="77"/>
      <c r="AK6" s="3456">
        <v>5.0000000000000001E-3</v>
      </c>
      <c r="AL6" s="79">
        <v>1E-3</v>
      </c>
      <c r="AM6" s="3457">
        <v>5.0000000000000001E-3</v>
      </c>
      <c r="AN6" s="1713" t="s">
        <v>3393</v>
      </c>
      <c r="AO6" s="52">
        <f ca="1">SUMIF(INDIRECT("'"&amp;AN6&amp;"'"&amp;"!A:A"),"总价",INDIRECT("'"&amp;AN6&amp;"'"&amp;"!B:B"))</f>
        <v>306.40210000000002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8">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8">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0">
        <f t="shared" si="5"/>
        <v>0</v>
      </c>
      <c r="U8" s="3427"/>
      <c r="V8" s="735"/>
      <c r="W8" s="735"/>
      <c r="X8" s="1038"/>
      <c r="Y8" s="71"/>
      <c r="Z8" s="72"/>
      <c r="AA8" s="66"/>
      <c r="AB8" s="66"/>
      <c r="AC8" s="1038"/>
      <c r="AD8" s="73"/>
      <c r="AE8" s="1039">
        <f t="shared" ca="1" si="6"/>
        <v>0</v>
      </c>
      <c r="AF8" s="1346"/>
      <c r="AG8" s="138">
        <f t="shared" si="7"/>
        <v>0</v>
      </c>
      <c r="AH8" s="736"/>
      <c r="AI8" s="76"/>
      <c r="AJ8" s="77"/>
      <c r="AK8" s="737"/>
      <c r="AL8" s="738"/>
      <c r="AM8" s="739"/>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8"/>
      <c r="E14" s="857"/>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70"/>
      <c r="V14" s="1033"/>
      <c r="W14" s="1033"/>
      <c r="X14" s="1034"/>
      <c r="Y14" s="1035"/>
      <c r="Z14" s="1036"/>
      <c r="AA14" s="1037"/>
      <c r="AB14" s="1037"/>
      <c r="AC14" s="1038"/>
      <c r="AD14" s="1034"/>
      <c r="AE14" s="1039"/>
      <c r="AF14" s="52"/>
      <c r="AG14" s="138"/>
      <c r="AH14" s="1039"/>
      <c r="AI14" s="1355"/>
      <c r="AJ14" s="704"/>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8"/>
      <c r="E15" s="857"/>
      <c r="F15" s="64"/>
      <c r="G15" s="65"/>
      <c r="H15" s="1027"/>
      <c r="I15" s="1027"/>
      <c r="J15" s="1027"/>
      <c r="K15" s="1028">
        <f>SUMIF('数据-汇总表'!C$19:C$33,A15,'数据-汇总表'!E$19:E$33)</f>
        <v>0</v>
      </c>
      <c r="L15" s="1029"/>
      <c r="M15" s="67"/>
      <c r="N15" s="1030"/>
      <c r="O15" s="67"/>
      <c r="P15" s="68"/>
      <c r="Q15" s="1031"/>
      <c r="R15" s="69"/>
      <c r="S15" s="51"/>
      <c r="T15" s="1170"/>
      <c r="U15" s="670"/>
      <c r="V15" s="1033"/>
      <c r="W15" s="1033"/>
      <c r="X15" s="1034"/>
      <c r="Y15" s="1035"/>
      <c r="Z15" s="1036"/>
      <c r="AA15" s="1037"/>
      <c r="AB15" s="1037"/>
      <c r="AC15" s="1038"/>
      <c r="AD15" s="1034"/>
      <c r="AE15" s="1039"/>
      <c r="AF15" s="52"/>
      <c r="AG15" s="138"/>
      <c r="AH15" s="1039"/>
      <c r="AI15" s="1355"/>
      <c r="AJ15" s="704"/>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3"/>
      <c r="D16" s="1718"/>
      <c r="E16" s="88"/>
      <c r="F16" s="88"/>
      <c r="G16" s="89">
        <f>ROUND(SUMPRODUCT(G6:G13,K6:K13)/SUMPRODUCT((G6:G13&gt;0)*(K6:K13)),3)</f>
        <v>0.69699999999999995</v>
      </c>
      <c r="H16" s="90">
        <f>ROUND(SUMPRODUCT(H6:H13,K6:K13)/SUMPRODUCT((H6:H13&gt;0)*(K6:K13)),3)</f>
        <v>0.05</v>
      </c>
      <c r="I16" s="91"/>
      <c r="J16" s="91"/>
      <c r="K16" s="92">
        <f>SUM(K6:K15)</f>
        <v>107.22</v>
      </c>
      <c r="L16" s="93">
        <f>ROUND(M16*10000/SUM(K6:K14),0)</f>
        <v>4477</v>
      </c>
      <c r="M16" s="93">
        <f>SUM(M6:M14)</f>
        <v>48</v>
      </c>
      <c r="N16" s="94">
        <f>ROUND(SUMPRODUCT(M6:M14,N6:N14)/M16,3)</f>
        <v>0.78</v>
      </c>
      <c r="O16" s="93">
        <f>SUM(O6:O14)</f>
        <v>0</v>
      </c>
      <c r="P16" s="93">
        <f>SUM(P6:P14)</f>
        <v>0</v>
      </c>
      <c r="Q16" s="95">
        <f>ROUND(SUMPRODUCT(Q6:Q13,K6:K13)/SUMPRODUCT((Q6:Q13&gt;0)*(K6:K13)),2)</f>
        <v>0.15</v>
      </c>
      <c r="R16" s="1032">
        <f ca="1">SUM(R6:R13)</f>
        <v>11.01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3806" t="s">
        <v>3475</v>
      </c>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3806" t="s">
        <v>3476</v>
      </c>
      <c r="N18" s="2669">
        <f>ROUND(1-(1-0%)*(2023-'收益法 (元)'!J49)/60,2)</f>
        <v>0.52</v>
      </c>
      <c r="O18" s="3807">
        <v>0.2</v>
      </c>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3806" t="s">
        <v>3477</v>
      </c>
      <c r="N19" s="2669">
        <v>0.85</v>
      </c>
      <c r="O19" s="3807">
        <v>0.8</v>
      </c>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3806" t="s">
        <v>3459</v>
      </c>
      <c r="N20" s="3808">
        <f>ROUND(N18*O18+N19*O19,2)</f>
        <v>0.78</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8.5" thickBot="1">
      <c r="A29" s="1728" t="s">
        <v>1222</v>
      </c>
      <c r="B29" s="112">
        <f>ROUND('数据-取费表'!B28*'数据-取费表'!K6,0)</f>
        <v>21444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7">
      <c r="A30" s="1729"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7.75" thickBot="1">
      <c r="A32" s="1730"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25">
      <c r="A33" s="1725" t="s">
        <v>1226</v>
      </c>
      <c r="B33" s="673">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3.5499999999999997E-2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18</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296</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4"/>
  </cols>
  <sheetData>
    <row r="1" spans="1:29" s="2455" customFormat="1" ht="18.75" thickBot="1">
      <c r="A1" s="3552" t="s">
        <v>2285</v>
      </c>
      <c r="B1" s="3553"/>
      <c r="C1" s="3553"/>
      <c r="D1" s="3553"/>
      <c r="E1" s="3553"/>
      <c r="F1" s="3553"/>
      <c r="G1" s="355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9"/>
      <c r="I2" s="799"/>
      <c r="J2" s="799"/>
      <c r="K2" s="799"/>
      <c r="L2" s="799"/>
      <c r="M2" s="799"/>
      <c r="N2" s="799"/>
      <c r="O2" s="799"/>
      <c r="P2" s="799"/>
      <c r="Q2" s="799"/>
      <c r="R2" s="799"/>
    </row>
    <row r="3" spans="1:29" ht="48">
      <c r="A3" s="2439" t="s">
        <v>2282</v>
      </c>
      <c r="B3" s="2461" t="s">
        <v>2251</v>
      </c>
      <c r="C3" s="2462" t="s">
        <v>2283</v>
      </c>
      <c r="D3" s="2463"/>
      <c r="E3" s="2440" t="s">
        <v>2282</v>
      </c>
      <c r="F3" s="2464" t="s">
        <v>2252</v>
      </c>
      <c r="G3" s="2465" t="s">
        <v>2284</v>
      </c>
      <c r="H3" s="799"/>
      <c r="I3" s="799"/>
      <c r="J3" s="799"/>
      <c r="K3" s="799"/>
      <c r="L3" s="799"/>
      <c r="M3" s="799"/>
      <c r="N3" s="799"/>
      <c r="O3" s="799"/>
      <c r="P3" s="799"/>
      <c r="Q3" s="799"/>
      <c r="R3" s="799"/>
    </row>
    <row r="4" spans="1:29" ht="36.75">
      <c r="A4" s="2440"/>
      <c r="B4" s="323" t="s">
        <v>2253</v>
      </c>
      <c r="C4" s="2466" t="s">
        <v>2254</v>
      </c>
      <c r="D4" s="2463"/>
      <c r="E4" s="2467"/>
      <c r="F4" s="1371" t="s">
        <v>2255</v>
      </c>
      <c r="G4" s="2468" t="s">
        <v>2256</v>
      </c>
      <c r="H4" s="799"/>
      <c r="I4" s="799"/>
      <c r="J4" s="799"/>
      <c r="K4" s="799"/>
      <c r="L4" s="799"/>
      <c r="M4" s="799"/>
      <c r="N4" s="799"/>
      <c r="O4" s="799"/>
      <c r="P4" s="799"/>
      <c r="Q4" s="799"/>
      <c r="R4" s="799"/>
    </row>
    <row r="5" spans="1:29" ht="36.75">
      <c r="A5" s="2440"/>
      <c r="B5" s="323" t="s">
        <v>2257</v>
      </c>
      <c r="C5" s="2466" t="s">
        <v>2258</v>
      </c>
      <c r="D5" s="2463"/>
      <c r="E5" s="2467"/>
      <c r="F5" s="323" t="s">
        <v>2259</v>
      </c>
      <c r="G5" s="2468" t="s">
        <v>2260</v>
      </c>
      <c r="H5" s="799"/>
      <c r="I5" s="799"/>
      <c r="J5" s="799"/>
      <c r="K5" s="799"/>
      <c r="L5" s="799"/>
      <c r="M5" s="799"/>
      <c r="N5" s="799"/>
      <c r="O5" s="799"/>
      <c r="P5" s="799"/>
      <c r="Q5" s="799"/>
      <c r="R5" s="799"/>
    </row>
    <row r="6" spans="1:29" ht="36">
      <c r="A6" s="2440"/>
      <c r="B6" s="323" t="s">
        <v>2261</v>
      </c>
      <c r="C6" s="2468" t="s">
        <v>2256</v>
      </c>
      <c r="D6" s="2463"/>
      <c r="E6" s="2467"/>
      <c r="F6" s="323" t="s">
        <v>2262</v>
      </c>
      <c r="G6" s="2468" t="s">
        <v>2263</v>
      </c>
      <c r="H6" s="799"/>
      <c r="I6" s="799"/>
      <c r="J6" s="799"/>
      <c r="K6" s="799"/>
      <c r="L6" s="799"/>
      <c r="M6" s="799"/>
      <c r="N6" s="799"/>
      <c r="O6" s="799"/>
      <c r="P6" s="799"/>
      <c r="Q6" s="799"/>
      <c r="R6" s="799"/>
    </row>
    <row r="7" spans="1:29" ht="24.75" thickBot="1">
      <c r="A7" s="2440"/>
      <c r="B7" s="323" t="s">
        <v>2259</v>
      </c>
      <c r="C7" s="2468" t="s">
        <v>2260</v>
      </c>
      <c r="D7" s="2469"/>
      <c r="E7" s="2470"/>
      <c r="F7" s="2471" t="s">
        <v>2264</v>
      </c>
      <c r="G7" s="2472" t="s">
        <v>2265</v>
      </c>
      <c r="H7" s="799"/>
      <c r="I7" s="799"/>
      <c r="J7" s="799"/>
      <c r="K7" s="799"/>
      <c r="L7" s="799"/>
      <c r="M7" s="799"/>
      <c r="N7" s="799"/>
      <c r="O7" s="799"/>
      <c r="P7" s="799"/>
      <c r="Q7" s="799"/>
      <c r="R7" s="799"/>
    </row>
    <row r="8" spans="1:29">
      <c r="A8" s="2440"/>
      <c r="B8" s="323" t="s">
        <v>2262</v>
      </c>
      <c r="C8" s="2468" t="s">
        <v>2263</v>
      </c>
      <c r="D8" s="2469"/>
      <c r="E8" s="2469"/>
      <c r="F8" s="2473"/>
      <c r="G8" s="2473"/>
      <c r="H8" s="799"/>
      <c r="I8" s="799"/>
      <c r="J8" s="799"/>
      <c r="K8" s="799"/>
      <c r="L8" s="799"/>
      <c r="M8" s="799"/>
      <c r="N8" s="799"/>
      <c r="O8" s="799"/>
      <c r="P8" s="799"/>
      <c r="Q8" s="799"/>
      <c r="R8" s="799"/>
    </row>
    <row r="9" spans="1:29" ht="24">
      <c r="A9" s="2440"/>
      <c r="B9" s="323" t="s">
        <v>2266</v>
      </c>
      <c r="C9" s="2466" t="s">
        <v>2267</v>
      </c>
      <c r="D9" s="2463"/>
      <c r="E9" s="2469"/>
      <c r="F9" s="2473"/>
      <c r="G9" s="2473"/>
      <c r="H9" s="799"/>
      <c r="I9" s="799"/>
      <c r="J9" s="799"/>
      <c r="K9" s="799"/>
      <c r="L9" s="799"/>
      <c r="M9" s="799"/>
      <c r="N9" s="799"/>
      <c r="O9" s="799"/>
      <c r="P9" s="799"/>
      <c r="Q9" s="799"/>
      <c r="R9" s="799"/>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9"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9"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851.59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45107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3098</v>
      </c>
      <c r="C5" s="2510">
        <f ca="1">IF(B5=D14,结果表!H102,ROUND(B5*10000/$B$1,0))</f>
        <v>36019</v>
      </c>
      <c r="D5" s="2510" t="e">
        <f ca="1">ROUND(B5*10000/$B$2,0)</f>
        <v>#DIV/0!</v>
      </c>
      <c r="E5" s="2684"/>
      <c r="F5" s="2685"/>
      <c r="G5" s="2685"/>
      <c r="H5" s="2686"/>
      <c r="I5" s="2686"/>
      <c r="J5" s="2686"/>
      <c r="K5" s="2686"/>
    </row>
    <row r="6" spans="1:11" ht="16.5">
      <c r="A6" s="2510" t="s">
        <v>656</v>
      </c>
      <c r="B6" s="2510">
        <f ca="1">SUM(G14:G23)</f>
        <v>3098</v>
      </c>
      <c r="C6" s="2510">
        <f ca="1">IF(B6=G14,结果表!H108,ROUND(B6*10000/$B$1,0))</f>
        <v>36019</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851.59</v>
      </c>
      <c r="C14" s="2516"/>
      <c r="D14" s="2516">
        <f ca="1">典型户型修正!S22</f>
        <v>3098</v>
      </c>
      <c r="E14" s="2516">
        <f ca="1">ROUND(D14*10000/B14,0)</f>
        <v>36379</v>
      </c>
      <c r="F14" s="2516" t="e">
        <f ca="1">ROUND(D14*10000/C14,0)</f>
        <v>#DIV/0!</v>
      </c>
      <c r="G14" s="2516">
        <f ca="1">D14</f>
        <v>3098</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21" t="str">
        <f>项目基本情况!S2</f>
        <v>北京市房地产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2" t="s">
        <v>1265</v>
      </c>
      <c r="B4" s="1753" t="s">
        <v>1266</v>
      </c>
      <c r="C4" s="1754" t="s">
        <v>3474</v>
      </c>
      <c r="D4" s="1754" t="s">
        <v>3393</v>
      </c>
      <c r="E4" s="3630" t="s">
        <v>1267</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624">
        <v>25</v>
      </c>
      <c r="C5" s="3627"/>
      <c r="D5" s="3615"/>
      <c r="E5" s="131" t="s">
        <v>1269</v>
      </c>
      <c r="F5" s="1755"/>
      <c r="G5" s="1755"/>
      <c r="H5" s="1755"/>
      <c r="I5" s="1371"/>
    </row>
    <row r="6" spans="1:12" ht="12.75">
      <c r="A6" s="3569"/>
      <c r="B6" s="3624"/>
      <c r="C6" s="3629"/>
      <c r="D6" s="3615"/>
      <c r="E6" s="131" t="s">
        <v>1270</v>
      </c>
      <c r="F6" s="1755"/>
      <c r="G6" s="1755"/>
      <c r="H6" s="1755"/>
      <c r="I6" s="1371"/>
    </row>
    <row r="7" spans="1:12" ht="12.75">
      <c r="A7" s="3569"/>
      <c r="B7" s="3624"/>
      <c r="C7" s="3628"/>
      <c r="D7" s="3615"/>
      <c r="E7" s="131" t="s">
        <v>1271</v>
      </c>
      <c r="F7" s="1755"/>
      <c r="G7" s="1755"/>
      <c r="H7" s="1755"/>
      <c r="I7" s="1371"/>
    </row>
    <row r="8" spans="1:12" ht="12.75">
      <c r="A8" s="3569" t="s">
        <v>1272</v>
      </c>
      <c r="B8" s="3624">
        <v>15</v>
      </c>
      <c r="C8" s="3627"/>
      <c r="D8" s="3615"/>
      <c r="E8" s="131" t="s">
        <v>1273</v>
      </c>
      <c r="F8" s="1755"/>
      <c r="G8" s="1755"/>
      <c r="H8" s="1755"/>
      <c r="I8" s="1371"/>
    </row>
    <row r="9" spans="1:12" ht="12.75">
      <c r="A9" s="3569"/>
      <c r="B9" s="3624"/>
      <c r="C9" s="3628"/>
      <c r="D9" s="3615"/>
      <c r="E9" s="131" t="s">
        <v>1274</v>
      </c>
      <c r="F9" s="1755"/>
      <c r="G9" s="1755"/>
      <c r="H9" s="1755"/>
      <c r="I9" s="1371"/>
    </row>
    <row r="10" spans="1:12" ht="12.75">
      <c r="A10" s="3569" t="s">
        <v>1275</v>
      </c>
      <c r="B10" s="3624">
        <v>15</v>
      </c>
      <c r="C10" s="3627"/>
      <c r="D10" s="3615"/>
      <c r="E10" s="131" t="s">
        <v>1276</v>
      </c>
      <c r="F10" s="1755"/>
      <c r="G10" s="1755"/>
      <c r="H10" s="1755"/>
      <c r="I10" s="1371"/>
    </row>
    <row r="11" spans="1:12" ht="12.75">
      <c r="A11" s="3569"/>
      <c r="B11" s="3624"/>
      <c r="C11" s="3628"/>
      <c r="D11" s="3615"/>
      <c r="E11" s="131" t="s">
        <v>1277</v>
      </c>
      <c r="F11" s="1755"/>
      <c r="G11" s="1755"/>
      <c r="H11" s="1755"/>
      <c r="I11" s="1371"/>
    </row>
    <row r="12" spans="1:12" ht="12.75">
      <c r="A12" s="3569" t="s">
        <v>1278</v>
      </c>
      <c r="B12" s="3624">
        <v>15</v>
      </c>
      <c r="C12" s="3627"/>
      <c r="D12" s="3615"/>
      <c r="E12" s="131" t="s">
        <v>1279</v>
      </c>
      <c r="F12" s="1755"/>
      <c r="G12" s="1755"/>
      <c r="H12" s="1755"/>
      <c r="I12" s="1371"/>
    </row>
    <row r="13" spans="1:12" ht="12.75">
      <c r="A13" s="3569"/>
      <c r="B13" s="3624"/>
      <c r="C13" s="3628"/>
      <c r="D13" s="3615"/>
      <c r="E13" s="131" t="s">
        <v>1280</v>
      </c>
      <c r="F13" s="1755"/>
      <c r="G13" s="1755"/>
      <c r="H13" s="1755"/>
      <c r="I13" s="1371"/>
    </row>
    <row r="14" spans="1:12" ht="12.75">
      <c r="A14" s="3569" t="s">
        <v>1281</v>
      </c>
      <c r="B14" s="3624">
        <v>30</v>
      </c>
      <c r="C14" s="3627">
        <v>7</v>
      </c>
      <c r="D14" s="3615">
        <v>3</v>
      </c>
      <c r="E14" s="131" t="s">
        <v>1282</v>
      </c>
      <c r="F14" s="1755"/>
      <c r="G14" s="1755"/>
      <c r="H14" s="1755"/>
      <c r="I14" s="1371"/>
    </row>
    <row r="15" spans="1:12" ht="12.75">
      <c r="A15" s="3569"/>
      <c r="B15" s="3624"/>
      <c r="C15" s="3629"/>
      <c r="D15" s="3615"/>
      <c r="E15" s="131" t="s">
        <v>1283</v>
      </c>
      <c r="F15" s="1755"/>
      <c r="G15" s="1755"/>
      <c r="H15" s="1755"/>
      <c r="I15" s="1371"/>
    </row>
    <row r="16" spans="1:12" ht="12.75">
      <c r="A16" s="3569"/>
      <c r="B16" s="3624"/>
      <c r="C16" s="3628"/>
      <c r="D16" s="3615"/>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646" t="s">
        <v>2130</v>
      </c>
      <c r="F18" s="3647"/>
      <c r="G18" s="3647"/>
      <c r="H18" s="3647"/>
      <c r="I18" s="3647"/>
      <c r="K18" s="302" t="s">
        <v>1289</v>
      </c>
      <c r="L18" s="302">
        <f>IF(C1="",'数据-汇总表'!E3,SUMIF(项目类型,C1,'数据-汇总表'!E17:E26)+SUMIF(项目类型,C1,'数据-汇总表'!I17:I26))</f>
        <v>107.22</v>
      </c>
      <c r="M18" s="302">
        <f>IF(C1="",'数据-汇总表'!E3,SUMIF(项目类型,C1,'数据-汇总表'!E17:E26))</f>
        <v>107.22</v>
      </c>
    </row>
    <row r="19" spans="1:36" ht="15">
      <c r="A19" s="1759" t="s">
        <v>1290</v>
      </c>
      <c r="B19" s="1760" t="s">
        <v>1291</v>
      </c>
      <c r="C19" s="134">
        <f ca="1">SUMIF(INDIRECT("'"&amp;C4&amp;"'"&amp;"!A:A"),结果表!B19,INDIRECT("'"&amp;C4&amp;"'"&amp;"!B:B"))</f>
        <v>420.38819999999998</v>
      </c>
      <c r="D19" s="135">
        <f ca="1">SUMIF(INDIRECT("'"&amp;D4&amp;"'"&amp;"!A:A"),结果表!B19,INDIRECT("'"&amp;D4&amp;"'"&amp;"!B:B"))</f>
        <v>306.40210000000002</v>
      </c>
      <c r="E19" s="1759" t="s">
        <v>1292</v>
      </c>
      <c r="F19" s="1760" t="s">
        <v>1291</v>
      </c>
      <c r="G19" s="136">
        <f ca="1">ROUND(C19*$C$18+D19*$D$18,0)</f>
        <v>386</v>
      </c>
      <c r="H19" s="1761" t="s">
        <v>1293</v>
      </c>
      <c r="I19" s="129"/>
      <c r="K19" s="302" t="s">
        <v>1294</v>
      </c>
      <c r="L19" s="302">
        <f>IF(C1="",'数据-汇总表'!D3,SUMIF(项目类型,C1,'数据-汇总表'!D17:D26)+SUMIF(项目类型,C1,'数据-汇总表'!H17:H27))</f>
        <v>11.01</v>
      </c>
      <c r="M19" s="302">
        <f>IF(C1="",'数据-汇总表'!D3,SUMIF(项目类型,C1,'数据-汇总表'!D17:D26))</f>
        <v>11.01</v>
      </c>
    </row>
    <row r="20" spans="1:36" ht="15">
      <c r="A20" s="1762"/>
      <c r="B20" s="1024" t="s">
        <v>1295</v>
      </c>
      <c r="C20" s="137">
        <f ca="1">SUMIF(INDIRECT("'"&amp;C4&amp;"'"&amp;"!A:A"),结果表!B20,INDIRECT("'"&amp;C4&amp;"'"&amp;"!B:B"))</f>
        <v>39208</v>
      </c>
      <c r="D20" s="138">
        <f ca="1">SUMIF(INDIRECT("'"&amp;D4&amp;"'"&amp;"!A:A"),结果表!B20,INDIRECT("'"&amp;D4&amp;"'"&amp;"!B:B"))</f>
        <v>28577</v>
      </c>
      <c r="E20" s="1762"/>
      <c r="F20" s="1024" t="s">
        <v>1295</v>
      </c>
      <c r="G20" s="139">
        <f ca="1">ROUND(C20*$C$18+D20*$D$18,0)</f>
        <v>36019</v>
      </c>
      <c r="H20" s="808" t="s">
        <v>1296</v>
      </c>
      <c r="I20" s="129"/>
    </row>
    <row r="21" spans="1:36" ht="15" customHeight="1" thickBot="1">
      <c r="A21" s="828"/>
      <c r="B21" s="1763" t="s">
        <v>1297</v>
      </c>
      <c r="C21" s="719">
        <f ca="1">ROUND(C19*10000/L19,0)</f>
        <v>381824</v>
      </c>
      <c r="D21" s="720">
        <f ca="1">ROUND(D19*10000/L19,0)</f>
        <v>278294</v>
      </c>
      <c r="E21" s="828"/>
      <c r="F21" s="1763" t="s">
        <v>1297</v>
      </c>
      <c r="G21" s="140">
        <f ca="1">ROUND(G19*10000/L19,0)</f>
        <v>350590</v>
      </c>
      <c r="H21" s="1764" t="s">
        <v>1296</v>
      </c>
      <c r="I21" s="129"/>
    </row>
    <row r="22" spans="1:36" ht="15" thickBot="1">
      <c r="A22" s="1686" t="s">
        <v>1298</v>
      </c>
      <c r="B22" s="1765"/>
      <c r="C22" s="1766"/>
      <c r="D22" s="721">
        <f ca="1">IF(C19&lt;D19,D19/C19-1,C19/D19-1)</f>
        <v>0.37201474794069611</v>
      </c>
      <c r="E22" s="129"/>
      <c r="F22" s="129"/>
      <c r="G22" s="129"/>
      <c r="H22" s="129"/>
      <c r="I22" s="129"/>
    </row>
    <row r="23" spans="1:36" ht="13.5" thickBot="1">
      <c r="A23" s="1745"/>
      <c r="B23" s="1745"/>
      <c r="C23" s="1745"/>
      <c r="D23" s="1745"/>
      <c r="E23" s="129"/>
      <c r="F23" s="129"/>
      <c r="G23" s="129"/>
      <c r="H23" s="129"/>
      <c r="I23" s="129"/>
    </row>
    <row r="24" spans="1:36" ht="14.25">
      <c r="A24" s="3639" t="s">
        <v>1299</v>
      </c>
      <c r="B24" s="1760" t="s">
        <v>1291</v>
      </c>
      <c r="C24" s="136">
        <f>IF(B30=0,0,D30)</f>
        <v>0</v>
      </c>
      <c r="D24" s="1767"/>
      <c r="E24" s="129"/>
      <c r="F24" s="129"/>
      <c r="G24" s="129"/>
      <c r="H24" s="129"/>
      <c r="I24" s="129"/>
    </row>
    <row r="25" spans="1:36" ht="14.25">
      <c r="A25" s="3640"/>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36019</v>
      </c>
      <c r="D32" s="1773" t="s">
        <v>3430</v>
      </c>
      <c r="E32" s="129"/>
      <c r="F32" s="129"/>
      <c r="G32" s="129"/>
      <c r="H32" s="129"/>
      <c r="I32" s="129"/>
    </row>
    <row r="33" spans="1:15" ht="15">
      <c r="A33" s="786" t="s">
        <v>1306</v>
      </c>
      <c r="B33" s="1774"/>
      <c r="C33" s="1775" t="s">
        <v>3431</v>
      </c>
      <c r="D33" s="1776" t="s">
        <v>3399</v>
      </c>
      <c r="E33" s="1777" t="s">
        <v>1307</v>
      </c>
      <c r="F33" s="1778" t="str">
        <f>IF(D32="楼面单价","取值（单价）","取值（总价）")</f>
        <v>取值（单价）</v>
      </c>
      <c r="G33" s="129"/>
      <c r="H33" s="129"/>
      <c r="I33" s="129"/>
    </row>
    <row r="34" spans="1:15" ht="15">
      <c r="A34" s="1779"/>
      <c r="B34" s="1780" t="s">
        <v>1308</v>
      </c>
      <c r="C34" s="148" t="e">
        <f ca="1">IF(C33="自定义",F34,C32-C35)</f>
        <v>#DIV/0!</v>
      </c>
      <c r="D34" s="861" t="e">
        <f ca="1">IF(C33="自定义",ROUND(C34/C32,3),IF(C33="收益比率",SUMIF(INDIRECT("'"&amp;D33&amp;"'"&amp;"!b:b"),"土地收益比率",INDIRECT("'"&amp;D33&amp;"'"&amp;"!c:c")),SUMIF(INDIRECT("'"&amp;D33&amp;"'"&amp;"!b:b"),"土地成本比率",INDIRECT("'"&amp;D33&amp;"'"&amp;"!c:c"))))</f>
        <v>#DIV/0!</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#DIV/0!</v>
      </c>
      <c r="E35" s="1784" t="s">
        <v>1311</v>
      </c>
      <c r="F35" s="154"/>
      <c r="G35" s="129"/>
      <c r="H35" s="129"/>
      <c r="I35" s="129"/>
    </row>
    <row r="36" spans="1:15" ht="15.75" thickBot="1">
      <c r="A36" s="3616" t="s">
        <v>1312</v>
      </c>
      <c r="B36" s="1785" t="s">
        <v>1313</v>
      </c>
      <c r="C36" s="145"/>
      <c r="D36" s="1786"/>
      <c r="E36" s="1787"/>
      <c r="F36" s="1788"/>
      <c r="G36" s="129"/>
      <c r="H36" s="129"/>
      <c r="I36" s="129"/>
    </row>
    <row r="37" spans="1:15" ht="15.75" thickBot="1">
      <c r="A37" s="3617"/>
      <c r="B37" s="1672" t="s">
        <v>1314</v>
      </c>
      <c r="C37" s="147"/>
      <c r="D37" s="1137"/>
      <c r="E37" s="1137"/>
      <c r="F37" s="1788"/>
      <c r="G37" s="129"/>
      <c r="H37" s="129"/>
      <c r="I37" s="129"/>
    </row>
    <row r="38" spans="1:15" ht="15.75" thickBot="1">
      <c r="A38" s="3618"/>
      <c r="B38" s="1789" t="s">
        <v>1315</v>
      </c>
      <c r="C38" s="674"/>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6" t="s">
        <v>1326</v>
      </c>
      <c r="B45" s="3637"/>
      <c r="C45" s="3638"/>
      <c r="D45" s="155">
        <f ca="1">ROUND(H101*F45,0)</f>
        <v>386</v>
      </c>
      <c r="E45" s="156" t="s">
        <v>1327</v>
      </c>
      <c r="F45" s="157">
        <v>1</v>
      </c>
      <c r="G45" s="158" t="s">
        <v>1328</v>
      </c>
      <c r="H45" s="129"/>
      <c r="I45" s="129"/>
      <c r="J45" s="3556" t="s">
        <v>1329</v>
      </c>
      <c r="K45" s="3556"/>
      <c r="L45" s="3556"/>
      <c r="M45" s="3556"/>
      <c r="N45" s="3556"/>
      <c r="O45" s="3556"/>
    </row>
    <row r="46" spans="1:15" ht="14.25" customHeight="1">
      <c r="A46" s="3633" t="s">
        <v>1330</v>
      </c>
      <c r="B46" s="3634"/>
      <c r="C46" s="3634"/>
      <c r="D46" s="3634"/>
      <c r="E46" s="3634"/>
      <c r="F46" s="3634"/>
      <c r="G46" s="3635"/>
      <c r="H46" s="1804"/>
      <c r="I46" s="159"/>
      <c r="J46" s="2521">
        <v>1</v>
      </c>
      <c r="K46" s="3557" t="s">
        <v>1331</v>
      </c>
      <c r="L46" s="3557"/>
      <c r="M46" s="3558"/>
      <c r="N46" s="3558"/>
      <c r="O46" s="3558"/>
    </row>
    <row r="47" spans="1:15" ht="12" customHeight="1">
      <c r="A47" s="160" t="s">
        <v>1332</v>
      </c>
      <c r="B47" s="161"/>
      <c r="C47" s="162"/>
      <c r="D47" s="1085" t="s">
        <v>1333</v>
      </c>
      <c r="E47" s="302" t="s">
        <v>1334</v>
      </c>
      <c r="F47" s="163" t="s">
        <v>1335</v>
      </c>
      <c r="G47" s="2544" t="s">
        <v>1336</v>
      </c>
      <c r="H47" s="2545"/>
      <c r="I47" s="159"/>
      <c r="J47" s="2521">
        <v>2</v>
      </c>
      <c r="K47" s="3557" t="s">
        <v>1337</v>
      </c>
      <c r="L47" s="3557"/>
      <c r="M47" s="3559">
        <f>'数据-取费表'!B2</f>
        <v>45107</v>
      </c>
      <c r="N47" s="3559"/>
      <c r="O47" s="3559"/>
    </row>
    <row r="48" spans="1:15" ht="25.5">
      <c r="A48" s="3619" t="s">
        <v>1338</v>
      </c>
      <c r="B48" s="3620"/>
      <c r="C48" s="3620"/>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57" t="s">
        <v>1340</v>
      </c>
      <c r="L48" s="3557"/>
      <c r="M48" s="3560">
        <f ca="1">H101</f>
        <v>386</v>
      </c>
      <c r="N48" s="3560"/>
      <c r="O48" s="3560"/>
    </row>
    <row r="49" spans="1:35" ht="25.5" customHeight="1">
      <c r="A49" s="2331" t="s">
        <v>1341</v>
      </c>
      <c r="B49" s="3605" t="s">
        <v>1342</v>
      </c>
      <c r="C49" s="3605"/>
      <c r="D49" s="1588">
        <v>0</v>
      </c>
      <c r="E49" s="324" t="s">
        <v>1343</v>
      </c>
      <c r="F49" s="2422" t="s">
        <v>28</v>
      </c>
      <c r="G49" s="3588"/>
      <c r="H49" s="2308" t="s">
        <v>2133</v>
      </c>
      <c r="I49" s="2309"/>
      <c r="J49" s="2521">
        <v>4</v>
      </c>
      <c r="K49" s="3557" t="str">
        <f>IF(项目基本情况!E8="房地产抵押价值","房地产抵押价值","抵押担保权已注销时的房地产抵押价值")</f>
        <v>房地产抵押价值</v>
      </c>
      <c r="L49" s="3557"/>
      <c r="M49" s="3560">
        <f ca="1">IF(项目基本情况!E8="房地产抵押价值",H107,H109)</f>
        <v>386</v>
      </c>
      <c r="N49" s="3560"/>
      <c r="O49" s="3560"/>
    </row>
    <row r="50" spans="1:35" ht="25.5" customHeight="1">
      <c r="A50" s="2549"/>
      <c r="B50" s="3605" t="s">
        <v>1344</v>
      </c>
      <c r="C50" s="3605"/>
      <c r="D50" s="2550"/>
      <c r="E50" s="332"/>
      <c r="F50" s="2422"/>
      <c r="G50" s="3589"/>
      <c r="H50" s="2310" t="s">
        <v>2134</v>
      </c>
      <c r="I50" s="2309"/>
      <c r="J50" s="3556" t="s">
        <v>1345</v>
      </c>
      <c r="K50" s="3556"/>
      <c r="L50" s="3556"/>
      <c r="M50" s="3556"/>
      <c r="N50" s="3556"/>
      <c r="O50" s="3556"/>
    </row>
    <row r="51" spans="1:35" ht="20.45" customHeight="1">
      <c r="A51" s="2551"/>
      <c r="B51" s="3605" t="s">
        <v>1346</v>
      </c>
      <c r="C51" s="3605"/>
      <c r="D51" s="1085"/>
      <c r="E51" s="327"/>
      <c r="F51" s="2422"/>
      <c r="G51" s="3590"/>
      <c r="H51" s="2310" t="s">
        <v>2135</v>
      </c>
      <c r="I51" s="2309"/>
      <c r="J51" s="2522" t="s">
        <v>1347</v>
      </c>
      <c r="K51" s="3557" t="s">
        <v>1348</v>
      </c>
      <c r="L51" s="3557"/>
      <c r="M51" s="2522" t="s">
        <v>1349</v>
      </c>
      <c r="N51" s="2522" t="s">
        <v>1350</v>
      </c>
      <c r="O51" s="2522" t="s">
        <v>1351</v>
      </c>
    </row>
    <row r="52" spans="1:35" ht="24" customHeight="1">
      <c r="A52" s="2333" t="s">
        <v>1352</v>
      </c>
      <c r="B52" s="3605" t="s">
        <v>1353</v>
      </c>
      <c r="C52" s="3605"/>
      <c r="D52" s="1085">
        <f ca="1">ROUND(D45*'数据-取费表'!B41/(1+'数据-取费表'!C42),0)</f>
        <v>21</v>
      </c>
      <c r="E52" s="2332" t="s">
        <v>1354</v>
      </c>
      <c r="F52" s="2552">
        <f>'数据-取费表'!B41</f>
        <v>5.6000000000000001E-2</v>
      </c>
      <c r="G52" s="2553"/>
      <c r="H52" s="2542"/>
      <c r="I52" s="1805"/>
      <c r="J52" s="2521">
        <v>1</v>
      </c>
      <c r="K52" s="3582" t="s">
        <v>1355</v>
      </c>
      <c r="L52" s="3582"/>
      <c r="M52" s="2523" t="b">
        <f>D48</f>
        <v>0</v>
      </c>
      <c r="N52" s="2521" t="str">
        <f>E48</f>
        <v>销售额×税（费）率</v>
      </c>
      <c r="O52" s="2524">
        <f>F48</f>
        <v>5.6000000000000001E-2</v>
      </c>
    </row>
    <row r="53" spans="1:35" ht="12" customHeight="1">
      <c r="A53" s="2333" t="s">
        <v>1356</v>
      </c>
      <c r="B53" s="3606" t="s">
        <v>2290</v>
      </c>
      <c r="C53" s="3607"/>
      <c r="D53" s="1085">
        <f ca="1">ROUND(D45*'数据-取费表'!B41/(1+'数据-取费表'!C42),0)</f>
        <v>21</v>
      </c>
      <c r="E53" s="2332" t="s">
        <v>1354</v>
      </c>
      <c r="F53" s="2552">
        <f>'数据-取费表'!B41</f>
        <v>5.6000000000000001E-2</v>
      </c>
      <c r="G53" s="2553"/>
      <c r="H53" s="2542"/>
      <c r="I53" s="1805"/>
      <c r="J53" s="2521">
        <v>2</v>
      </c>
      <c r="K53" s="3582" t="s">
        <v>1357</v>
      </c>
      <c r="L53" s="3582"/>
      <c r="M53" s="2523">
        <f t="shared" ref="M53:O54" ca="1" si="0">D55</f>
        <v>0</v>
      </c>
      <c r="N53" s="2521" t="str">
        <f t="shared" si="0"/>
        <v>销售额×税（费）率</v>
      </c>
      <c r="O53" s="2524" t="str">
        <f t="shared" si="0"/>
        <v>免征</v>
      </c>
    </row>
    <row r="54" spans="1:35" ht="12" customHeight="1">
      <c r="A54" s="2333" t="s">
        <v>1358</v>
      </c>
      <c r="B54" s="3606" t="s">
        <v>2291</v>
      </c>
      <c r="C54" s="3607"/>
      <c r="D54" s="1085">
        <f ca="1">C68</f>
        <v>21</v>
      </c>
      <c r="E54" s="327" t="s">
        <v>1359</v>
      </c>
      <c r="F54" s="2552">
        <f>'数据-取费表'!B41</f>
        <v>5.6000000000000001E-2</v>
      </c>
      <c r="G54" s="2553"/>
      <c r="H54" s="2554"/>
      <c r="I54" s="1805"/>
      <c r="J54" s="2521">
        <v>3</v>
      </c>
      <c r="K54" s="3582" t="s">
        <v>1360</v>
      </c>
      <c r="L54" s="3582"/>
      <c r="M54" s="2523">
        <f t="shared" ca="1" si="0"/>
        <v>219</v>
      </c>
      <c r="N54" s="2521" t="str">
        <f t="shared" si="0"/>
        <v>增值额×税（费）率</v>
      </c>
      <c r="O54" s="2525" t="str">
        <f t="shared" si="0"/>
        <v>免征</v>
      </c>
    </row>
    <row r="55" spans="1:35" ht="24" customHeight="1">
      <c r="A55" s="3642" t="s">
        <v>1361</v>
      </c>
      <c r="B55" s="3620"/>
      <c r="C55" s="3620"/>
      <c r="D55" s="2322">
        <f ca="1">IF(H55="个人住宅",0,ROUND(D45*I55,0))</f>
        <v>0</v>
      </c>
      <c r="E55" s="2332" t="s">
        <v>1362</v>
      </c>
      <c r="F55" s="2552" t="str">
        <f>IF(H55="正常",I55,"免征")</f>
        <v>免征</v>
      </c>
      <c r="G55" s="2553"/>
      <c r="H55" s="2548"/>
      <c r="I55" s="165">
        <f>'数据-取费表'!B49</f>
        <v>5.0000000000000001E-4</v>
      </c>
      <c r="J55" s="2521">
        <f>IF(H59="非个人房产","",4)</f>
        <v>4</v>
      </c>
      <c r="K55" s="3582" t="str">
        <f>IF(H59="非个人房产","——","个人所得税")</f>
        <v>个人所得税</v>
      </c>
      <c r="L55" s="3582"/>
      <c r="M55" s="2526">
        <f ca="1">D59</f>
        <v>4</v>
      </c>
      <c r="N55" s="2038" t="str">
        <f>E59</f>
        <v>差额计税</v>
      </c>
      <c r="O55" s="2527">
        <f>F59</f>
        <v>0.01</v>
      </c>
    </row>
    <row r="56" spans="1:35" ht="24.75">
      <c r="A56" s="3642" t="s">
        <v>1363</v>
      </c>
      <c r="B56" s="3620"/>
      <c r="C56" s="3620"/>
      <c r="D56" s="2322">
        <f ca="1">IF(H56="个人住宅",D57,D58)</f>
        <v>219</v>
      </c>
      <c r="E56" s="2332" t="s">
        <v>1364</v>
      </c>
      <c r="F56" s="2552" t="str">
        <f>IF(H56="正常",F58,"免征")</f>
        <v>免征</v>
      </c>
      <c r="G56" s="2555" t="s">
        <v>1365</v>
      </c>
      <c r="H56" s="2556"/>
      <c r="I56" s="1806"/>
      <c r="J56" s="2521" t="str">
        <f>IF(项目基本情况!K6="上海银行",IF(J55="",4,J55+1),"")</f>
        <v/>
      </c>
      <c r="K56" s="3563" t="str">
        <f>IF(项目基本情况!K6="上海银行","其他处置费用","")</f>
        <v/>
      </c>
      <c r="L56" s="3564"/>
      <c r="M56" s="2523" t="str">
        <f>IF(项目基本情况!K6="上海银行",M69,"")</f>
        <v/>
      </c>
      <c r="N56" s="3563" t="str">
        <f>IF(项目基本情况!K6="上海银行","包含处置中涉及的律师、诉讼、拍卖、评估等费用","")</f>
        <v/>
      </c>
      <c r="O56" s="3566"/>
    </row>
    <row r="57" spans="1:35" ht="12.75">
      <c r="A57" s="2333" t="s">
        <v>1341</v>
      </c>
      <c r="B57" s="3606" t="s">
        <v>1366</v>
      </c>
      <c r="C57" s="3607"/>
      <c r="D57" s="1588">
        <v>0</v>
      </c>
      <c r="E57" s="324" t="s">
        <v>1343</v>
      </c>
      <c r="F57" s="302"/>
      <c r="G57" s="2553"/>
      <c r="H57" s="2557"/>
      <c r="I57" s="1806"/>
      <c r="J57" s="3582">
        <f>IF(AND(J55="",J56=""),4,IF(项目基本情况!K6="上海银行",结果表!J56+1,结果表!J55+1))</f>
        <v>5</v>
      </c>
      <c r="K57" s="3582" t="s">
        <v>1367</v>
      </c>
      <c r="L57" s="2528" t="s">
        <v>1368</v>
      </c>
      <c r="M57" s="2529"/>
      <c r="N57" s="2530">
        <f ca="1">SUMIF(M52:M56,"&lt;9e307")</f>
        <v>223</v>
      </c>
      <c r="O57" s="2531"/>
      <c r="P57" s="2688">
        <f ca="1">N57/M49</f>
        <v>0.57772020725388606</v>
      </c>
    </row>
    <row r="58" spans="1:35" ht="24.75">
      <c r="A58" s="2333" t="s">
        <v>1352</v>
      </c>
      <c r="B58" s="3606" t="s">
        <v>1369</v>
      </c>
      <c r="C58" s="3605"/>
      <c r="D58" s="2322">
        <f ca="1">IF(H58="转让取得",C81,C97)</f>
        <v>219</v>
      </c>
      <c r="E58" s="2332" t="s">
        <v>1364</v>
      </c>
      <c r="F58" s="302" t="s">
        <v>28</v>
      </c>
      <c r="G58" s="2553"/>
      <c r="H58" s="2556"/>
      <c r="I58" s="1806"/>
      <c r="J58" s="3582"/>
      <c r="K58" s="3582"/>
      <c r="L58" s="2528" t="s">
        <v>1370</v>
      </c>
      <c r="M58" s="2532"/>
      <c r="N58" s="2533" t="str">
        <f ca="1">NUMBERSTRING(INT(N57*10000),2)&amp;"元整"</f>
        <v>贰佰贰拾叁万元整</v>
      </c>
      <c r="O58" s="2534"/>
    </row>
    <row r="59" spans="1:35" ht="24.75" thickBot="1">
      <c r="A59" s="3586" t="s">
        <v>1371</v>
      </c>
      <c r="B59" s="3587"/>
      <c r="C59" s="3587"/>
      <c r="D59" s="2558">
        <f ca="1">IF(H59="非个人房产","——",IF(H59="个人住宅（满五唯一有凭证）",0,IF(H59="个人其他（无凭证）",ROUND(D45*F59,0),ROUND(C67*F59,0))))</f>
        <v>4</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84">
        <f>J57+1</f>
        <v>6</v>
      </c>
      <c r="K59" s="3582" t="s">
        <v>1372</v>
      </c>
      <c r="L59" s="2521" t="s">
        <v>1368</v>
      </c>
      <c r="M59" s="2535"/>
      <c r="N59" s="2536">
        <f ca="1">M49-N57</f>
        <v>163</v>
      </c>
      <c r="O59" s="2537"/>
    </row>
    <row r="60" spans="1:35" ht="12" customHeight="1">
      <c r="A60" s="1807"/>
      <c r="B60" s="1745"/>
      <c r="C60" s="1745"/>
      <c r="D60" s="1745"/>
      <c r="E60" s="1576"/>
      <c r="F60" s="1806"/>
      <c r="G60" s="1806"/>
      <c r="H60" s="1808"/>
      <c r="I60" s="129"/>
      <c r="J60" s="3585"/>
      <c r="K60" s="3582"/>
      <c r="L60" s="2528" t="s">
        <v>1370</v>
      </c>
      <c r="M60" s="2532"/>
      <c r="N60" s="2533" t="str">
        <f ca="1">NUMBERSTRING(INT(N59*10000),2)&amp;"元整"</f>
        <v>壹佰陆拾叁万元整</v>
      </c>
      <c r="O60" s="2534"/>
    </row>
    <row r="61" spans="1:35" ht="13.5" thickBot="1">
      <c r="A61" s="3641" t="s">
        <v>1373</v>
      </c>
      <c r="B61" s="3641"/>
      <c r="C61" s="3641"/>
      <c r="D61" s="3641"/>
      <c r="E61" s="3641"/>
      <c r="F61" s="1806"/>
      <c r="G61" s="1806"/>
      <c r="H61" s="1808"/>
      <c r="I61" s="129"/>
      <c r="J61" s="2521">
        <f>J59+1</f>
        <v>7</v>
      </c>
      <c r="K61" s="3582" t="s">
        <v>1374</v>
      </c>
      <c r="L61" s="3582"/>
      <c r="M61" s="2538"/>
      <c r="N61" s="2539">
        <f ca="1">ROUND(N59*10000/'数据-汇总表'!E3,0)</f>
        <v>15202</v>
      </c>
      <c r="O61" s="2540"/>
    </row>
    <row r="62" spans="1:35" ht="12.75">
      <c r="A62" s="3601" t="s">
        <v>1375</v>
      </c>
      <c r="B62" s="3602"/>
      <c r="C62" s="2019"/>
      <c r="D62" s="2019" t="s">
        <v>1376</v>
      </c>
      <c r="E62" s="166" t="s">
        <v>1377</v>
      </c>
      <c r="F62" s="1806"/>
      <c r="G62" s="1806"/>
      <c r="H62" s="1808"/>
      <c r="I62" s="129"/>
    </row>
    <row r="63" spans="1:35" ht="12.75">
      <c r="A63" s="173" t="s">
        <v>330</v>
      </c>
      <c r="B63" s="167" t="s">
        <v>1378</v>
      </c>
      <c r="C63" s="2562">
        <f ca="1">ROUND((C64+C65)/(1+'数据-取费表'!C42),0)</f>
        <v>368</v>
      </c>
      <c r="D63" s="167"/>
      <c r="E63" s="168"/>
      <c r="F63" s="1806"/>
      <c r="G63" s="1806"/>
      <c r="H63" s="1808"/>
      <c r="I63" s="129"/>
      <c r="J63" s="3565" t="s">
        <v>1379</v>
      </c>
      <c r="K63" s="1330" t="s">
        <v>1380</v>
      </c>
      <c r="L63" s="1330">
        <f ca="1">IF(M49&gt;10000,M49*0.5%,IF(AND(M49&gt;1000,M49&lt;=10000),M49*1%,IF(AND(M49&gt;100,M49&lt;=1000),M49*3%,IF(AND(M49&gt;10,M49&lt;=100),M49*5%,M49*8%))))</f>
        <v>11.58</v>
      </c>
      <c r="M63" s="302">
        <f ca="1">ROUND(L63,1)</f>
        <v>11.6</v>
      </c>
      <c r="N63" s="2541"/>
      <c r="Z63" s="1750"/>
      <c r="AI63" s="1751"/>
    </row>
    <row r="64" spans="1:35" ht="14.25" customHeight="1">
      <c r="A64" s="169" t="s">
        <v>325</v>
      </c>
      <c r="B64" s="170" t="s">
        <v>1381</v>
      </c>
      <c r="C64" s="2563">
        <f ca="1">D45</f>
        <v>386</v>
      </c>
      <c r="D64" s="170" t="s">
        <v>26</v>
      </c>
      <c r="E64" s="172"/>
      <c r="F64" s="1806"/>
      <c r="G64" s="1806"/>
      <c r="H64" s="1808"/>
      <c r="I64" s="129"/>
      <c r="J64" s="3565"/>
      <c r="K64" s="1330" t="s">
        <v>1382</v>
      </c>
      <c r="L64" s="1330">
        <f ca="1">IF(M49&gt;2000,M49*0.5%,IF(AND(M49&gt;1000,M49&lt;=2000),M49*0.6%,IF(AND(M49&gt;500,M49&lt;=1000),M49*0.7%,IF(AND(M49&gt;200,M49&lt;=500),M49*0.8%,IF(AND(M49&gt;100,M49&lt;=200),M49*0.9%,IF(AND(M49&gt;50,M49&lt;=100),M49*1%,IF(AND(M49&gt;20,M49&lt;=50),M49*1.5%,IF(AND(M49&gt;10,M49&lt;=20),M49*2%,IF(AND(M49&gt;1,M49&lt;=10),M49*2.5%)))))))))</f>
        <v>3.0880000000000001</v>
      </c>
      <c r="M64" s="302">
        <f t="shared" ref="M64:M65" ca="1" si="1">ROUND(L64,1)</f>
        <v>3.1</v>
      </c>
      <c r="N64" s="2542" t="s">
        <v>1383</v>
      </c>
      <c r="Z64" s="1750"/>
      <c r="AI64" s="1751"/>
    </row>
    <row r="65" spans="1:35" ht="14.25" customHeight="1">
      <c r="A65" s="169" t="s">
        <v>326</v>
      </c>
      <c r="B65" s="170" t="s">
        <v>1384</v>
      </c>
      <c r="C65" s="2564"/>
      <c r="D65" s="170"/>
      <c r="E65" s="172"/>
      <c r="F65" s="1806"/>
      <c r="G65" s="1806"/>
      <c r="H65" s="1808"/>
      <c r="I65" s="129"/>
      <c r="J65" s="3565"/>
      <c r="K65" s="1330" t="s">
        <v>1385</v>
      </c>
      <c r="L65" s="1330">
        <f ca="1">IF(M49&gt;1000,M49*0.1%,IF(AND(M49&gt;500,M49&lt;=1000),M49*0.5%,IF(AND(M49&gt;50,M49&lt;=500),M49*1%,IF(AND(M49&gt;1,M49&lt;=50),M49*1.5%))))</f>
        <v>3.86</v>
      </c>
      <c r="M65" s="302">
        <f t="shared" ca="1" si="1"/>
        <v>3.9</v>
      </c>
      <c r="N65" s="2542" t="s">
        <v>1383</v>
      </c>
      <c r="Z65" s="1750"/>
      <c r="AI65" s="1751"/>
    </row>
    <row r="66" spans="1:35" ht="14.25" customHeight="1">
      <c r="A66" s="173" t="s">
        <v>327</v>
      </c>
      <c r="B66" s="174" t="s">
        <v>1386</v>
      </c>
      <c r="C66" s="2565"/>
      <c r="D66" s="174" t="s">
        <v>26</v>
      </c>
      <c r="E66" s="1336" t="s">
        <v>671</v>
      </c>
      <c r="F66" s="1806"/>
      <c r="G66" s="1806"/>
      <c r="H66" s="1808"/>
      <c r="I66" s="129"/>
      <c r="J66" s="3565"/>
      <c r="K66" s="1330" t="s">
        <v>1387</v>
      </c>
      <c r="L66" s="1330">
        <f ca="1">M49*0.5%</f>
        <v>1.93</v>
      </c>
      <c r="M66" s="302">
        <f ca="1">IF(L66&gt;0.5,0.5,ROUND(L66,0))</f>
        <v>0.5</v>
      </c>
      <c r="N66" s="2542" t="s">
        <v>1388</v>
      </c>
      <c r="Z66" s="1750"/>
      <c r="AI66" s="1751"/>
    </row>
    <row r="67" spans="1:35" ht="14.25" customHeight="1">
      <c r="A67" s="173" t="s">
        <v>328</v>
      </c>
      <c r="B67" s="174" t="s">
        <v>1389</v>
      </c>
      <c r="C67" s="2566">
        <f ca="1">C63-C66</f>
        <v>368</v>
      </c>
      <c r="D67" s="170" t="s">
        <v>26</v>
      </c>
      <c r="E67" s="172"/>
      <c r="F67" s="1806"/>
      <c r="G67" s="1806"/>
      <c r="H67" s="1808"/>
      <c r="I67" s="129"/>
      <c r="J67" s="3565"/>
      <c r="K67" s="1330" t="s">
        <v>1390</v>
      </c>
      <c r="L67" s="1330">
        <f ca="1">IF(M49&gt;=10000,(8.25+(M49-10000)*0.01%),IF(AND(M49&gt;=8000,M49&lt;10000),(7.85+(M49-8000)*0.02%),IF(AND(M49&gt;=5000,M49&lt;8000),(6.65+(M49-5000)*0.04%),IF(AND(M49&gt;=2000,M49&lt;5000),(4.25+(PM49-2000)*0.08%),IF(AND(M49&gt;=1000,M49&lt;2000),(2.75+(M49-1000)*0.15%),IF(AND(M49&gt;=100,M49&lt;1000),(0.5+(M49-100)*0.25%),IF(AND(M49&gt;0,M49&lt;100),M49*0.5%)))))))</f>
        <v>1.2149999999999999</v>
      </c>
      <c r="M67" s="302">
        <f ca="1">ROUND(L67*0.9,1)</f>
        <v>1.1000000000000001</v>
      </c>
      <c r="N67" s="2541"/>
      <c r="Z67" s="1750"/>
      <c r="AI67" s="1751"/>
    </row>
    <row r="68" spans="1:35" ht="14.25" customHeight="1" thickBot="1">
      <c r="A68" s="176" t="s">
        <v>329</v>
      </c>
      <c r="B68" s="177" t="s">
        <v>1391</v>
      </c>
      <c r="C68" s="2567">
        <f ca="1">IF(C67&lt;=0,0,ROUND(C67*D68,0))</f>
        <v>21</v>
      </c>
      <c r="D68" s="2568">
        <f>'数据-取费表'!B41</f>
        <v>5.6000000000000001E-2</v>
      </c>
      <c r="E68" s="178"/>
      <c r="F68" s="1806"/>
      <c r="G68" s="1806"/>
      <c r="H68" s="1808"/>
      <c r="I68" s="129"/>
      <c r="J68" s="3565"/>
      <c r="K68" s="1330" t="s">
        <v>1392</v>
      </c>
      <c r="L68" s="1330">
        <f ca="1">IF(M49&gt;10000,M49*0.5%,IF(AND(M49&gt;5000,M49&lt;=10000),M49*1%,IF(AND(M49&gt;1000,M49&lt;=5000),M49*2%,IF(AND(M49&gt;200,M49&lt;=1000),M49*3%,M49*5%))))</f>
        <v>11.58</v>
      </c>
      <c r="M68" s="302">
        <f ca="1">ROUND(L68,1)</f>
        <v>11.6</v>
      </c>
      <c r="N68" s="2541"/>
      <c r="Z68" s="1750"/>
      <c r="AI68" s="1751"/>
    </row>
    <row r="69" spans="1:35" s="1770" customFormat="1" ht="16.5" customHeight="1">
      <c r="A69" s="1809"/>
      <c r="B69" s="1810"/>
      <c r="C69" s="1811"/>
      <c r="D69" s="1812"/>
      <c r="E69" s="1813"/>
      <c r="F69" s="1576"/>
      <c r="G69" s="1576"/>
      <c r="H69" s="1575"/>
      <c r="I69" s="1745"/>
      <c r="J69" s="3565"/>
      <c r="K69" s="1330" t="s">
        <v>1393</v>
      </c>
      <c r="L69" s="1330"/>
      <c r="M69" s="302">
        <f ca="1">ROUND(SUM(M63:M68),0)</f>
        <v>32</v>
      </c>
      <c r="N69" s="2543">
        <f ca="1">M69/M49</f>
        <v>8.2901554404145081E-2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09" t="s">
        <v>1394</v>
      </c>
      <c r="B70" s="3610"/>
      <c r="C70" s="3610"/>
      <c r="D70" s="3610"/>
      <c r="E70" s="3610"/>
      <c r="F70" s="3610"/>
      <c r="G70" s="3610"/>
      <c r="H70" s="3610"/>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1" t="s">
        <v>1375</v>
      </c>
      <c r="B71" s="360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368</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2</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06" t="s">
        <v>1402</v>
      </c>
      <c r="F76" s="3605"/>
      <c r="G76" s="3605"/>
      <c r="H76" s="360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2</v>
      </c>
      <c r="D78" s="2575">
        <f>'数据-取费表'!B43</f>
        <v>6.000000000000001E-3</v>
      </c>
      <c r="E78" s="3598" t="s">
        <v>1406</v>
      </c>
      <c r="F78" s="3599"/>
      <c r="G78" s="3599"/>
      <c r="H78" s="360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366</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183</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219</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9" t="s">
        <v>1410</v>
      </c>
      <c r="B83" s="3610"/>
      <c r="C83" s="3610"/>
      <c r="D83" s="3610"/>
      <c r="E83" s="3610"/>
      <c r="F83" s="3610"/>
      <c r="G83" s="3610"/>
      <c r="H83" s="361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1" t="s">
        <v>1375</v>
      </c>
      <c r="B84" s="360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368</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2</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67" t="s">
        <v>2128</v>
      </c>
      <c r="H90" s="3568"/>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98" t="s">
        <v>1419</v>
      </c>
      <c r="F91" s="3599"/>
      <c r="G91" s="359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98" t="s">
        <v>1422</v>
      </c>
      <c r="F92" s="3599"/>
      <c r="G92" s="3599"/>
      <c r="H92" s="360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2</v>
      </c>
      <c r="D93" s="2575">
        <f>'数据-取费表'!B43</f>
        <v>6.000000000000001E-3</v>
      </c>
      <c r="E93" s="3598" t="s">
        <v>1406</v>
      </c>
      <c r="F93" s="3599"/>
      <c r="G93" s="3599"/>
      <c r="H93" s="360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43" t="s">
        <v>1426</v>
      </c>
      <c r="F94" s="3644"/>
      <c r="G94" s="3644"/>
      <c r="H94" s="364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366</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183</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219</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8" t="s">
        <v>1428</v>
      </c>
      <c r="B100" s="3549"/>
      <c r="C100" s="3549"/>
      <c r="D100" s="3583"/>
      <c r="E100" s="3549" t="s">
        <v>1429</v>
      </c>
      <c r="F100" s="3549"/>
      <c r="G100" s="3549"/>
      <c r="H100" s="3583"/>
      <c r="I100" s="129"/>
    </row>
    <row r="101" spans="1:35" ht="18.75" customHeight="1">
      <c r="A101" s="3591" t="s">
        <v>1430</v>
      </c>
      <c r="B101" s="3592"/>
      <c r="C101" s="2583" t="str">
        <f>C4</f>
        <v>比较法-办公</v>
      </c>
      <c r="D101" s="2584" t="str">
        <f>D4</f>
        <v>收益法 (元)</v>
      </c>
      <c r="E101" s="3561" t="s">
        <v>1431</v>
      </c>
      <c r="F101" s="3562"/>
      <c r="G101" s="1825" t="s">
        <v>1432</v>
      </c>
      <c r="H101" s="2593">
        <f ca="1">H118</f>
        <v>386</v>
      </c>
      <c r="I101" s="129"/>
    </row>
    <row r="102" spans="1:35" ht="18.75" customHeight="1">
      <c r="A102" s="3593" t="s">
        <v>1433</v>
      </c>
      <c r="B102" s="2582" t="s">
        <v>1432</v>
      </c>
      <c r="C102" s="2583">
        <f ca="1">IF(D32="楼面单价",ROUND(C19,0),C19)</f>
        <v>420</v>
      </c>
      <c r="D102" s="2584">
        <f ca="1">IF(D32="楼面单价",ROUND(D19,0),D19)</f>
        <v>306</v>
      </c>
      <c r="E102" s="3561"/>
      <c r="F102" s="3562"/>
      <c r="G102" s="1825" t="s">
        <v>1434</v>
      </c>
      <c r="H102" s="2553">
        <f ca="1">I118</f>
        <v>36019</v>
      </c>
      <c r="I102" s="129"/>
    </row>
    <row r="103" spans="1:35" ht="42.75" customHeight="1">
      <c r="A103" s="3593"/>
      <c r="B103" s="2582" t="s">
        <v>1434</v>
      </c>
      <c r="C103" s="2585">
        <f ca="1">C20</f>
        <v>39208</v>
      </c>
      <c r="D103" s="2586">
        <f ca="1">D20</f>
        <v>28577</v>
      </c>
      <c r="E103" s="3554" t="s">
        <v>1435</v>
      </c>
      <c r="F103" s="3555"/>
      <c r="G103" s="1826" t="s">
        <v>1436</v>
      </c>
      <c r="H103" s="2593">
        <f>IF(D36="正常操作",H104+H105+H106,H105+H106)</f>
        <v>0</v>
      </c>
      <c r="I103" s="129"/>
    </row>
    <row r="104" spans="1:35" ht="18.75" customHeight="1">
      <c r="A104" s="3593" t="s">
        <v>1437</v>
      </c>
      <c r="B104" s="2587" t="s">
        <v>1432</v>
      </c>
      <c r="C104" s="2588">
        <f ca="1">H118</f>
        <v>386</v>
      </c>
      <c r="D104" s="2589"/>
      <c r="E104" s="1672" t="s">
        <v>1438</v>
      </c>
      <c r="F104" s="1664"/>
      <c r="G104" s="1826" t="s">
        <v>1436</v>
      </c>
      <c r="H104" s="2594">
        <f>IF(D36="同一抵押权人同一抵押物续贷",C36&amp;"（续贷，未扣减，详见特别提示）",C36)</f>
        <v>0</v>
      </c>
      <c r="I104" s="129"/>
    </row>
    <row r="105" spans="1:35" ht="18.75" customHeight="1" thickBot="1">
      <c r="A105" s="3603"/>
      <c r="B105" s="2590" t="s">
        <v>1434</v>
      </c>
      <c r="C105" s="2591">
        <f ca="1">I118</f>
        <v>36019</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4" t="str">
        <f>IF(项目基本情况!E8="已注销","——","3.房地产抵押价值")</f>
        <v>3.房地产抵押价值</v>
      </c>
      <c r="F107" s="3562"/>
      <c r="G107" s="1825" t="s">
        <v>1432</v>
      </c>
      <c r="H107" s="2593">
        <f ca="1">IF(E107="——","——",H101-H103)</f>
        <v>386</v>
      </c>
      <c r="I107" s="129"/>
    </row>
    <row r="108" spans="1:35" ht="18.75" customHeight="1">
      <c r="A108" s="129"/>
      <c r="B108" s="129"/>
      <c r="C108" s="129"/>
      <c r="D108" s="129"/>
      <c r="E108" s="3594"/>
      <c r="F108" s="3562"/>
      <c r="G108" s="1825" t="s">
        <v>1434</v>
      </c>
      <c r="H108" s="2553">
        <f ca="1">IF(H107=H101,H102,ROUND(H107*10000/'数据-汇总表'!E3,0))</f>
        <v>36019</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62"/>
      <c r="G109" s="1825" t="s">
        <v>1432</v>
      </c>
      <c r="H109" s="2596" t="str">
        <f>IF(E109="——","——",H101-H105-H106)</f>
        <v>——</v>
      </c>
      <c r="I109" s="129"/>
    </row>
    <row r="110" spans="1:35" ht="18.75" customHeight="1">
      <c r="A110" s="129"/>
      <c r="B110" s="129"/>
      <c r="C110" s="129"/>
      <c r="D110" s="129"/>
      <c r="E110" s="3594"/>
      <c r="F110" s="3562"/>
      <c r="G110" s="1825" t="s">
        <v>1434</v>
      </c>
      <c r="H110" s="2553"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v>
      </c>
      <c r="F111" s="3581"/>
      <c r="G111" s="1825" t="s">
        <v>1432</v>
      </c>
      <c r="H111" s="2593" t="str">
        <f>IF(E111="——","——",N59)</f>
        <v>——</v>
      </c>
      <c r="I111" s="129"/>
    </row>
    <row r="112" spans="1:35" ht="18.75" customHeight="1" thickBot="1">
      <c r="A112" s="129"/>
      <c r="B112" s="129"/>
      <c r="C112" s="129"/>
      <c r="D112" s="129"/>
      <c r="E112" s="3596"/>
      <c r="F112" s="3597"/>
      <c r="G112" s="1828" t="s">
        <v>1434</v>
      </c>
      <c r="H112" s="2597" t="str">
        <f>IF(E111="——","——",N61)</f>
        <v>——</v>
      </c>
      <c r="I112" s="129"/>
    </row>
    <row r="113" spans="1:27" ht="18.75" customHeight="1">
      <c r="A113" s="129"/>
      <c r="B113" s="129"/>
      <c r="C113" s="129"/>
      <c r="D113" s="129"/>
      <c r="E113" s="3604" t="s">
        <v>1440</v>
      </c>
      <c r="F113" s="3604"/>
      <c r="G113" s="3604"/>
      <c r="H113" s="3604"/>
      <c r="I113" s="129"/>
    </row>
    <row r="114" spans="1:27" ht="3.75" customHeight="1">
      <c r="A114" s="1745"/>
      <c r="B114" s="1745"/>
      <c r="C114" s="1745"/>
      <c r="D114" s="1745"/>
      <c r="E114" s="1807"/>
      <c r="F114" s="1807"/>
      <c r="G114" s="1807"/>
      <c r="H114" s="1807"/>
      <c r="I114" s="1745"/>
    </row>
    <row r="115" spans="1:27" ht="18.75" customHeight="1">
      <c r="A115" s="3612" t="s">
        <v>1442</v>
      </c>
      <c r="B115" s="3613"/>
      <c r="C115" s="3613"/>
      <c r="D115" s="3613"/>
      <c r="E115" s="3613"/>
      <c r="F115" s="3613"/>
      <c r="G115" s="3613"/>
      <c r="H115" s="3613"/>
      <c r="I115" s="3614"/>
    </row>
    <row r="116" spans="1:27" ht="27" customHeight="1">
      <c r="A116" s="3569" t="s">
        <v>1443</v>
      </c>
      <c r="B116" s="3573" t="s">
        <v>1444</v>
      </c>
      <c r="C116" s="3573" t="s">
        <v>1445</v>
      </c>
      <c r="D116" s="3579" t="s">
        <v>1446</v>
      </c>
      <c r="E116" s="3580"/>
      <c r="F116" s="3611" t="s">
        <v>1447</v>
      </c>
      <c r="G116" s="3611"/>
      <c r="H116" s="3569" t="s">
        <v>1448</v>
      </c>
      <c r="I116" s="3569"/>
    </row>
    <row r="117" spans="1:27" ht="18.75" customHeight="1">
      <c r="A117" s="3569"/>
      <c r="B117" s="3574"/>
      <c r="C117" s="3574"/>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107.22</v>
      </c>
      <c r="C118" s="2327">
        <f>M19</f>
        <v>11.01</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f ca="1">ROUND(IF(D32="总价",C32,I118*B118/10000),0)</f>
        <v>386</v>
      </c>
      <c r="I118" s="2327">
        <f ca="1">ROUND(IF(D32="楼面单价",C32,H118*10000/B118),0)</f>
        <v>36019</v>
      </c>
    </row>
    <row r="119" spans="1:27" ht="18.75" customHeight="1">
      <c r="A119" s="3569" t="s">
        <v>1452</v>
      </c>
      <c r="B119" s="3569"/>
      <c r="C119" s="3569"/>
      <c r="D119" s="3575" t="e">
        <f ca="1">NUMBERSTRING(INT(D118*10000),2)&amp;"元整"</f>
        <v>#DIV/0!</v>
      </c>
      <c r="E119" s="3576"/>
      <c r="F119" s="3575" t="e">
        <f ca="1">NUMBERSTRING(INT(F118*10000),2)&amp;"元整"</f>
        <v>#DIV/0!</v>
      </c>
      <c r="G119" s="3576"/>
      <c r="H119" s="3575" t="str">
        <f ca="1">NUMBERSTRING(INT(H118*10000),2)&amp;"元整"</f>
        <v>叁佰捌拾陆万元整</v>
      </c>
      <c r="I119" s="3576"/>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75" t="s">
        <v>1452</v>
      </c>
      <c r="B121" s="3577"/>
      <c r="C121" s="3576"/>
      <c r="D121" s="3575" t="str">
        <f>IF(D120=0,"零元整",NUMBERSTRING(INT(D120*10000),2)&amp;"元整")</f>
        <v>零元整</v>
      </c>
      <c r="E121" s="3577"/>
      <c r="F121" s="3577"/>
      <c r="G121" s="3577"/>
      <c r="H121" s="3577"/>
      <c r="I121" s="3576"/>
      <c r="AA121" s="725"/>
    </row>
    <row r="122" spans="1:27" ht="18.75" customHeight="1">
      <c r="A122" s="3581" t="str">
        <f>IF(项目基本情况!B9="房地产市场价值","",MID(E107,3,LEN(E107)-2))</f>
        <v>房地产抵押价值</v>
      </c>
      <c r="B122" s="3581"/>
      <c r="C122" s="3581"/>
      <c r="D122" s="3570">
        <f ca="1">H107</f>
        <v>386</v>
      </c>
      <c r="E122" s="3571"/>
      <c r="F122" s="3571"/>
      <c r="G122" s="3571"/>
      <c r="H122" s="3571"/>
      <c r="I122" s="3572"/>
      <c r="AA122" s="725"/>
    </row>
    <row r="123" spans="1:27" ht="18.75" customHeight="1">
      <c r="A123" s="3569" t="s">
        <v>1452</v>
      </c>
      <c r="B123" s="3569"/>
      <c r="C123" s="3569"/>
      <c r="D123" s="3575" t="str">
        <f ca="1">NUMBERSTRING(INT(D122*10000),2)&amp;"元整"</f>
        <v>叁佰捌拾陆万元整</v>
      </c>
      <c r="E123" s="3577"/>
      <c r="F123" s="3577"/>
      <c r="G123" s="3577"/>
      <c r="H123" s="3577"/>
      <c r="I123" s="3576"/>
      <c r="AA123" s="725"/>
    </row>
    <row r="124" spans="1:27" ht="18.75" customHeight="1">
      <c r="A124" s="3581" t="str">
        <f>IF(项目基本情况!B9="房地产市场价值","",MID(E109,3,LEN(E109)-2))</f>
        <v/>
      </c>
      <c r="B124" s="3581"/>
      <c r="C124" s="3581"/>
      <c r="D124" s="3570" t="str">
        <f>H109</f>
        <v>——</v>
      </c>
      <c r="E124" s="3571"/>
      <c r="F124" s="3571"/>
      <c r="G124" s="3571"/>
      <c r="H124" s="3571"/>
      <c r="I124" s="3572"/>
      <c r="AA124" s="725"/>
    </row>
    <row r="125" spans="1:27" ht="18.75" customHeight="1">
      <c r="A125" s="3569" t="s">
        <v>1452</v>
      </c>
      <c r="B125" s="3569"/>
      <c r="C125" s="3569"/>
      <c r="D125" s="3575" t="e">
        <f>NUMBERSTRING(INT(D124*10000),2)&amp;"元整"</f>
        <v>#VALUE!</v>
      </c>
      <c r="E125" s="3577"/>
      <c r="F125" s="3577"/>
      <c r="G125" s="3577"/>
      <c r="H125" s="3577"/>
      <c r="I125" s="3576"/>
      <c r="AA125" s="725"/>
    </row>
    <row r="126" spans="1:27" ht="18.75" customHeight="1">
      <c r="A126" s="3581" t="str">
        <f>IF(项目基本情况!B9="房地产市场价值","",MID(E111,3,LEN(E111)-2))</f>
        <v/>
      </c>
      <c r="B126" s="3581"/>
      <c r="C126" s="3581"/>
      <c r="D126" s="3570" t="str">
        <f>H111</f>
        <v>——</v>
      </c>
      <c r="E126" s="3571"/>
      <c r="F126" s="3571"/>
      <c r="G126" s="3571"/>
      <c r="H126" s="3571"/>
      <c r="I126" s="3572"/>
      <c r="AA126" s="725"/>
    </row>
    <row r="127" spans="1:27" ht="18.75" customHeight="1">
      <c r="A127" s="3569" t="s">
        <v>1452</v>
      </c>
      <c r="B127" s="3569"/>
      <c r="C127" s="3569"/>
      <c r="D127" s="3575" t="e">
        <f>NUMBERSTRING(INT(D126*10000),2)&amp;"元整"</f>
        <v>#VALUE!</v>
      </c>
      <c r="E127" s="3577"/>
      <c r="F127" s="3577"/>
      <c r="G127" s="3577"/>
      <c r="H127" s="3577"/>
      <c r="I127" s="3576"/>
      <c r="AA127" s="725"/>
    </row>
    <row r="128" spans="1:27" ht="21.75" customHeight="1">
      <c r="A128" s="3578" t="s">
        <v>1453</v>
      </c>
      <c r="B128" s="3578"/>
      <c r="C128" s="3578"/>
      <c r="D128" s="3578"/>
      <c r="E128" s="3578"/>
      <c r="F128" s="3578"/>
      <c r="G128" s="3578"/>
      <c r="H128" s="3578"/>
      <c r="I128" s="3578"/>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29003</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2704999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21444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21444</v>
      </c>
      <c r="D8" s="222"/>
      <c r="E8" s="220"/>
      <c r="F8" s="221"/>
      <c r="G8" s="1854"/>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5"/>
      <c r="H9" s="1135"/>
      <c r="I9" s="1856"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107.22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107.22</v>
      </c>
      <c r="E19" s="211">
        <f>'数据-取费表'!B31</f>
        <v>200</v>
      </c>
      <c r="F19" s="231"/>
      <c r="G19" s="1854"/>
    </row>
    <row r="20" spans="1:7" s="214" customFormat="1" ht="13.5" customHeight="1">
      <c r="A20" s="255" t="s">
        <v>1493</v>
      </c>
      <c r="B20" s="210" t="s">
        <v>1494</v>
      </c>
      <c r="C20" s="232">
        <f ca="1">ROUND((C5+C19)*F20,0)</f>
        <v>429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1565</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3">
        <f ca="1">ROUND(IF('数据-取费表'!B22&lt;=1,C5*F22*'数据-取费表'!B23,C5*(POWER((1+F22),'数据-取费表'!B23)-1)),0)</f>
        <v>1550</v>
      </c>
      <c r="D23" s="238"/>
      <c r="E23" s="238"/>
      <c r="F23" s="239"/>
      <c r="G23" s="240" t="s">
        <v>1504</v>
      </c>
    </row>
    <row r="24" spans="1:7" s="214" customFormat="1" ht="13.5" customHeight="1">
      <c r="A24" s="780"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3">
        <f ca="1">ROUND(IF('数据-取费表'!B22&lt;=1,C20*F22*'数据-取费表'!B23/2,C20*(POWER((1+F22),'数据-取费表'!B23/2)-1)),0)</f>
        <v>15</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3281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3281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28950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48</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107.22</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6.9999999999999999E-4</v>
      </c>
      <c r="D44" s="238"/>
      <c r="E44" s="238"/>
      <c r="F44" s="239"/>
      <c r="G44" s="3650"/>
    </row>
    <row r="45" spans="1:7" s="214" customFormat="1" ht="13.5" customHeight="1">
      <c r="A45" s="255" t="s">
        <v>1547</v>
      </c>
      <c r="B45" s="244" t="s">
        <v>1513</v>
      </c>
      <c r="C45" s="245">
        <f ca="1">C46</f>
        <v>8</v>
      </c>
      <c r="D45" s="235">
        <f ca="1">C47</f>
        <v>3.0000000000000001E-3</v>
      </c>
      <c r="E45" s="236" t="s">
        <v>1539</v>
      </c>
      <c r="F45" s="246">
        <f ca="1">F27</f>
        <v>0.15</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68</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53</v>
      </c>
      <c r="D51" s="232"/>
      <c r="E51" s="232"/>
      <c r="F51" s="264"/>
      <c r="G51" s="234" t="s">
        <v>1560</v>
      </c>
    </row>
    <row r="52" spans="1:7" s="208" customFormat="1" ht="16.5" thickBot="1">
      <c r="A52" s="265" t="s">
        <v>1561</v>
      </c>
      <c r="B52" s="266"/>
      <c r="C52" s="267">
        <f ca="1">C31+C51</f>
        <v>29003</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北京市房地产抵押价值预评估</v>
      </c>
      <c r="C37" s="3465"/>
      <c r="D37" s="3465"/>
      <c r="E37" s="3465"/>
      <c r="F37" s="3465"/>
      <c r="G37" s="3465"/>
      <c r="H37" s="3465"/>
      <c r="I37" s="3465"/>
    </row>
    <row r="38" spans="1:9">
      <c r="A38" s="844"/>
      <c r="B38" s="844"/>
    </row>
    <row r="39" spans="1:9">
      <c r="A39" s="842" t="s">
        <v>371</v>
      </c>
      <c r="B39" s="842" t="s">
        <v>373</v>
      </c>
    </row>
    <row r="40" spans="1:9">
      <c r="A40" s="842"/>
      <c r="B40" s="1472">
        <f>项目基本情况!B5</f>
        <v>0</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ht="12.75">
      <c r="B46" s="1472" t="str">
        <f>项目基本情况!K4</f>
        <v>（注册号：0)、（注册号：0)</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115" zoomScaleNormal="70" zoomScaleSheetLayoutView="115"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t="e">
        <f ca="1">ROUND(IF(D2="——",C52/10000,C52/10000-E2),4)</f>
        <v>#DIV/0!</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#DIV/0!</v>
      </c>
      <c r="D5" s="211" t="s">
        <v>1469</v>
      </c>
      <c r="E5" s="212" t="s">
        <v>1470</v>
      </c>
      <c r="F5" s="212" t="s">
        <v>1471</v>
      </c>
      <c r="G5" s="213"/>
    </row>
    <row r="6" spans="1:8" s="214" customFormat="1" ht="13.5" customHeight="1">
      <c r="A6" s="778" t="s">
        <v>1472</v>
      </c>
      <c r="B6" s="215" t="s">
        <v>1473</v>
      </c>
      <c r="C6" s="216" t="e">
        <f>ROUND(基准地价修正!C33*基准地价修正!D33,0)</f>
        <v>#DIV/0!</v>
      </c>
      <c r="D6" s="217"/>
      <c r="E6" s="218"/>
      <c r="F6" s="218"/>
      <c r="G6" s="219"/>
    </row>
    <row r="7" spans="1:8" s="214" customFormat="1" ht="13.5" customHeight="1">
      <c r="A7" s="778" t="s">
        <v>1474</v>
      </c>
      <c r="B7" s="215" t="s">
        <v>1475</v>
      </c>
      <c r="C7" s="220" t="e">
        <f>ROUND(C6*F7,0)</f>
        <v>#DIV/0!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21444</v>
      </c>
      <c r="D8" s="222"/>
      <c r="E8" s="220"/>
      <c r="F8" s="221"/>
      <c r="G8" s="1854" t="s">
        <v>3441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21444</v>
      </c>
      <c r="D10" s="845">
        <f ca="1">IF(B1="",'数据-汇总表'!E6,IF(INDIRECT("'数据-取费表'!c"&amp;$G$1)="住宅",INDIRECT("'数据-取费表'!s"&amp;$G$1),INDIRECT("'数据-取费表'!k"&amp;$G$1)+INDIRECT("'数据-取费表'!s"&amp;$G$1)))</f>
        <v>107.22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107.22</v>
      </c>
      <c r="E19" s="211">
        <f>'数据-取费表'!B31</f>
        <v>200</v>
      </c>
      <c r="F19" s="231"/>
      <c r="G19" s="1854" t="s">
        <v>3442</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t="e">
        <f ca="1">ROUND(SUM(C23:C25),0)</f>
        <v>#DIV/0!</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6" t="e">
        <f ca="1">ROUND(IF('数据-取费表'!B22&lt;=1,C5*F22*'数据-取费表'!B22,C5*(POWER((1+F22),'数据-取费表'!B22)-1)),0)</f>
        <v>#DIV/0!</v>
      </c>
      <c r="D23" s="238"/>
      <c r="E23" s="238"/>
      <c r="F23" s="239"/>
      <c r="G23" s="240" t="s">
        <v>1584</v>
      </c>
    </row>
    <row r="24" spans="1:7" s="214" customFormat="1" ht="13.5" customHeight="1">
      <c r="A24" s="780"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6" t="e">
        <f ca="1">ROUND(IF('数据-取费表'!B22&lt;=1,C20*F22*'数据-取费表'!B22/2,C20*(POWER((1+F22),'数据-取费表'!B22/2)-1)),0)</f>
        <v>#DIV/0!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525646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482490</v>
      </c>
      <c r="D34" s="217"/>
      <c r="E34" s="220"/>
      <c r="F34" s="257"/>
      <c r="G34" s="219"/>
    </row>
    <row r="35" spans="1:7" ht="13.5" customHeight="1">
      <c r="A35" s="780" t="s">
        <v>351</v>
      </c>
      <c r="B35" s="215" t="s">
        <v>1527</v>
      </c>
      <c r="C35" s="220">
        <f ca="1">ROUND(C34*F35,0)</f>
        <v>14475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21444</v>
      </c>
      <c r="D37" s="217">
        <f ca="1">D19</f>
        <v>107.22</v>
      </c>
      <c r="E37" s="249">
        <f>'数据-取费表'!B35</f>
        <v>200</v>
      </c>
      <c r="F37" s="259"/>
      <c r="G37" s="261"/>
    </row>
    <row r="38" spans="1:7" ht="13.5" customHeight="1">
      <c r="A38" s="780" t="s">
        <v>354</v>
      </c>
      <c r="B38" s="215" t="s">
        <v>1533</v>
      </c>
      <c r="C38" s="220">
        <f ca="1">ROUND(C34*F38,0)</f>
        <v>7237</v>
      </c>
      <c r="D38" s="220"/>
      <c r="E38" s="220"/>
      <c r="F38" s="259">
        <f>'数据-取费表'!B36</f>
        <v>1.4999999999999999E-2</v>
      </c>
      <c r="G38" s="219" t="s">
        <v>1528</v>
      </c>
    </row>
    <row r="39" spans="1:7" s="214" customFormat="1" ht="13.5" customHeight="1">
      <c r="A39" s="255" t="s">
        <v>1534</v>
      </c>
      <c r="B39" s="210" t="s">
        <v>1535</v>
      </c>
      <c r="C39" s="232">
        <f ca="1">ROUND(C33*F20,0)</f>
        <v>10513</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19033</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18660</v>
      </c>
      <c r="D42" s="238"/>
      <c r="E42" s="238"/>
      <c r="F42" s="239"/>
      <c r="G42" s="3648" t="s">
        <v>1591</v>
      </c>
    </row>
    <row r="43" spans="1:7" ht="13.5" customHeight="1">
      <c r="A43" s="780" t="s">
        <v>347</v>
      </c>
      <c r="B43" s="215" t="s">
        <v>1545</v>
      </c>
      <c r="C43" s="238">
        <f ca="1">ROUND(IF('数据-取费表'!B22&lt;=1,C39*F22*'数据-取费表'!B20/2,C39*(POWER((1+F22),'数据-取费表'!B20/2)-1)),0)</f>
        <v>373</v>
      </c>
      <c r="D43" s="238"/>
      <c r="E43" s="238"/>
      <c r="F43" s="239"/>
      <c r="G43" s="3649"/>
    </row>
    <row r="44" spans="1:7" ht="13.5" customHeight="1">
      <c r="A44" s="780" t="s">
        <v>348</v>
      </c>
      <c r="B44" s="215" t="s">
        <v>1546</v>
      </c>
      <c r="C44" s="238">
        <f ca="1">ROUND(IF('数据-取费表'!B22&lt;=1,C40*F22*'数据-取费表'!B20/2,C40*(POWER((1+F22),'数据-取费表'!B20/2)-1)),4)</f>
        <v>6.9999999999999999E-4</v>
      </c>
      <c r="D44" s="238"/>
      <c r="E44" s="238"/>
      <c r="F44" s="239"/>
      <c r="G44" s="3650"/>
    </row>
    <row r="45" spans="1:7" s="214" customFormat="1" ht="13.5" customHeight="1">
      <c r="A45" s="255" t="s">
        <v>1547</v>
      </c>
      <c r="B45" s="244" t="s">
        <v>1513</v>
      </c>
      <c r="C45" s="245">
        <f ca="1">C46</f>
        <v>80424</v>
      </c>
      <c r="D45" s="235">
        <f ca="1">C47</f>
        <v>3.0000000000000001E-3</v>
      </c>
      <c r="E45" s="236" t="s">
        <v>1539</v>
      </c>
      <c r="F45" s="246">
        <f ca="1">F27</f>
        <v>0.15</v>
      </c>
      <c r="G45" s="247" t="s">
        <v>1548</v>
      </c>
    </row>
    <row r="46" spans="1:7" s="214" customFormat="1" ht="13.5" customHeight="1">
      <c r="A46" s="780" t="s">
        <v>346</v>
      </c>
      <c r="B46" s="248" t="s">
        <v>1549</v>
      </c>
      <c r="C46" s="249">
        <f ca="1">ROUND((C33+C39)*F27,0)</f>
        <v>80424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688641</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537140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24443</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2279705</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8"/>
      <c r="D5" s="1858"/>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107.22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6"/>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107.22</v>
      </c>
      <c r="E17" s="21">
        <f>'数据-取费表'!B32</f>
        <v>0</v>
      </c>
      <c r="F17" s="806"/>
      <c r="G17" s="131" t="s">
        <v>1623</v>
      </c>
      <c r="H17" s="1186"/>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-21442</v>
      </c>
      <c r="D18" s="846"/>
      <c r="E18" s="21"/>
      <c r="F18" s="804"/>
      <c r="G18" s="1860"/>
      <c r="H18" s="1185"/>
      <c r="I18" s="1861"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7"/>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107.22</v>
      </c>
      <c r="E20" s="21">
        <f>'数据-取费表'!B28</f>
        <v>200</v>
      </c>
      <c r="F20" s="804"/>
      <c r="G20" s="12"/>
      <c r="H20" s="809"/>
      <c r="I20" s="809"/>
      <c r="J20" s="809"/>
      <c r="K20" s="810"/>
    </row>
    <row r="21" spans="1:33" s="803" customFormat="1" ht="13.5" customHeight="1">
      <c r="A21" s="790" t="s">
        <v>357</v>
      </c>
      <c r="B21" s="813" t="s">
        <v>1628</v>
      </c>
      <c r="C21" s="814">
        <f ca="1">C16+C17+C18</f>
        <v>-21442</v>
      </c>
      <c r="D21" s="815"/>
      <c r="E21" s="281"/>
      <c r="F21" s="281"/>
      <c r="G21" s="131" t="s">
        <v>1629</v>
      </c>
      <c r="H21" s="807"/>
      <c r="I21" s="807"/>
      <c r="J21" s="807"/>
      <c r="K21" s="808"/>
    </row>
    <row r="22" spans="1:33" s="803" customFormat="1" ht="13.5" customHeight="1">
      <c r="A22" s="790" t="s">
        <v>1601</v>
      </c>
      <c r="B22" s="813" t="s">
        <v>1630</v>
      </c>
      <c r="C22" s="814">
        <f ca="1">ROUND(C21*F22,0)</f>
        <v>-429</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4">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1641</v>
      </c>
      <c r="B28" s="1863" t="s">
        <v>1642</v>
      </c>
      <c r="C28" s="287">
        <f ca="1">C30</f>
        <v>-3281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-3281</v>
      </c>
      <c r="D30" s="284"/>
      <c r="E30" s="285"/>
      <c r="F30" s="290"/>
      <c r="G30" s="131"/>
      <c r="H30" s="807"/>
      <c r="I30" s="807"/>
      <c r="J30" s="807"/>
      <c r="K30" s="808"/>
    </row>
    <row r="31" spans="1:33" s="803" customFormat="1" ht="13.5" customHeight="1" thickBot="1">
      <c r="A31" s="1864"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24443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0">
        <f ca="1">J53</f>
        <v>0</v>
      </c>
      <c r="G1" s="1376">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53" t="s">
        <v>694</v>
      </c>
      <c r="C6" s="1072">
        <f ca="1">ROUND(F6*F8*F7*(1-F9)/10000,0)</f>
        <v>0</v>
      </c>
      <c r="D6" s="155" t="s">
        <v>2108</v>
      </c>
      <c r="E6" s="302" t="s">
        <v>696</v>
      </c>
      <c r="F6" s="303">
        <f ca="1">INDIRECT("'数据-取费表'!u"&amp;$G$1)</f>
        <v>0</v>
      </c>
      <c r="G6" s="1382"/>
      <c r="H6" s="1067" t="s">
        <v>398</v>
      </c>
      <c r="I6" s="3653" t="s">
        <v>694</v>
      </c>
      <c r="J6" s="301">
        <f ca="1">ROUND(M6*M8*M7*(1-M9)/10000,0)</f>
        <v>0</v>
      </c>
      <c r="K6" s="155" t="s">
        <v>2107</v>
      </c>
      <c r="L6" s="302" t="s">
        <v>696</v>
      </c>
      <c r="M6" s="303">
        <f ca="1">INDIRECT("'数据-取费表'!z"&amp;$G$1)</f>
        <v>0</v>
      </c>
    </row>
    <row r="7" spans="1:37" ht="18" customHeight="1">
      <c r="A7" s="1071"/>
      <c r="B7" s="3654"/>
      <c r="C7" s="1073"/>
      <c r="D7" s="307"/>
      <c r="E7" s="1074" t="s">
        <v>697</v>
      </c>
      <c r="F7" s="303">
        <f ca="1">IF(INDIRECT("'数据-取费表'!ah"&amp;$G$1)="",INDIRECT("'数据-取费表'!k"&amp;$G$1),INDIRECT("'数据-取费表'!ah"&amp;$G$1))</f>
        <v>0</v>
      </c>
      <c r="G7" s="1382"/>
      <c r="H7" s="304"/>
      <c r="I7" s="3654"/>
      <c r="J7" s="306"/>
      <c r="K7" s="307"/>
      <c r="L7" s="302" t="s">
        <v>697</v>
      </c>
      <c r="M7" s="303">
        <f ca="1">F7</f>
        <v>0</v>
      </c>
    </row>
    <row r="8" spans="1:37" ht="18" customHeight="1">
      <c r="A8" s="304"/>
      <c r="B8" s="3654"/>
      <c r="C8" s="306"/>
      <c r="D8" s="307"/>
      <c r="E8" s="302" t="s">
        <v>698</v>
      </c>
      <c r="F8" s="303">
        <f ca="1">INDIRECT("'数据-取费表'!ai"&amp;$G$1)</f>
        <v>0</v>
      </c>
      <c r="G8" s="1382"/>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2"/>
      <c r="H9" s="304"/>
      <c r="I9" s="3655"/>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9"/>
      <c r="D11" s="1366"/>
      <c r="E11" s="313" t="s">
        <v>702</v>
      </c>
      <c r="F11" s="314">
        <f ca="1">'数据-取费表'!B39</f>
        <v>1.4999999999999999E-2</v>
      </c>
      <c r="G11" s="1382"/>
      <c r="H11" s="1075"/>
      <c r="I11" s="1365" t="s">
        <v>679</v>
      </c>
      <c r="J11" s="959"/>
      <c r="K11" s="684"/>
      <c r="L11" s="313" t="s">
        <v>702</v>
      </c>
      <c r="M11" s="862">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2" t="s">
        <v>397</v>
      </c>
      <c r="B14" s="302" t="s">
        <v>707</v>
      </c>
      <c r="C14" s="318">
        <f ca="1">INDIRECT("'数据-取费表'!m"&amp;$G$1)+INDIRECT("'数据-取费表'!t"&amp;$G$1)</f>
        <v>0</v>
      </c>
      <c r="D14" s="1343" t="s">
        <v>708</v>
      </c>
      <c r="E14" s="1340"/>
      <c r="F14" s="319"/>
      <c r="G14" s="1382"/>
      <c r="H14" s="982" t="s">
        <v>398</v>
      </c>
      <c r="I14" s="302" t="s">
        <v>709</v>
      </c>
      <c r="J14" s="21">
        <f ca="1">C29</f>
        <v>0</v>
      </c>
      <c r="K14" s="12"/>
      <c r="L14" s="807"/>
      <c r="M14" s="808"/>
    </row>
    <row r="15" spans="1:37" s="1395" customFormat="1" ht="18" customHeight="1" thickBot="1">
      <c r="A15" s="982"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2" t="s">
        <v>681</v>
      </c>
      <c r="B17" s="302" t="s">
        <v>716</v>
      </c>
      <c r="C17" s="21">
        <f ca="1">ROUND(F17*(F43+INDIRECT("'数据-取费表'!S"&amp;$G$1))/10000,0)</f>
        <v>0</v>
      </c>
      <c r="D17" s="302" t="s">
        <v>717</v>
      </c>
      <c r="E17" s="302" t="s">
        <v>718</v>
      </c>
      <c r="F17" s="23">
        <f>'数据-取费表'!B35</f>
        <v>200</v>
      </c>
      <c r="G17" s="1394"/>
      <c r="H17" s="982"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0</v>
      </c>
      <c r="D18" s="302" t="s">
        <v>711</v>
      </c>
      <c r="E18" s="302" t="s">
        <v>712</v>
      </c>
      <c r="F18" s="322">
        <f>'数据-取费表'!B36</f>
        <v>1.4999999999999999E-2</v>
      </c>
      <c r="G18" s="1394"/>
      <c r="H18" s="982"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0</v>
      </c>
      <c r="D19" s="131" t="s">
        <v>726</v>
      </c>
      <c r="E19" s="1358"/>
      <c r="F19" s="23"/>
      <c r="G19" s="1382"/>
      <c r="H19" s="982" t="s">
        <v>399</v>
      </c>
      <c r="I19" s="302" t="s">
        <v>727</v>
      </c>
      <c r="J19" s="21">
        <f ca="1">IF(K19="按租金收入计税",ROUND(J6*M19/(1+'数据-取费表'!C42),2),ROUND(C29*M19*0.7,2))</f>
        <v>0</v>
      </c>
      <c r="K19" s="1368" t="s">
        <v>3340</v>
      </c>
      <c r="L19" s="302" t="s">
        <v>712</v>
      </c>
      <c r="M19" s="322">
        <f>IF(K19="按租金收入计税",'数据-取费表'!B51,'数据-取费表'!B50)</f>
        <v>0.12</v>
      </c>
    </row>
    <row r="20" spans="1:37" s="1395" customFormat="1" ht="18" customHeight="1">
      <c r="A20" s="982" t="s">
        <v>402</v>
      </c>
      <c r="B20" s="302" t="s">
        <v>728</v>
      </c>
      <c r="C20" s="21">
        <f ca="1">ROUND(C19*F20,0)</f>
        <v>0</v>
      </c>
      <c r="D20" s="323" t="s">
        <v>729</v>
      </c>
      <c r="E20" s="302" t="s">
        <v>712</v>
      </c>
      <c r="F20" s="322">
        <f>'数据-取费表'!B37</f>
        <v>0.02</v>
      </c>
      <c r="G20" s="1394"/>
      <c r="H20" s="982" t="s">
        <v>680</v>
      </c>
      <c r="I20" s="155" t="s">
        <v>730</v>
      </c>
      <c r="J20" s="22">
        <f ca="1">ROUND(M20*M21/10000,2)</f>
        <v>0</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ROUND(J14*M22,2)</f>
        <v>0</v>
      </c>
      <c r="K22" s="1342" t="s">
        <v>739</v>
      </c>
      <c r="L22" s="302" t="s">
        <v>712</v>
      </c>
      <c r="M22" s="328">
        <f ca="1">INDIRECT("'数据-取费表'!Ak"&amp;$G$1)</f>
        <v>0</v>
      </c>
    </row>
    <row r="23" spans="1:37" s="1395"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1358"/>
      <c r="F25" s="23"/>
      <c r="G25" s="1382"/>
      <c r="H25" s="1077" t="s">
        <v>394</v>
      </c>
      <c r="I25" s="1092" t="s">
        <v>752</v>
      </c>
      <c r="J25" s="310">
        <f ca="1">J5-J16</f>
        <v>0</v>
      </c>
      <c r="K25" s="1093" t="s">
        <v>753</v>
      </c>
      <c r="L25" s="1094"/>
      <c r="M25" s="1095"/>
    </row>
    <row r="26" spans="1:37">
      <c r="A26" s="982"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2"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8" t="s">
        <v>3340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18</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2"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6" t="s">
        <v>687</v>
      </c>
      <c r="B47" s="978" t="s">
        <v>688</v>
      </c>
      <c r="C47" s="1115" t="s">
        <v>689</v>
      </c>
      <c r="D47" s="978" t="s">
        <v>690</v>
      </c>
      <c r="E47" s="1056" t="s">
        <v>691</v>
      </c>
      <c r="F47" s="1057"/>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2"/>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5" t="s">
        <v>439</v>
      </c>
      <c r="B49" s="1369" t="s">
        <v>779</v>
      </c>
      <c r="C49" s="1112">
        <f ca="1">ROUND(F49*F51*F50*(1-F52)/10000,0)</f>
        <v>0</v>
      </c>
      <c r="D49" s="1053" t="s">
        <v>2109</v>
      </c>
      <c r="E49" s="1370" t="s">
        <v>780</v>
      </c>
      <c r="F49" s="1058"/>
      <c r="G49" s="1423"/>
      <c r="H49" s="723"/>
      <c r="I49" s="1419" t="s">
        <v>823</v>
      </c>
      <c r="J49" s="1424"/>
      <c r="K49" s="1421" t="s">
        <v>824</v>
      </c>
      <c r="L49" s="1425"/>
      <c r="O49" s="1426" t="s">
        <v>405</v>
      </c>
      <c r="P49" s="1417" t="s">
        <v>825</v>
      </c>
      <c r="Q49" s="1418">
        <f ca="1">C29</f>
        <v>0</v>
      </c>
      <c r="R49" s="1418" t="s">
        <v>818</v>
      </c>
    </row>
    <row r="50" spans="1:18" s="1382" customFormat="1" ht="13.5" thickBot="1">
      <c r="A50" s="976"/>
      <c r="B50" s="979"/>
      <c r="C50" s="1116"/>
      <c r="D50" s="953"/>
      <c r="E50" s="1054" t="s">
        <v>697</v>
      </c>
      <c r="F50" s="1055">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7"/>
      <c r="B51" s="979"/>
      <c r="C51" s="980"/>
      <c r="D51" s="953"/>
      <c r="E51" s="981"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7"/>
      <c r="B52" s="979"/>
      <c r="C52" s="980"/>
      <c r="D52" s="953"/>
      <c r="E52" s="981"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51" t="s">
        <v>837</v>
      </c>
      <c r="L53" s="3652"/>
      <c r="O53" s="1416" t="s">
        <v>409</v>
      </c>
      <c r="P53" s="1417" t="s">
        <v>838</v>
      </c>
      <c r="Q53" s="1418" t="e">
        <f ca="1">Q47+Q48</f>
        <v>#DIV/0!</v>
      </c>
      <c r="R53" s="1418" t="s">
        <v>410</v>
      </c>
    </row>
    <row r="54" spans="1:18" s="1382" customFormat="1" ht="13.5" thickBot="1">
      <c r="A54" s="1151"/>
      <c r="B54" s="1365" t="s">
        <v>679</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7">
        <v>2</v>
      </c>
      <c r="B56" s="958"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50"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8" t="s">
        <v>714</v>
      </c>
      <c r="C58" s="316">
        <f ca="1">ROUND(C59+C64+C65+C66,0)</f>
        <v>0</v>
      </c>
      <c r="D58" s="960" t="s">
        <v>715</v>
      </c>
      <c r="E58" s="961"/>
      <c r="F58" s="962"/>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IF(项目基本情况!B11="自然人","——",IF(D61="按租金收入计税",ROUND(C49*F61/(1+'数据-取费表'!C42),2),IF(D61="按房产原值计税",ROUND(C57*F61*0.7,2),INDIRECT("'数据-取费表'!Aj"&amp;$G$1))))</f>
        <v>0</v>
      </c>
      <c r="D61" s="1368" t="s">
        <v>3340</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IF(项目基本情况!B11="自然人","——",ROUND(F62*F63/10000,2))</f>
        <v>0</v>
      </c>
      <c r="D62" s="965" t="s">
        <v>786</v>
      </c>
      <c r="E62" s="950" t="s">
        <v>787</v>
      </c>
      <c r="F62" s="325">
        <f t="shared" si="0"/>
        <v>18</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ROUND(C57*F64,2)</f>
        <v>0</v>
      </c>
      <c r="D64" s="964" t="s">
        <v>791</v>
      </c>
      <c r="E64" s="950"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ROUND(C56*F65,2)</f>
        <v>0</v>
      </c>
      <c r="D65" s="964" t="s">
        <v>743</v>
      </c>
      <c r="E65" s="950"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2" t="s">
        <v>793</v>
      </c>
      <c r="B66" s="950" t="s">
        <v>728</v>
      </c>
      <c r="C66" s="21">
        <f ca="1">ROUND(C48*F66,2)</f>
        <v>0</v>
      </c>
      <c r="D66" s="964" t="s">
        <v>794</v>
      </c>
      <c r="E66" s="950" t="s">
        <v>712</v>
      </c>
      <c r="F66" s="312">
        <f t="shared" ca="1" si="0"/>
        <v>0</v>
      </c>
      <c r="O66" s="1416" t="s">
        <v>404</v>
      </c>
      <c r="P66" s="1417" t="s">
        <v>846</v>
      </c>
      <c r="Q66" s="1418" t="e">
        <f ca="1">L60</f>
        <v>#DIV/0!</v>
      </c>
      <c r="R66" s="1418" t="s">
        <v>869</v>
      </c>
    </row>
    <row r="67" spans="1:18" s="1382" customFormat="1" ht="16.5" thickBot="1">
      <c r="A67" s="957" t="s">
        <v>394</v>
      </c>
      <c r="B67" s="967" t="s">
        <v>752</v>
      </c>
      <c r="C67" s="316">
        <f ca="1">C48-C58</f>
        <v>0</v>
      </c>
      <c r="D67" s="963" t="s">
        <v>753</v>
      </c>
      <c r="E67" s="968"/>
      <c r="F67" s="969"/>
      <c r="O67" s="1426" t="s">
        <v>405</v>
      </c>
      <c r="P67" s="1417" t="s">
        <v>850</v>
      </c>
      <c r="Q67" s="1464">
        <f ca="1">L51</f>
        <v>0</v>
      </c>
      <c r="R67" s="1418" t="s">
        <v>870</v>
      </c>
    </row>
    <row r="68" spans="1:18" s="1382" customFormat="1" ht="16.5" thickBot="1">
      <c r="A68" s="947" t="s">
        <v>395</v>
      </c>
      <c r="B68" s="948" t="s">
        <v>774</v>
      </c>
      <c r="C68" s="301" t="e">
        <f ca="1">ROUND(C67*(1-((1+F70)/(1+F68))^F69)/(F68-F70),0)</f>
        <v>#DIV/0!</v>
      </c>
      <c r="D68" s="965" t="s">
        <v>758</v>
      </c>
      <c r="E68" s="950" t="s">
        <v>759</v>
      </c>
      <c r="F68" s="312">
        <f ca="1">F40</f>
        <v>0</v>
      </c>
      <c r="O68" s="1426" t="s">
        <v>406</v>
      </c>
      <c r="P68" s="1465" t="s">
        <v>871</v>
      </c>
      <c r="Q68" s="1418">
        <f ca="1">ROUND(Q69-Q70*Q71,0)</f>
        <v>0</v>
      </c>
      <c r="R68" s="1418" t="s">
        <v>414</v>
      </c>
    </row>
    <row r="69" spans="1:18" s="1382" customFormat="1" ht="13.5" thickBot="1">
      <c r="A69" s="951"/>
      <c r="B69" s="952"/>
      <c r="C69" s="306"/>
      <c r="D69" s="970" t="s">
        <v>762</v>
      </c>
      <c r="E69" s="950" t="s">
        <v>763</v>
      </c>
      <c r="F69" s="333">
        <f ca="1">F41</f>
        <v>0</v>
      </c>
      <c r="O69" s="1426" t="s">
        <v>411</v>
      </c>
      <c r="P69" s="1465" t="s">
        <v>872</v>
      </c>
      <c r="Q69" s="1418">
        <f ca="1">C39</f>
        <v>0</v>
      </c>
      <c r="R69" s="1418" t="s">
        <v>818</v>
      </c>
    </row>
    <row r="70" spans="1:18" s="1382" customFormat="1" ht="13.5" thickBot="1">
      <c r="A70" s="954"/>
      <c r="B70" s="955"/>
      <c r="C70" s="310"/>
      <c r="D70" s="966"/>
      <c r="E70" s="950" t="s">
        <v>766</v>
      </c>
      <c r="F70" s="1052"/>
      <c r="O70" s="1426" t="s">
        <v>412</v>
      </c>
      <c r="P70" s="1465" t="s">
        <v>873</v>
      </c>
      <c r="Q70" s="1418">
        <f ca="1">C13</f>
        <v>0</v>
      </c>
      <c r="R70" s="1418" t="s">
        <v>818</v>
      </c>
    </row>
    <row r="71" spans="1:18" s="1382" customFormat="1" ht="13.5" thickBot="1">
      <c r="A71" s="971" t="s">
        <v>396</v>
      </c>
      <c r="B71" s="972" t="s">
        <v>776</v>
      </c>
      <c r="C71" s="336" t="e">
        <f ca="1">ROUND(C68*10000/F71,0)</f>
        <v>#DIV/0!</v>
      </c>
      <c r="D71" s="973" t="s">
        <v>777</v>
      </c>
      <c r="E71" s="974"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70" zoomScaleSheetLayoutView="70" workbookViewId="0">
      <selection activeCell="G15" sqref="G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3398</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420.38819999999998</v>
      </c>
      <c r="C2" s="1879" t="s">
        <v>43</v>
      </c>
      <c r="D2" s="1113"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39208</v>
      </c>
      <c r="C3" s="354" t="s">
        <v>1768</v>
      </c>
      <c r="D3" s="353">
        <f>IF(D1="",'数据-汇总表'!E3,SUMIF('数据-汇总表'!$C19:$C33,D1,'数据-汇总表'!$E19:$E33))</f>
        <v>107.22</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682" t="s">
        <v>1775</v>
      </c>
      <c r="Q4" s="3683"/>
      <c r="R4" s="3661" t="s">
        <v>1771</v>
      </c>
      <c r="S4" s="3662"/>
      <c r="T4" s="3661" t="s">
        <v>1772</v>
      </c>
      <c r="U4" s="3662"/>
      <c r="V4" s="3690" t="s">
        <v>1773</v>
      </c>
      <c r="W4" s="3690"/>
      <c r="X4" s="1956"/>
      <c r="Y4" s="3661" t="s">
        <v>1775</v>
      </c>
      <c r="Z4" s="3662"/>
      <c r="AA4" s="3656" t="s">
        <v>1771</v>
      </c>
      <c r="AB4" s="3656" t="s">
        <v>1772</v>
      </c>
      <c r="AC4" s="3675" t="s">
        <v>1773</v>
      </c>
    </row>
    <row r="5" spans="1:29" ht="15">
      <c r="A5" s="358"/>
      <c r="B5" s="359"/>
      <c r="C5" s="3667" t="s">
        <v>1673</v>
      </c>
      <c r="D5" s="3668"/>
      <c r="E5" s="3665" t="s">
        <v>3470</v>
      </c>
      <c r="F5" s="3666"/>
      <c r="G5" s="3671" t="s">
        <v>3471</v>
      </c>
      <c r="H5" s="3668"/>
      <c r="I5" s="3671" t="s">
        <v>3473</v>
      </c>
      <c r="J5" s="3668"/>
      <c r="K5" s="559"/>
      <c r="L5" s="2713"/>
      <c r="M5" s="2714"/>
      <c r="N5" s="2714"/>
      <c r="O5" s="2714"/>
      <c r="P5" s="3684"/>
      <c r="Q5" s="3685"/>
      <c r="R5" s="3663"/>
      <c r="S5" s="3664"/>
      <c r="T5" s="3663"/>
      <c r="U5" s="3664"/>
      <c r="V5" s="3691"/>
      <c r="W5" s="3691"/>
      <c r="X5" s="1353"/>
      <c r="Y5" s="3663"/>
      <c r="Z5" s="3664"/>
      <c r="AA5" s="3657"/>
      <c r="AB5" s="3657"/>
      <c r="AC5" s="3676"/>
    </row>
    <row r="6" spans="1:29" ht="15.75" thickBot="1">
      <c r="A6" s="360"/>
      <c r="B6" s="361"/>
      <c r="C6" s="3669" t="s">
        <v>1677</v>
      </c>
      <c r="D6" s="3670"/>
      <c r="E6" s="3672" t="s">
        <v>1677</v>
      </c>
      <c r="F6" s="3673"/>
      <c r="G6" s="3669" t="s">
        <v>1677</v>
      </c>
      <c r="H6" s="3670"/>
      <c r="I6" s="3669" t="s">
        <v>1677</v>
      </c>
      <c r="J6" s="3670"/>
      <c r="K6" s="559" t="s">
        <v>1678</v>
      </c>
      <c r="L6" s="2713"/>
      <c r="M6" s="2714"/>
      <c r="N6" s="2714"/>
      <c r="O6" s="2714"/>
      <c r="P6" s="3686"/>
      <c r="Q6" s="3687"/>
      <c r="R6" s="3663"/>
      <c r="S6" s="3664"/>
      <c r="T6" s="3688"/>
      <c r="U6" s="3689"/>
      <c r="V6" s="3691"/>
      <c r="W6" s="3691"/>
      <c r="X6" s="1353"/>
      <c r="Y6" s="3688"/>
      <c r="Z6" s="3689"/>
      <c r="AA6" s="3658"/>
      <c r="AB6" s="3658"/>
      <c r="AC6" s="3677"/>
    </row>
    <row r="7" spans="1:29" s="108" customFormat="1" ht="15.75" thickBot="1">
      <c r="A7" s="362" t="s">
        <v>1679</v>
      </c>
      <c r="B7" s="363"/>
      <c r="C7" s="364">
        <f>'数据-取费表'!B2</f>
        <v>45107</v>
      </c>
      <c r="D7" s="365">
        <v>100</v>
      </c>
      <c r="E7" s="366">
        <v>45078</v>
      </c>
      <c r="F7" s="367">
        <f>SUMIF(59:59,YEAR(E7)&amp;"-"&amp;MONTH(E7),60:60)</f>
        <v>100</v>
      </c>
      <c r="G7" s="366">
        <v>45078</v>
      </c>
      <c r="H7" s="365">
        <f>SUMIF(59:59,YEAR(G7)&amp;"-"&amp;MONTH(G7),60:60)</f>
        <v>100</v>
      </c>
      <c r="I7" s="366">
        <v>45078</v>
      </c>
      <c r="J7" s="365">
        <f>SUMIF(59:59,YEAR(I7)&amp;"-"&amp;MONTH(I7),60:60)</f>
        <v>100</v>
      </c>
      <c r="K7" s="560"/>
      <c r="L7" s="2715"/>
      <c r="M7" s="2716"/>
      <c r="N7" s="2716"/>
      <c r="O7" s="2716"/>
      <c r="P7" s="3692" t="s">
        <v>1680</v>
      </c>
      <c r="Q7" s="3693"/>
      <c r="R7" s="701" t="s">
        <v>14</v>
      </c>
      <c r="S7" s="702">
        <f t="shared" ref="S7:S15" si="0">F7</f>
        <v>100</v>
      </c>
      <c r="T7" s="701" t="s">
        <v>14</v>
      </c>
      <c r="U7" s="702">
        <f t="shared" ref="U7:U15" si="1">H7</f>
        <v>100</v>
      </c>
      <c r="V7" s="701" t="s">
        <v>14</v>
      </c>
      <c r="W7" s="702">
        <f t="shared" ref="W7:W15" si="2">J7</f>
        <v>100</v>
      </c>
      <c r="X7" s="703"/>
      <c r="Y7" s="3659" t="s">
        <v>1680</v>
      </c>
      <c r="Z7" s="3660"/>
      <c r="AA7" s="704">
        <f>D7/F7</f>
        <v>1</v>
      </c>
      <c r="AB7" s="704">
        <f>D7/H7</f>
        <v>1</v>
      </c>
      <c r="AC7" s="1957">
        <f>D7/J7</f>
        <v>1</v>
      </c>
    </row>
    <row r="8" spans="1:29" s="108" customFormat="1" ht="15.75" thickBot="1">
      <c r="A8" s="362" t="s">
        <v>1681</v>
      </c>
      <c r="B8" s="363"/>
      <c r="C8" s="368" t="s">
        <v>3426</v>
      </c>
      <c r="D8" s="365">
        <v>100</v>
      </c>
      <c r="E8" s="368" t="s">
        <v>3400</v>
      </c>
      <c r="F8" s="367">
        <f>SUMIF(62:62,E8,63:63)-SUMIF(62:62,C8,63:63)+100</f>
        <v>102</v>
      </c>
      <c r="G8" s="368" t="s">
        <v>3400</v>
      </c>
      <c r="H8" s="365">
        <f>SUMIF(62:62,G8,63:63)-SUMIF(62:62,C8,63:63)+100</f>
        <v>102</v>
      </c>
      <c r="I8" s="368" t="s">
        <v>3400</v>
      </c>
      <c r="J8" s="365">
        <f>SUMIF(62:62,I8,63:63)-SUMIF(62:62,C8,63:63)+100</f>
        <v>102</v>
      </c>
      <c r="K8" s="560"/>
      <c r="L8" s="2715"/>
      <c r="M8" s="2716"/>
      <c r="N8" s="2716"/>
      <c r="O8" s="2716"/>
      <c r="P8" s="3692" t="s">
        <v>1683</v>
      </c>
      <c r="Q8" s="3660"/>
      <c r="R8" s="701" t="s">
        <v>14</v>
      </c>
      <c r="S8" s="702">
        <f t="shared" si="0"/>
        <v>102</v>
      </c>
      <c r="T8" s="701" t="s">
        <v>14</v>
      </c>
      <c r="U8" s="702">
        <f t="shared" si="1"/>
        <v>102</v>
      </c>
      <c r="V8" s="701" t="s">
        <v>14</v>
      </c>
      <c r="W8" s="702">
        <f t="shared" si="2"/>
        <v>102</v>
      </c>
      <c r="X8" s="703"/>
      <c r="Y8" s="3659" t="s">
        <v>1683</v>
      </c>
      <c r="Z8" s="3660"/>
      <c r="AA8" s="704">
        <f t="shared" ref="AA8:AA47" si="3">D8/F8</f>
        <v>0.98039215686274506</v>
      </c>
      <c r="AB8" s="704">
        <f t="shared" ref="AB8:AB47" si="4">D8/H8</f>
        <v>0.98039215686274506</v>
      </c>
      <c r="AC8" s="1957">
        <f t="shared" ref="AC8:AC47" si="5">D8/J8</f>
        <v>0.98039215686274506</v>
      </c>
    </row>
    <row r="9" spans="1:29" s="108" customFormat="1">
      <c r="A9" s="369" t="s">
        <v>1684</v>
      </c>
      <c r="B9" s="63" t="s">
        <v>1685</v>
      </c>
      <c r="C9" s="3451" t="s">
        <v>3427</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74" t="s">
        <v>1686</v>
      </c>
      <c r="Q9" s="1341"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4"/>
      <c r="Q10" s="1341"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4"/>
      <c r="Q11" s="1341"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4"/>
      <c r="Q12" s="1341">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4"/>
      <c r="Q13" s="1341">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4"/>
      <c r="Q14" s="1341">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94" t="s">
        <v>1691</v>
      </c>
      <c r="Q15" s="1350" t="str">
        <f t="shared" si="6"/>
        <v>办公集聚程度</v>
      </c>
      <c r="R15" s="705" t="s">
        <v>14</v>
      </c>
      <c r="S15" s="706">
        <f t="shared" si="0"/>
        <v>100</v>
      </c>
      <c r="T15" s="705" t="s">
        <v>14</v>
      </c>
      <c r="U15" s="706">
        <f t="shared" si="1"/>
        <v>100</v>
      </c>
      <c r="V15" s="705" t="s">
        <v>14</v>
      </c>
      <c r="W15" s="706">
        <f t="shared" si="2"/>
        <v>100</v>
      </c>
      <c r="X15" s="1353"/>
      <c r="Y15" s="3696" t="s">
        <v>1691</v>
      </c>
      <c r="Z15" s="1354" t="str">
        <f t="shared" si="7"/>
        <v>办公集聚程度</v>
      </c>
      <c r="AA15" s="1351">
        <f t="shared" si="3"/>
        <v>1</v>
      </c>
      <c r="AB15" s="1351">
        <f t="shared" si="4"/>
        <v>1</v>
      </c>
      <c r="AC15" s="1960">
        <f t="shared" si="5"/>
        <v>1</v>
      </c>
    </row>
    <row r="16" spans="1:29" ht="15">
      <c r="A16" s="379"/>
      <c r="B16" s="578"/>
      <c r="C16" s="1902" t="s">
        <v>3428</v>
      </c>
      <c r="D16" s="399"/>
      <c r="E16" s="1902" t="s">
        <v>3428</v>
      </c>
      <c r="F16" s="399"/>
      <c r="G16" s="1902" t="s">
        <v>3428</v>
      </c>
      <c r="H16" s="401"/>
      <c r="I16" s="1902" t="s">
        <v>3428</v>
      </c>
      <c r="J16" s="399"/>
      <c r="K16" s="564"/>
      <c r="L16" s="2720"/>
      <c r="M16" s="2714"/>
      <c r="N16" s="2714"/>
      <c r="O16" s="2714"/>
      <c r="P16" s="3695"/>
      <c r="Q16" s="1350"/>
      <c r="R16" s="705"/>
      <c r="S16" s="706"/>
      <c r="T16" s="705"/>
      <c r="U16" s="706"/>
      <c r="V16" s="705"/>
      <c r="W16" s="706"/>
      <c r="X16" s="1353"/>
      <c r="Y16" s="3697"/>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95"/>
      <c r="Q17" s="1350" t="str">
        <f>B17</f>
        <v>交通便捷度</v>
      </c>
      <c r="R17" s="705" t="s">
        <v>14</v>
      </c>
      <c r="S17" s="706">
        <f>F17</f>
        <v>100</v>
      </c>
      <c r="T17" s="705" t="s">
        <v>14</v>
      </c>
      <c r="U17" s="706">
        <f>H17</f>
        <v>100</v>
      </c>
      <c r="V17" s="705" t="s">
        <v>14</v>
      </c>
      <c r="W17" s="706">
        <f>J17</f>
        <v>100</v>
      </c>
      <c r="X17" s="1353"/>
      <c r="Y17" s="3697"/>
      <c r="Z17" s="1354" t="str">
        <f>Q17</f>
        <v>交通便捷度</v>
      </c>
      <c r="AA17" s="1351">
        <f t="shared" si="3"/>
        <v>1</v>
      </c>
      <c r="AB17" s="1351">
        <f t="shared" si="4"/>
        <v>1</v>
      </c>
      <c r="AC17" s="1960">
        <f t="shared" si="5"/>
        <v>1</v>
      </c>
    </row>
    <row r="18" spans="1:29" ht="15">
      <c r="A18" s="379"/>
      <c r="B18" s="580"/>
      <c r="C18" s="1902" t="s">
        <v>3428</v>
      </c>
      <c r="D18" s="401"/>
      <c r="E18" s="1902" t="s">
        <v>3428</v>
      </c>
      <c r="F18" s="401"/>
      <c r="G18" s="1902" t="s">
        <v>3428</v>
      </c>
      <c r="H18" s="399"/>
      <c r="I18" s="1902" t="s">
        <v>3428</v>
      </c>
      <c r="J18" s="399"/>
      <c r="K18" s="564"/>
      <c r="L18" s="2720"/>
      <c r="M18" s="2714"/>
      <c r="N18" s="2714"/>
      <c r="O18" s="2714"/>
      <c r="P18" s="3695"/>
      <c r="Q18" s="1350"/>
      <c r="R18" s="705"/>
      <c r="S18" s="706"/>
      <c r="T18" s="705"/>
      <c r="U18" s="706"/>
      <c r="V18" s="705"/>
      <c r="W18" s="706"/>
      <c r="X18" s="1353"/>
      <c r="Y18" s="3697"/>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95"/>
      <c r="Q19" s="1350" t="str">
        <f>B19</f>
        <v>公共配套设施</v>
      </c>
      <c r="R19" s="705" t="s">
        <v>14</v>
      </c>
      <c r="S19" s="706">
        <f>F19</f>
        <v>100</v>
      </c>
      <c r="T19" s="705" t="s">
        <v>14</v>
      </c>
      <c r="U19" s="706">
        <f>H19</f>
        <v>100</v>
      </c>
      <c r="V19" s="705" t="s">
        <v>14</v>
      </c>
      <c r="W19" s="706">
        <f>J19</f>
        <v>100</v>
      </c>
      <c r="X19" s="1353"/>
      <c r="Y19" s="3697"/>
      <c r="Z19" s="1354" t="str">
        <f>Q19</f>
        <v>公共配套设施</v>
      </c>
      <c r="AA19" s="1351">
        <f t="shared" si="3"/>
        <v>1</v>
      </c>
      <c r="AB19" s="1351">
        <f t="shared" si="4"/>
        <v>1</v>
      </c>
      <c r="AC19" s="1960">
        <f t="shared" si="5"/>
        <v>1</v>
      </c>
    </row>
    <row r="20" spans="1:29" ht="15">
      <c r="A20" s="379"/>
      <c r="B20" s="580"/>
      <c r="C20" s="1902" t="s">
        <v>3428</v>
      </c>
      <c r="D20" s="399"/>
      <c r="E20" s="1902" t="s">
        <v>3428</v>
      </c>
      <c r="F20" s="399"/>
      <c r="G20" s="1902" t="s">
        <v>3428</v>
      </c>
      <c r="H20" s="399"/>
      <c r="I20" s="1902" t="s">
        <v>3428</v>
      </c>
      <c r="J20" s="399"/>
      <c r="K20" s="564"/>
      <c r="L20" s="2720"/>
      <c r="M20" s="2714"/>
      <c r="N20" s="2714"/>
      <c r="O20" s="2714"/>
      <c r="P20" s="3695"/>
      <c r="Q20" s="1350"/>
      <c r="R20" s="705"/>
      <c r="S20" s="706"/>
      <c r="T20" s="705"/>
      <c r="U20" s="706"/>
      <c r="V20" s="705"/>
      <c r="W20" s="706"/>
      <c r="X20" s="1353"/>
      <c r="Y20" s="3697"/>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95"/>
      <c r="Q21" s="1350" t="str">
        <f>B21</f>
        <v>基础设施水平</v>
      </c>
      <c r="R21" s="705" t="s">
        <v>14</v>
      </c>
      <c r="S21" s="706">
        <f>F21</f>
        <v>100</v>
      </c>
      <c r="T21" s="705" t="s">
        <v>14</v>
      </c>
      <c r="U21" s="706">
        <f>H21</f>
        <v>100</v>
      </c>
      <c r="V21" s="705" t="s">
        <v>14</v>
      </c>
      <c r="W21" s="706">
        <f>J21</f>
        <v>100</v>
      </c>
      <c r="X21" s="1353"/>
      <c r="Y21" s="3697"/>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95"/>
      <c r="Q22" s="1350"/>
      <c r="R22" s="705"/>
      <c r="S22" s="706"/>
      <c r="T22" s="705"/>
      <c r="U22" s="706"/>
      <c r="V22" s="705"/>
      <c r="W22" s="706"/>
      <c r="X22" s="1353"/>
      <c r="Y22" s="3697"/>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95"/>
      <c r="Q23" s="1350" t="str">
        <f>B23</f>
        <v>环境质量</v>
      </c>
      <c r="R23" s="705" t="s">
        <v>14</v>
      </c>
      <c r="S23" s="706">
        <f>F23</f>
        <v>100</v>
      </c>
      <c r="T23" s="705" t="s">
        <v>14</v>
      </c>
      <c r="U23" s="706">
        <f>H23</f>
        <v>100</v>
      </c>
      <c r="V23" s="705" t="s">
        <v>14</v>
      </c>
      <c r="W23" s="706">
        <f>J23</f>
        <v>100</v>
      </c>
      <c r="X23" s="1353"/>
      <c r="Y23" s="3697"/>
      <c r="Z23" s="1354" t="str">
        <f>Q23</f>
        <v>环境质量</v>
      </c>
      <c r="AA23" s="1351">
        <f t="shared" si="3"/>
        <v>1</v>
      </c>
      <c r="AB23" s="1351">
        <f t="shared" si="4"/>
        <v>1</v>
      </c>
      <c r="AC23" s="1960">
        <f t="shared" si="5"/>
        <v>1</v>
      </c>
    </row>
    <row r="24" spans="1:29" ht="15">
      <c r="A24" s="379"/>
      <c r="B24" s="581"/>
      <c r="C24" s="1902" t="s">
        <v>3428</v>
      </c>
      <c r="D24" s="399"/>
      <c r="E24" s="1902" t="s">
        <v>3428</v>
      </c>
      <c r="F24" s="399"/>
      <c r="G24" s="1902" t="s">
        <v>3428</v>
      </c>
      <c r="H24" s="399"/>
      <c r="I24" s="1902" t="s">
        <v>3428</v>
      </c>
      <c r="J24" s="399"/>
      <c r="K24" s="564"/>
      <c r="L24" s="2720"/>
      <c r="M24" s="2714"/>
      <c r="N24" s="2714"/>
      <c r="O24" s="2714"/>
      <c r="P24" s="3695"/>
      <c r="Q24" s="1350"/>
      <c r="R24" s="705"/>
      <c r="S24" s="706"/>
      <c r="T24" s="705"/>
      <c r="U24" s="706"/>
      <c r="V24" s="705"/>
      <c r="W24" s="706"/>
      <c r="X24" s="1353"/>
      <c r="Y24" s="3697"/>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95"/>
      <c r="Q25" s="1350" t="str">
        <f>B25</f>
        <v>毗邻道路的类型与等级</v>
      </c>
      <c r="R25" s="705" t="s">
        <v>14</v>
      </c>
      <c r="S25" s="706">
        <f>F25</f>
        <v>100</v>
      </c>
      <c r="T25" s="705" t="s">
        <v>14</v>
      </c>
      <c r="U25" s="706">
        <f>H25</f>
        <v>100</v>
      </c>
      <c r="V25" s="705" t="s">
        <v>14</v>
      </c>
      <c r="W25" s="706">
        <f>J25</f>
        <v>100</v>
      </c>
      <c r="X25" s="1353"/>
      <c r="Y25" s="3697"/>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95"/>
      <c r="Q26" s="1350"/>
      <c r="R26" s="705"/>
      <c r="S26" s="706"/>
      <c r="T26" s="705"/>
      <c r="U26" s="706"/>
      <c r="V26" s="705"/>
      <c r="W26" s="706"/>
      <c r="X26" s="1353"/>
      <c r="Y26" s="3697"/>
      <c r="Z26" s="1354"/>
      <c r="AA26" s="1351">
        <v>1</v>
      </c>
      <c r="AB26" s="1351">
        <v>1</v>
      </c>
      <c r="AC26" s="1960">
        <v>1</v>
      </c>
    </row>
    <row r="27" spans="1:29" ht="15">
      <c r="A27" s="379"/>
      <c r="B27" s="580" t="s">
        <v>1783</v>
      </c>
      <c r="C27" s="582" t="s">
        <v>3408</v>
      </c>
      <c r="D27" s="386">
        <v>100</v>
      </c>
      <c r="E27" s="565" t="s">
        <v>3409</v>
      </c>
      <c r="F27" s="386">
        <f>SUMIF(89:89,E27,90:90)-SUMIF(89:89,C27,90:90)+100</f>
        <v>98</v>
      </c>
      <c r="G27" s="582" t="s">
        <v>3409</v>
      </c>
      <c r="H27" s="386">
        <f>SUMIF(89:89,G27,90:90)-SUMIF(89:89,C27,90:90)+100</f>
        <v>98</v>
      </c>
      <c r="I27" s="582" t="s">
        <v>3408</v>
      </c>
      <c r="J27" s="386">
        <f>SUMIF(89:89,I27,90:90)-SUMIF(89:89,C27,90:90)+100</f>
        <v>100</v>
      </c>
      <c r="K27" s="561">
        <v>2</v>
      </c>
      <c r="L27" s="2720"/>
      <c r="M27" s="2714"/>
      <c r="N27" s="2714"/>
      <c r="O27" s="2714"/>
      <c r="P27" s="3695"/>
      <c r="Q27" s="1350" t="str">
        <f t="shared" ref="Q27:Q47" si="11">B27</f>
        <v>楼层</v>
      </c>
      <c r="R27" s="705" t="s">
        <v>14</v>
      </c>
      <c r="S27" s="706">
        <f>F27</f>
        <v>98</v>
      </c>
      <c r="T27" s="705" t="s">
        <v>14</v>
      </c>
      <c r="U27" s="706">
        <f>H27</f>
        <v>98</v>
      </c>
      <c r="V27" s="705" t="s">
        <v>14</v>
      </c>
      <c r="W27" s="706">
        <f>J27</f>
        <v>100</v>
      </c>
      <c r="X27" s="1353"/>
      <c r="Y27" s="3697"/>
      <c r="Z27" s="1354" t="str">
        <f>Q27</f>
        <v>楼层</v>
      </c>
      <c r="AA27" s="1351">
        <f t="shared" si="3"/>
        <v>1.0204081632653061</v>
      </c>
      <c r="AB27" s="1351">
        <f t="shared" si="4"/>
        <v>1.0204081632653061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95"/>
      <c r="Q28" s="1341" t="str">
        <f t="shared" si="11"/>
        <v>朝向</v>
      </c>
      <c r="R28" s="701" t="s">
        <v>14</v>
      </c>
      <c r="S28" s="702">
        <f>F28</f>
        <v>100</v>
      </c>
      <c r="T28" s="701" t="s">
        <v>14</v>
      </c>
      <c r="U28" s="702">
        <f>H28</f>
        <v>100</v>
      </c>
      <c r="V28" s="701" t="s">
        <v>14</v>
      </c>
      <c r="W28" s="702">
        <f>J28</f>
        <v>100</v>
      </c>
      <c r="X28" s="703"/>
      <c r="Y28" s="3697"/>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95"/>
      <c r="Q29" s="1350">
        <f t="shared" si="11"/>
        <v>111</v>
      </c>
      <c r="R29" s="705" t="s">
        <v>14</v>
      </c>
      <c r="S29" s="706">
        <f t="shared" ref="S29:S47" si="12">F29</f>
        <v>100</v>
      </c>
      <c r="T29" s="705" t="s">
        <v>14</v>
      </c>
      <c r="U29" s="706">
        <f t="shared" ref="U29:U47" si="13">H29</f>
        <v>100</v>
      </c>
      <c r="V29" s="705" t="s">
        <v>14</v>
      </c>
      <c r="W29" s="706">
        <f t="shared" ref="W29:W47" si="14">J29</f>
        <v>100</v>
      </c>
      <c r="X29" s="1353"/>
      <c r="Y29" s="3697"/>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95"/>
      <c r="Q30" s="1350">
        <f t="shared" si="11"/>
        <v>111</v>
      </c>
      <c r="R30" s="705" t="s">
        <v>14</v>
      </c>
      <c r="S30" s="706">
        <f t="shared" si="12"/>
        <v>100</v>
      </c>
      <c r="T30" s="705" t="s">
        <v>14</v>
      </c>
      <c r="U30" s="706">
        <f t="shared" si="13"/>
        <v>100</v>
      </c>
      <c r="V30" s="705" t="s">
        <v>14</v>
      </c>
      <c r="W30" s="706">
        <f t="shared" si="14"/>
        <v>100</v>
      </c>
      <c r="X30" s="1353"/>
      <c r="Y30" s="3697"/>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95"/>
      <c r="Q31" s="1350">
        <f t="shared" si="11"/>
        <v>111</v>
      </c>
      <c r="R31" s="705" t="s">
        <v>14</v>
      </c>
      <c r="S31" s="706">
        <f t="shared" si="12"/>
        <v>100</v>
      </c>
      <c r="T31" s="705" t="s">
        <v>14</v>
      </c>
      <c r="U31" s="706">
        <f t="shared" si="13"/>
        <v>100</v>
      </c>
      <c r="V31" s="705" t="s">
        <v>14</v>
      </c>
      <c r="W31" s="706">
        <f t="shared" si="14"/>
        <v>100</v>
      </c>
      <c r="X31" s="1353"/>
      <c r="Y31" s="3697"/>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95"/>
      <c r="Q32" s="1350">
        <f t="shared" si="11"/>
        <v>111</v>
      </c>
      <c r="R32" s="705" t="s">
        <v>14</v>
      </c>
      <c r="S32" s="706">
        <f t="shared" si="12"/>
        <v>100</v>
      </c>
      <c r="T32" s="705" t="s">
        <v>14</v>
      </c>
      <c r="U32" s="706">
        <f t="shared" si="13"/>
        <v>100</v>
      </c>
      <c r="V32" s="705" t="s">
        <v>14</v>
      </c>
      <c r="W32" s="706">
        <f t="shared" si="14"/>
        <v>100</v>
      </c>
      <c r="X32" s="1353"/>
      <c r="Y32" s="3697"/>
      <c r="Z32" s="1354">
        <f t="shared" si="15"/>
        <v>111</v>
      </c>
      <c r="AA32" s="1351">
        <f t="shared" si="3"/>
        <v>1</v>
      </c>
      <c r="AB32" s="1351">
        <f t="shared" si="4"/>
        <v>1</v>
      </c>
      <c r="AC32" s="1960">
        <f t="shared" si="5"/>
        <v>1</v>
      </c>
    </row>
    <row r="33" spans="1:29" ht="15">
      <c r="A33" s="391" t="s">
        <v>1694</v>
      </c>
      <c r="B33" s="63" t="s">
        <v>1817</v>
      </c>
      <c r="C33" s="1965" t="s">
        <v>3410</v>
      </c>
      <c r="D33" s="418">
        <v>100</v>
      </c>
      <c r="E33" s="1965" t="s">
        <v>3410</v>
      </c>
      <c r="F33" s="412">
        <f>SUMIF(101:101,E33,102:102)-SUMIF(101:101,C33,102:102)+100</f>
        <v>100</v>
      </c>
      <c r="G33" s="1965" t="s">
        <v>3410</v>
      </c>
      <c r="H33" s="386">
        <f>SUMIF(101:101,G33,102:102)-SUMIF(101:101,C33,102:102)+100</f>
        <v>100</v>
      </c>
      <c r="I33" s="1965" t="s">
        <v>3410</v>
      </c>
      <c r="J33" s="418">
        <f>SUMIF(101:101,I33,102:102)-SUMIF(101:101,C33,102:102)+100</f>
        <v>100</v>
      </c>
      <c r="K33" s="561">
        <v>1</v>
      </c>
      <c r="L33" s="2720"/>
      <c r="M33" s="2714"/>
      <c r="N33" s="2714"/>
      <c r="O33" s="2714"/>
      <c r="P33" s="3698" t="s">
        <v>1696</v>
      </c>
      <c r="Q33" s="1350" t="str">
        <f t="shared" si="11"/>
        <v>建筑类型</v>
      </c>
      <c r="R33" s="705" t="s">
        <v>14</v>
      </c>
      <c r="S33" s="706">
        <f t="shared" si="12"/>
        <v>100</v>
      </c>
      <c r="T33" s="705" t="s">
        <v>14</v>
      </c>
      <c r="U33" s="706">
        <f t="shared" si="13"/>
        <v>100</v>
      </c>
      <c r="V33" s="705" t="s">
        <v>14</v>
      </c>
      <c r="W33" s="706">
        <f t="shared" si="14"/>
        <v>100</v>
      </c>
      <c r="X33" s="1353"/>
      <c r="Y33" s="3701" t="s">
        <v>1696</v>
      </c>
      <c r="Z33" s="1354" t="str">
        <f t="shared" si="15"/>
        <v>建筑类型</v>
      </c>
      <c r="AA33" s="1351">
        <f t="shared" si="3"/>
        <v>1</v>
      </c>
      <c r="AB33" s="1351">
        <f t="shared" si="4"/>
        <v>1</v>
      </c>
      <c r="AC33" s="1960">
        <f t="shared" si="5"/>
        <v>1</v>
      </c>
    </row>
    <row r="34" spans="1:29" s="422" customFormat="1" ht="15">
      <c r="A34" s="419"/>
      <c r="B34" s="375" t="s">
        <v>1697</v>
      </c>
      <c r="C34" s="420">
        <f>'数据-汇总表'!E19</f>
        <v>107.22</v>
      </c>
      <c r="D34" s="127">
        <v>100</v>
      </c>
      <c r="E34" s="381">
        <v>89.11</v>
      </c>
      <c r="F34" s="376">
        <f>LOOKUP(E34,104:104,105:105)-LOOKUP(C34,104:104,105:105)+100</f>
        <v>100</v>
      </c>
      <c r="G34" s="380">
        <v>167</v>
      </c>
      <c r="H34" s="127">
        <f>LOOKUP(G34,104:104,105:105)-LOOKUP(C34,104:104,105:105)+100</f>
        <v>100</v>
      </c>
      <c r="I34" s="380">
        <v>176</v>
      </c>
      <c r="J34" s="127">
        <f>LOOKUP(I34,104:104,105:105)-LOOKUP(C34,104:104,105:105)+100</f>
        <v>100</v>
      </c>
      <c r="K34" s="562"/>
      <c r="L34" s="2719"/>
      <c r="M34" s="2721"/>
      <c r="N34" s="2721"/>
      <c r="O34" s="2721"/>
      <c r="P34" s="3699"/>
      <c r="Q34" s="707" t="str">
        <f t="shared" si="11"/>
        <v>项目建筑规模</v>
      </c>
      <c r="R34" s="708" t="s">
        <v>14</v>
      </c>
      <c r="S34" s="709">
        <f t="shared" si="12"/>
        <v>100</v>
      </c>
      <c r="T34" s="708" t="s">
        <v>14</v>
      </c>
      <c r="U34" s="709">
        <f t="shared" si="13"/>
        <v>100</v>
      </c>
      <c r="V34" s="708" t="s">
        <v>14</v>
      </c>
      <c r="W34" s="709">
        <f t="shared" si="14"/>
        <v>100</v>
      </c>
      <c r="X34" s="710"/>
      <c r="Y34" s="3701"/>
      <c r="Z34" s="711" t="str">
        <f t="shared" si="15"/>
        <v>项目建筑规模</v>
      </c>
      <c r="AA34" s="1351">
        <f t="shared" si="3"/>
        <v>1</v>
      </c>
      <c r="AB34" s="1351">
        <f t="shared" si="4"/>
        <v>1</v>
      </c>
      <c r="AC34" s="1960">
        <f t="shared" si="5"/>
        <v>1</v>
      </c>
    </row>
    <row r="35" spans="1:29" ht="15">
      <c r="A35" s="423"/>
      <c r="B35" s="375" t="s">
        <v>1698</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1</v>
      </c>
      <c r="L35" s="2720"/>
      <c r="M35" s="2714"/>
      <c r="N35" s="2714"/>
      <c r="O35" s="2714"/>
      <c r="P35" s="3699"/>
      <c r="Q35" s="1350" t="str">
        <f t="shared" si="11"/>
        <v>建筑结构</v>
      </c>
      <c r="R35" s="705" t="s">
        <v>14</v>
      </c>
      <c r="S35" s="706">
        <f t="shared" si="12"/>
        <v>100</v>
      </c>
      <c r="T35" s="705" t="s">
        <v>14</v>
      </c>
      <c r="U35" s="706">
        <f t="shared" si="13"/>
        <v>100</v>
      </c>
      <c r="V35" s="705" t="s">
        <v>14</v>
      </c>
      <c r="W35" s="706">
        <f t="shared" si="14"/>
        <v>100</v>
      </c>
      <c r="X35" s="1353"/>
      <c r="Y35" s="3701"/>
      <c r="Z35" s="1354" t="str">
        <f t="shared" si="15"/>
        <v>建筑结构</v>
      </c>
      <c r="AA35" s="1351">
        <f t="shared" si="3"/>
        <v>1</v>
      </c>
      <c r="AB35" s="1351">
        <f t="shared" si="4"/>
        <v>1</v>
      </c>
      <c r="AC35" s="1960">
        <f t="shared" si="5"/>
        <v>1</v>
      </c>
    </row>
    <row r="36" spans="1:29" ht="15">
      <c r="A36" s="423"/>
      <c r="B36" s="375" t="s">
        <v>1785</v>
      </c>
      <c r="C36" s="411" t="s">
        <v>3429</v>
      </c>
      <c r="D36" s="386">
        <v>100</v>
      </c>
      <c r="E36" s="411" t="s">
        <v>3429</v>
      </c>
      <c r="F36" s="412">
        <f>SUMIF(108:108,E36,109:109)-SUMIF(108:108,C36,109:109)+100</f>
        <v>100</v>
      </c>
      <c r="G36" s="411" t="s">
        <v>3429</v>
      </c>
      <c r="H36" s="386">
        <f>SUMIF(108:108,G36,109:109)-SUMIF(108:108,C36,109:109)+100</f>
        <v>100</v>
      </c>
      <c r="I36" s="411" t="s">
        <v>3429</v>
      </c>
      <c r="J36" s="386">
        <f>SUMIF(108:108,I36,109:109)-SUMIF(108:108,C36,109:109)+100</f>
        <v>100</v>
      </c>
      <c r="K36" s="561">
        <v>1</v>
      </c>
      <c r="L36" s="2720"/>
      <c r="M36" s="2714"/>
      <c r="N36" s="2714"/>
      <c r="O36" s="2714"/>
      <c r="P36" s="3699"/>
      <c r="Q36" s="1350" t="str">
        <f t="shared" si="11"/>
        <v>公共部分装修</v>
      </c>
      <c r="R36" s="705" t="s">
        <v>14</v>
      </c>
      <c r="S36" s="706">
        <f t="shared" si="12"/>
        <v>100</v>
      </c>
      <c r="T36" s="705" t="s">
        <v>14</v>
      </c>
      <c r="U36" s="706">
        <f t="shared" si="13"/>
        <v>100</v>
      </c>
      <c r="V36" s="705" t="s">
        <v>14</v>
      </c>
      <c r="W36" s="706">
        <f t="shared" si="14"/>
        <v>100</v>
      </c>
      <c r="X36" s="1353"/>
      <c r="Y36" s="3701"/>
      <c r="Z36" s="1354" t="str">
        <f t="shared" si="15"/>
        <v>公共部分装修</v>
      </c>
      <c r="AA36" s="1351">
        <f t="shared" si="3"/>
        <v>1</v>
      </c>
      <c r="AB36" s="1351">
        <f t="shared" si="4"/>
        <v>1</v>
      </c>
      <c r="AC36" s="1960">
        <f t="shared" si="5"/>
        <v>1</v>
      </c>
    </row>
    <row r="37" spans="1:29" ht="15">
      <c r="A37" s="423"/>
      <c r="B37" s="375" t="s">
        <v>1786</v>
      </c>
      <c r="C37" s="425">
        <f>'数据-取费表'!Y6</f>
        <v>0.78</v>
      </c>
      <c r="D37" s="386">
        <v>100</v>
      </c>
      <c r="E37" s="425">
        <v>0.8</v>
      </c>
      <c r="F37" s="412">
        <f>LOOKUP(E37,111:111,112:112)-LOOKUP(C37,111:111,112:112)+100</f>
        <v>100</v>
      </c>
      <c r="G37" s="425">
        <f>C37</f>
        <v>0.78</v>
      </c>
      <c r="H37" s="412">
        <f>LOOKUP(G37,111:111,112:112)-LOOKUP(C37,111:111,112:112)+100</f>
        <v>100</v>
      </c>
      <c r="I37" s="425">
        <v>0.8</v>
      </c>
      <c r="J37" s="386">
        <f>LOOKUP(I37,111:111,112:112)-LOOKUP(C37,111:111,112:112)+100</f>
        <v>100</v>
      </c>
      <c r="K37" s="561">
        <v>0</v>
      </c>
      <c r="L37" s="2720"/>
      <c r="M37" s="2714"/>
      <c r="N37" s="2714"/>
      <c r="O37" s="2714"/>
      <c r="P37" s="3699"/>
      <c r="Q37" s="1350" t="str">
        <f t="shared" si="11"/>
        <v>成新度</v>
      </c>
      <c r="R37" s="705" t="s">
        <v>14</v>
      </c>
      <c r="S37" s="706">
        <f t="shared" si="12"/>
        <v>100</v>
      </c>
      <c r="T37" s="705" t="s">
        <v>14</v>
      </c>
      <c r="U37" s="706">
        <f t="shared" si="13"/>
        <v>100</v>
      </c>
      <c r="V37" s="705" t="s">
        <v>14</v>
      </c>
      <c r="W37" s="706">
        <f t="shared" si="14"/>
        <v>100</v>
      </c>
      <c r="X37" s="1353"/>
      <c r="Y37" s="3701"/>
      <c r="Z37" s="1354" t="str">
        <f t="shared" si="15"/>
        <v>成新度</v>
      </c>
      <c r="AA37" s="1351">
        <f t="shared" si="3"/>
        <v>1</v>
      </c>
      <c r="AB37" s="1351">
        <f t="shared" si="4"/>
        <v>1</v>
      </c>
      <c r="AC37" s="1960">
        <f t="shared" si="5"/>
        <v>1</v>
      </c>
    </row>
    <row r="38" spans="1:29" s="108" customFormat="1" ht="15">
      <c r="A38" s="424"/>
      <c r="B38" s="375" t="s">
        <v>1818</v>
      </c>
      <c r="C38" s="411" t="s">
        <v>3424</v>
      </c>
      <c r="D38" s="127">
        <v>100</v>
      </c>
      <c r="E38" s="411" t="s">
        <v>3424</v>
      </c>
      <c r="F38" s="412">
        <f>SUMIF(113:113,E38,114:114)-SUMIF(113:113,C38,114:114)+100</f>
        <v>100</v>
      </c>
      <c r="G38" s="411" t="s">
        <v>3424</v>
      </c>
      <c r="H38" s="386">
        <f>SUMIF(113:113,G38,114:114)-SUMIF(113:113,C38,114:114)+100</f>
        <v>100</v>
      </c>
      <c r="I38" s="411" t="s">
        <v>3424</v>
      </c>
      <c r="J38" s="386">
        <f>SUMIF(113:113,I38,114:114)-SUMIF(113:113,C38,114:114)+100</f>
        <v>100</v>
      </c>
      <c r="K38" s="561">
        <v>1</v>
      </c>
      <c r="L38" s="2715"/>
      <c r="M38" s="2716"/>
      <c r="N38" s="2716"/>
      <c r="O38" s="2716"/>
      <c r="P38" s="3699"/>
      <c r="Q38" s="1341" t="str">
        <f t="shared" si="11"/>
        <v>写字楼等级</v>
      </c>
      <c r="R38" s="701" t="s">
        <v>14</v>
      </c>
      <c r="S38" s="702">
        <f t="shared" si="12"/>
        <v>100</v>
      </c>
      <c r="T38" s="701" t="s">
        <v>14</v>
      </c>
      <c r="U38" s="702">
        <f t="shared" si="13"/>
        <v>100</v>
      </c>
      <c r="V38" s="701" t="s">
        <v>14</v>
      </c>
      <c r="W38" s="702">
        <f t="shared" si="14"/>
        <v>100</v>
      </c>
      <c r="X38" s="703"/>
      <c r="Y38" s="3701"/>
      <c r="Z38" s="52" t="str">
        <f t="shared" si="15"/>
        <v>写字楼等级</v>
      </c>
      <c r="AA38" s="704">
        <f t="shared" si="3"/>
        <v>1</v>
      </c>
      <c r="AB38" s="704">
        <f t="shared" si="4"/>
        <v>1</v>
      </c>
      <c r="AC38" s="1957">
        <f t="shared" si="5"/>
        <v>1</v>
      </c>
    </row>
    <row r="39" spans="1:29" ht="15">
      <c r="A39" s="423"/>
      <c r="B39" s="375" t="s">
        <v>1819</v>
      </c>
      <c r="C39" s="411" t="s">
        <v>3422</v>
      </c>
      <c r="D39" s="386">
        <v>100</v>
      </c>
      <c r="E39" s="411" t="s">
        <v>3422</v>
      </c>
      <c r="F39" s="412">
        <f>SUMIF(115:115,E39,116:116)-SUMIF(115:115,C39,116:116)+100</f>
        <v>100</v>
      </c>
      <c r="G39" s="411" t="s">
        <v>3422</v>
      </c>
      <c r="H39" s="386">
        <f>SUMIF(115:115,G39,116:116)-SUMIF(115:115,C39,116:116)+100</f>
        <v>100</v>
      </c>
      <c r="I39" s="411" t="s">
        <v>3422</v>
      </c>
      <c r="J39" s="386">
        <f>SUMIF(115:115,I39,116:116)-SUMIF(115:115,C39,116:116)+100</f>
        <v>100</v>
      </c>
      <c r="K39" s="561">
        <v>1</v>
      </c>
      <c r="L39" s="2720"/>
      <c r="M39" s="2714"/>
      <c r="N39" s="2714"/>
      <c r="O39" s="2714"/>
      <c r="P39" s="3699" t="s">
        <v>1696</v>
      </c>
      <c r="Q39" s="1350" t="str">
        <f t="shared" si="11"/>
        <v>物业管理</v>
      </c>
      <c r="R39" s="705" t="s">
        <v>14</v>
      </c>
      <c r="S39" s="706">
        <f t="shared" si="12"/>
        <v>100</v>
      </c>
      <c r="T39" s="705" t="s">
        <v>14</v>
      </c>
      <c r="U39" s="706">
        <f t="shared" si="13"/>
        <v>100</v>
      </c>
      <c r="V39" s="705" t="s">
        <v>14</v>
      </c>
      <c r="W39" s="706">
        <f t="shared" si="14"/>
        <v>100</v>
      </c>
      <c r="X39" s="1353"/>
      <c r="Y39" s="3701" t="s">
        <v>1696</v>
      </c>
      <c r="Z39" s="1354" t="str">
        <f t="shared" si="15"/>
        <v>物业管理</v>
      </c>
      <c r="AA39" s="1351">
        <f t="shared" si="3"/>
        <v>1</v>
      </c>
      <c r="AB39" s="1351">
        <f t="shared" si="4"/>
        <v>1</v>
      </c>
      <c r="AC39" s="1960">
        <f t="shared" si="5"/>
        <v>1</v>
      </c>
    </row>
    <row r="40" spans="1:29" ht="15">
      <c r="A40" s="423"/>
      <c r="B40" s="375" t="s">
        <v>1787</v>
      </c>
      <c r="C40" s="411" t="s">
        <v>3419</v>
      </c>
      <c r="D40" s="386">
        <v>100</v>
      </c>
      <c r="E40" s="411" t="s">
        <v>3419</v>
      </c>
      <c r="F40" s="412">
        <f>SUMIF(117:117,E40,118:118)-SUMIF(117:117,C40,118:118)+100</f>
        <v>100</v>
      </c>
      <c r="G40" s="411" t="s">
        <v>3419</v>
      </c>
      <c r="H40" s="386">
        <f>SUMIF(117:117,G40,118:118)-SUMIF(117:117,C40,118:118)+100</f>
        <v>100</v>
      </c>
      <c r="I40" s="411" t="s">
        <v>3419</v>
      </c>
      <c r="J40" s="386">
        <f>SUMIF(117:117,I40,118:118)-SUMIF(117:117,C40,118:118)+100</f>
        <v>100</v>
      </c>
      <c r="K40" s="561">
        <v>1</v>
      </c>
      <c r="L40" s="2720"/>
      <c r="M40" s="2714"/>
      <c r="N40" s="2714"/>
      <c r="O40" s="2714"/>
      <c r="P40" s="3699"/>
      <c r="Q40" s="1350" t="str">
        <f t="shared" si="11"/>
        <v>市政基础设施</v>
      </c>
      <c r="R40" s="705" t="s">
        <v>14</v>
      </c>
      <c r="S40" s="706">
        <f t="shared" si="12"/>
        <v>100</v>
      </c>
      <c r="T40" s="705" t="s">
        <v>14</v>
      </c>
      <c r="U40" s="706">
        <f t="shared" si="13"/>
        <v>100</v>
      </c>
      <c r="V40" s="705" t="s">
        <v>14</v>
      </c>
      <c r="W40" s="706">
        <f t="shared" si="14"/>
        <v>100</v>
      </c>
      <c r="X40" s="1353"/>
      <c r="Y40" s="3701"/>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9"/>
      <c r="Q41" s="1350" t="str">
        <f t="shared" si="11"/>
        <v>层高</v>
      </c>
      <c r="R41" s="705" t="s">
        <v>14</v>
      </c>
      <c r="S41" s="706">
        <f t="shared" si="12"/>
        <v>100</v>
      </c>
      <c r="T41" s="705" t="s">
        <v>14</v>
      </c>
      <c r="U41" s="706">
        <f t="shared" si="13"/>
        <v>100</v>
      </c>
      <c r="V41" s="705" t="s">
        <v>14</v>
      </c>
      <c r="W41" s="706">
        <f t="shared" si="14"/>
        <v>100</v>
      </c>
      <c r="X41" s="1353"/>
      <c r="Y41" s="3701"/>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1351">
        <f t="shared" si="3"/>
        <v>1</v>
      </c>
      <c r="AB42" s="1351">
        <f t="shared" si="4"/>
        <v>1</v>
      </c>
      <c r="AC42" s="1960">
        <f t="shared" si="5"/>
        <v>1</v>
      </c>
    </row>
    <row r="43" spans="1:29" ht="15">
      <c r="A43" s="423"/>
      <c r="B43" s="375" t="s">
        <v>1792</v>
      </c>
      <c r="C43" s="411" t="s">
        <v>3429</v>
      </c>
      <c r="D43" s="386">
        <v>100</v>
      </c>
      <c r="E43" s="411" t="s">
        <v>3472</v>
      </c>
      <c r="F43" s="412">
        <f>SUMIF(123:123,E43,124:124)-SUMIF(123:123,C43,124:124)+100</f>
        <v>98</v>
      </c>
      <c r="G43" s="411" t="s">
        <v>3472</v>
      </c>
      <c r="H43" s="386">
        <f>SUMIF(123:123,G43,124:124)-SUMIF(123:123,C43,124:124)+100</f>
        <v>98</v>
      </c>
      <c r="I43" s="411" t="s">
        <v>3429</v>
      </c>
      <c r="J43" s="386">
        <f>SUMIF(123:123,I43,124:124)-SUMIF(123:123,C43,124:124)+100</f>
        <v>100</v>
      </c>
      <c r="K43" s="561">
        <v>2</v>
      </c>
      <c r="L43" s="2720"/>
      <c r="M43" s="2714"/>
      <c r="N43" s="2714"/>
      <c r="O43" s="2714"/>
      <c r="P43" s="3699"/>
      <c r="Q43" s="1350" t="str">
        <f t="shared" si="11"/>
        <v>内部装修</v>
      </c>
      <c r="R43" s="705" t="s">
        <v>14</v>
      </c>
      <c r="S43" s="706">
        <f t="shared" si="12"/>
        <v>98</v>
      </c>
      <c r="T43" s="705" t="s">
        <v>14</v>
      </c>
      <c r="U43" s="706">
        <f t="shared" si="13"/>
        <v>98</v>
      </c>
      <c r="V43" s="705" t="s">
        <v>14</v>
      </c>
      <c r="W43" s="706">
        <f t="shared" si="14"/>
        <v>100</v>
      </c>
      <c r="X43" s="1353"/>
      <c r="Y43" s="3701"/>
      <c r="Z43" s="1354" t="str">
        <f t="shared" si="15"/>
        <v>内部装修</v>
      </c>
      <c r="AA43" s="1351">
        <f t="shared" si="3"/>
        <v>1.0204081632653061</v>
      </c>
      <c r="AB43" s="1351">
        <f t="shared" si="4"/>
        <v>1.0204081632653061</v>
      </c>
      <c r="AC43" s="1960">
        <f t="shared" si="5"/>
        <v>1</v>
      </c>
    </row>
    <row r="44" spans="1:29" ht="15">
      <c r="A44" s="423"/>
      <c r="B44" s="375" t="s">
        <v>1707</v>
      </c>
      <c r="C44" s="411" t="s">
        <v>3428</v>
      </c>
      <c r="D44" s="386">
        <v>100</v>
      </c>
      <c r="E44" s="411" t="s">
        <v>3428</v>
      </c>
      <c r="F44" s="412">
        <f>SUMIF(125:125,E44,126:126)-SUMIF(125:125,C44,126:126)+100</f>
        <v>100</v>
      </c>
      <c r="G44" s="411" t="s">
        <v>3428</v>
      </c>
      <c r="H44" s="386">
        <f>SUMIF(125:125,G44,126:126)-SUMIF(125:125,C44,126:126)+100</f>
        <v>100</v>
      </c>
      <c r="I44" s="411" t="s">
        <v>3428</v>
      </c>
      <c r="J44" s="386">
        <f>SUMIF(125:125,I44,126:126)-SUMIF(125:125,C44,126:126)+100</f>
        <v>100</v>
      </c>
      <c r="K44" s="561">
        <v>1</v>
      </c>
      <c r="L44" s="2720"/>
      <c r="M44" s="2714"/>
      <c r="N44" s="2714"/>
      <c r="O44" s="2714"/>
      <c r="P44" s="3699"/>
      <c r="Q44" s="1350" t="str">
        <f t="shared" si="11"/>
        <v>内部装修维护情况</v>
      </c>
      <c r="R44" s="705" t="s">
        <v>14</v>
      </c>
      <c r="S44" s="706">
        <f t="shared" si="12"/>
        <v>100</v>
      </c>
      <c r="T44" s="705" t="s">
        <v>14</v>
      </c>
      <c r="U44" s="706">
        <f t="shared" si="13"/>
        <v>100</v>
      </c>
      <c r="V44" s="705" t="s">
        <v>14</v>
      </c>
      <c r="W44" s="706">
        <f t="shared" si="14"/>
        <v>100</v>
      </c>
      <c r="X44" s="1353"/>
      <c r="Y44" s="3701"/>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9"/>
      <c r="Q45" s="1341">
        <f t="shared" si="11"/>
        <v>111</v>
      </c>
      <c r="R45" s="701" t="s">
        <v>14</v>
      </c>
      <c r="S45" s="702">
        <f t="shared" si="12"/>
        <v>100</v>
      </c>
      <c r="T45" s="701" t="s">
        <v>14</v>
      </c>
      <c r="U45" s="702">
        <f t="shared" si="13"/>
        <v>100</v>
      </c>
      <c r="V45" s="701" t="s">
        <v>14</v>
      </c>
      <c r="W45" s="702">
        <f t="shared" si="14"/>
        <v>100</v>
      </c>
      <c r="X45" s="703"/>
      <c r="Y45" s="3701"/>
      <c r="Z45" s="52">
        <f t="shared" si="15"/>
        <v>111</v>
      </c>
      <c r="AA45" s="704">
        <f t="shared" si="3"/>
        <v>1</v>
      </c>
      <c r="AB45" s="704">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9"/>
      <c r="Q46" s="1350">
        <f t="shared" si="11"/>
        <v>111</v>
      </c>
      <c r="R46" s="705" t="s">
        <v>14</v>
      </c>
      <c r="S46" s="706">
        <f t="shared" si="12"/>
        <v>100</v>
      </c>
      <c r="T46" s="705" t="s">
        <v>14</v>
      </c>
      <c r="U46" s="706">
        <f t="shared" si="13"/>
        <v>100</v>
      </c>
      <c r="V46" s="705" t="s">
        <v>14</v>
      </c>
      <c r="W46" s="706">
        <f t="shared" si="14"/>
        <v>100</v>
      </c>
      <c r="X46" s="1353"/>
      <c r="Y46" s="3701"/>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0"/>
      <c r="Q47" s="1350">
        <f t="shared" si="11"/>
        <v>111</v>
      </c>
      <c r="R47" s="705" t="s">
        <v>14</v>
      </c>
      <c r="S47" s="706">
        <f t="shared" si="12"/>
        <v>100</v>
      </c>
      <c r="T47" s="705" t="s">
        <v>14</v>
      </c>
      <c r="U47" s="706">
        <f t="shared" si="13"/>
        <v>100</v>
      </c>
      <c r="V47" s="705" t="s">
        <v>14</v>
      </c>
      <c r="W47" s="706">
        <f t="shared" si="14"/>
        <v>100</v>
      </c>
      <c r="X47" s="1353"/>
      <c r="Y47" s="3702"/>
      <c r="Z47" s="1354">
        <f t="shared" si="15"/>
        <v>111</v>
      </c>
      <c r="AA47" s="1351">
        <f t="shared" si="3"/>
        <v>1</v>
      </c>
      <c r="AB47" s="1351">
        <f t="shared" si="4"/>
        <v>1</v>
      </c>
      <c r="AC47" s="1960">
        <f t="shared" si="5"/>
        <v>1</v>
      </c>
    </row>
    <row r="48" spans="1:29" ht="15">
      <c r="A48" s="430" t="s">
        <v>1708</v>
      </c>
      <c r="B48" s="431"/>
      <c r="C48" s="1152" t="s">
        <v>0</v>
      </c>
      <c r="D48" s="1153"/>
      <c r="E48" s="1154">
        <v>37033</v>
      </c>
      <c r="F48" s="1155"/>
      <c r="G48" s="1156">
        <v>40000</v>
      </c>
      <c r="H48" s="1157"/>
      <c r="I48" s="1154">
        <v>39766</v>
      </c>
      <c r="J48" s="436"/>
      <c r="K48" s="714"/>
      <c r="L48" s="2722"/>
      <c r="M48" s="2714"/>
      <c r="N48" s="2714"/>
      <c r="O48" s="2714"/>
      <c r="P48" s="3674" t="str">
        <f>A48</f>
        <v>成交单价（元/平方米）</v>
      </c>
      <c r="Q48" s="3703"/>
      <c r="R48" s="3704">
        <f>E48</f>
        <v>37033</v>
      </c>
      <c r="S48" s="3704"/>
      <c r="T48" s="3704">
        <f>G48</f>
        <v>40000</v>
      </c>
      <c r="U48" s="3704"/>
      <c r="V48" s="3704">
        <f>I48</f>
        <v>39766</v>
      </c>
      <c r="W48" s="3704"/>
      <c r="X48" s="397"/>
      <c r="Y48" s="712"/>
      <c r="Z48" s="397"/>
      <c r="AA48" s="397"/>
      <c r="AB48" s="397"/>
      <c r="AC48" s="578"/>
    </row>
    <row r="49" spans="1:29" ht="15.75" thickBot="1">
      <c r="A49" s="437" t="s">
        <v>1793</v>
      </c>
      <c r="B49" s="438"/>
      <c r="C49" s="1158">
        <f>R50</f>
        <v>39208</v>
      </c>
      <c r="D49" s="2315" t="s">
        <v>2137</v>
      </c>
      <c r="E49" s="1159">
        <f>R49</f>
        <v>37804</v>
      </c>
      <c r="F49" s="2316"/>
      <c r="G49" s="1158">
        <f>T49</f>
        <v>40833</v>
      </c>
      <c r="H49" s="2316"/>
      <c r="I49" s="1159">
        <f>V49</f>
        <v>38986</v>
      </c>
      <c r="J49" s="2316"/>
      <c r="K49" s="2318">
        <f>F49+H49+J49</f>
        <v>0</v>
      </c>
      <c r="L49" s="2722"/>
      <c r="M49" s="2714"/>
      <c r="N49" s="2714"/>
      <c r="O49" s="2714"/>
      <c r="P49" s="3674" t="str">
        <f>A49</f>
        <v>比较价值（元/平方米）</v>
      </c>
      <c r="Q49" s="3703"/>
      <c r="R49" s="3704">
        <f>IF(F1="售价",ROUND(PRODUCT(R48,AA7:AA47),0),ROUND(PRODUCT(R48,AA7:AA47),1))</f>
        <v>37804</v>
      </c>
      <c r="S49" s="3704"/>
      <c r="T49" s="3704">
        <f>IF(F1="售价",ROUND(PRODUCT(T48,AB7:AB47),0),ROUND(PRODUCT(T48,AB7:AB47),1))</f>
        <v>40833</v>
      </c>
      <c r="U49" s="3704"/>
      <c r="V49" s="3704">
        <f>IF(F1="售价",ROUND(PRODUCT(V48,AC7:AC47),0),ROUND(PRODUCT(V48,AC7:AC47),1))</f>
        <v>38986</v>
      </c>
      <c r="W49" s="3704"/>
      <c r="X49" s="397"/>
      <c r="Y49" s="397"/>
      <c r="Z49" s="397"/>
      <c r="AA49" s="397"/>
      <c r="AB49" s="397"/>
      <c r="AC49" s="578"/>
    </row>
    <row r="50" spans="1:29" ht="15.75" thickBot="1">
      <c r="A50" s="441" t="s">
        <v>1794</v>
      </c>
      <c r="B50" s="442"/>
      <c r="C50" s="1161">
        <f>R50</f>
        <v>39208</v>
      </c>
      <c r="D50" s="1161"/>
      <c r="E50" s="1161"/>
      <c r="F50" s="1161"/>
      <c r="G50" s="1161"/>
      <c r="H50" s="1161"/>
      <c r="I50" s="1161"/>
      <c r="J50" s="443"/>
      <c r="K50" s="715"/>
      <c r="L50" s="2722"/>
      <c r="M50" s="2714"/>
      <c r="N50" s="2714"/>
      <c r="O50" s="2714"/>
      <c r="P50" s="3705" t="str">
        <f>A50</f>
        <v>估价对象XX用房的比较价值（楼面单价，元/平方米）</v>
      </c>
      <c r="Q50" s="3706"/>
      <c r="R50" s="3707">
        <f>IF(F1="售价",ROUND(IF(D49="简单平均",AVERAGE(R49:V49),R49*F49+T49*H49+V49*J49),0),ROUND(IF(D49="简单平均",AVERAGE(R49:V49),R49*F49+T49*H49+V49*J49),1))</f>
        <v>39208</v>
      </c>
      <c r="S50" s="3707"/>
      <c r="T50" s="3707"/>
      <c r="U50" s="3707"/>
      <c r="V50" s="3707"/>
      <c r="W50" s="3707"/>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2.0819269300353715E-2</v>
      </c>
      <c r="F53" s="449" t="str">
        <f>IF(OR(E53&gt;=0.3,E53&lt;=-0.3),"超过30%","")</f>
        <v/>
      </c>
      <c r="G53" s="448">
        <f>IF(G48&lt;G49,G49/G48-1,G48/G49-1)</f>
        <v>2.0825000000000093E-2</v>
      </c>
      <c r="H53" s="449" t="str">
        <f>IF(OR(G53&gt;=0.3,G53&lt;=-0.3),"超过30%","")</f>
        <v/>
      </c>
      <c r="I53" s="448">
        <f>IF(I48&lt;I49,I49/I48-1,I48/I49-1)</f>
        <v>2.0007182065356899E-2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8.0123796423658966E-2</v>
      </c>
      <c r="F54" s="449" t="str">
        <f>IF(OR(E54&gt;=0.2,E54&lt;=-0.2),"超过20%","")</f>
        <v/>
      </c>
      <c r="G54" s="448">
        <f>IF(G49&lt;I49,I49/G49-1,G49/I49-1)</f>
        <v>4.7375981121428268E-2</v>
      </c>
      <c r="H54" s="449" t="str">
        <f>IF(OR(G54&gt;=0.2,G54&lt;=-0.2),"超过20%","")</f>
        <v/>
      </c>
      <c r="I54" s="448">
        <f>IF(I49&lt;E49,E49/I49-1,I49/E49-1)</f>
        <v>3.1266532642048483E-2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8.0117732832878819E-2</v>
      </c>
      <c r="F55" s="449" t="str">
        <f>IF(OR(E55&gt;=0.3,E55&lt;=-0.3),"超过30%","")</f>
        <v/>
      </c>
      <c r="G55" s="448">
        <f>IF(G48&lt;I48,I48/G48-1,G48/I48-1)</f>
        <v>5.8844238796962323E-3</v>
      </c>
      <c r="H55" s="449" t="str">
        <f>IF(OR(G55&gt;=0.3,G55&lt;=-0.3),"超过30%","")</f>
        <v/>
      </c>
      <c r="I55" s="448">
        <f>IF(I48&lt;E48,E48/I48-1,I48/E48-1)</f>
        <v>7.379904409580651E-2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2023-6</v>
      </c>
      <c r="D59" s="1183">
        <f>EDATE(C59,-1)</f>
        <v>45047</v>
      </c>
      <c r="E59" s="1183">
        <f>EDATE(D59,-1)</f>
        <v>45017</v>
      </c>
      <c r="F59" s="1183">
        <f t="shared" ref="F59:O59" si="16">EDATE(E59,-1)</f>
        <v>44986</v>
      </c>
      <c r="G59" s="1183">
        <f t="shared" si="16"/>
        <v>44958</v>
      </c>
      <c r="H59" s="1183">
        <f t="shared" si="16"/>
        <v>44927</v>
      </c>
      <c r="I59" s="1183">
        <f t="shared" si="16"/>
        <v>44896</v>
      </c>
      <c r="J59" s="1183">
        <f t="shared" si="16"/>
        <v>44866</v>
      </c>
      <c r="K59" s="1183">
        <f t="shared" si="16"/>
        <v>44835</v>
      </c>
      <c r="L59" s="1183">
        <f t="shared" si="16"/>
        <v>44805</v>
      </c>
      <c r="M59" s="1183">
        <f t="shared" si="16"/>
        <v>44774</v>
      </c>
      <c r="N59" s="1183">
        <f t="shared" si="16"/>
        <v>44743</v>
      </c>
      <c r="O59" s="1183">
        <f t="shared" si="16"/>
        <v>44713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v>100</v>
      </c>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3401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3402</v>
      </c>
      <c r="D87" s="3449" t="s">
        <v>3403</v>
      </c>
      <c r="E87" s="3449" t="s">
        <v>3404</v>
      </c>
      <c r="F87" s="3449" t="s">
        <v>3405</v>
      </c>
      <c r="G87" s="3449" t="s">
        <v>3406</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t="s">
        <v>3407</v>
      </c>
      <c r="D89" s="503" t="s">
        <v>3408</v>
      </c>
      <c r="E89" s="503" t="s">
        <v>3409</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3411</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800(含)-4000</v>
      </c>
      <c r="G103" s="527" t="str">
        <f t="shared" si="23"/>
        <v>4000(含)-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v>4000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3454">
        <v>98</v>
      </c>
      <c r="D105" s="3454">
        <v>100</v>
      </c>
      <c r="E105" s="3454">
        <v>98</v>
      </c>
      <c r="F105" s="3454">
        <v>96</v>
      </c>
      <c r="G105" s="3454">
        <v>94</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3412</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3413</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3425</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3423</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3417</v>
      </c>
      <c r="D117" s="503" t="s">
        <v>3418</v>
      </c>
      <c r="E117" s="503" t="s">
        <v>3419</v>
      </c>
      <c r="F117" s="503" t="s">
        <v>3420</v>
      </c>
      <c r="G117" s="503" t="s">
        <v>3421</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3414</v>
      </c>
      <c r="D123" s="3449" t="s">
        <v>3415</v>
      </c>
      <c r="E123" s="3449" t="s">
        <v>3416</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1" sqref="H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21</v>
      </c>
      <c r="D1" s="1360" t="s">
        <v>43</v>
      </c>
      <c r="E1" s="1361" t="s">
        <v>678</v>
      </c>
      <c r="F1" s="1060">
        <f ca="1">J53</f>
        <v>20.73</v>
      </c>
      <c r="G1" s="1376">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3">
        <f ca="1">ROUND(D2/10000,4)</f>
        <v>306.40210000000002</v>
      </c>
      <c r="C2" s="1385" t="s">
        <v>879</v>
      </c>
      <c r="D2" s="1469">
        <f ca="1">C40+J29+L46</f>
        <v>3064021</v>
      </c>
      <c r="E2" s="1386" t="s">
        <v>880</v>
      </c>
      <c r="F2" s="1387"/>
      <c r="G2" s="2704"/>
      <c r="H2" s="2693"/>
      <c r="I2" s="2693"/>
      <c r="J2" s="2693"/>
      <c r="K2" s="2694"/>
      <c r="L2" s="2693"/>
      <c r="M2" s="2693"/>
    </row>
    <row r="3" spans="1:37" ht="18" customHeight="1" thickBot="1">
      <c r="A3" s="1388" t="s">
        <v>881</v>
      </c>
      <c r="B3" s="1389">
        <f ca="1">IF(ISERROR(D2/F43),0,ROUND(D2/F43,0))</f>
        <v>28577</v>
      </c>
      <c r="C3" s="1385" t="s">
        <v>882</v>
      </c>
      <c r="D3" s="1385"/>
      <c r="E3" s="1386"/>
      <c r="F3" s="1387"/>
      <c r="G3" s="2704"/>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246860</v>
      </c>
      <c r="D5" s="1362" t="s">
        <v>889</v>
      </c>
      <c r="E5" s="1069"/>
      <c r="F5" s="1070"/>
      <c r="G5" s="1382"/>
      <c r="H5" s="299">
        <v>1</v>
      </c>
      <c r="I5" s="300" t="s">
        <v>888</v>
      </c>
      <c r="J5" s="1068">
        <f ca="1">J6+J10+J12</f>
        <v>0</v>
      </c>
      <c r="K5" s="1362" t="s">
        <v>889</v>
      </c>
      <c r="L5" s="1069"/>
      <c r="M5" s="1070"/>
    </row>
    <row r="6" spans="1:37" ht="18" customHeight="1">
      <c r="A6" s="1067" t="s">
        <v>398</v>
      </c>
      <c r="B6" s="3653" t="s">
        <v>694</v>
      </c>
      <c r="C6" s="1072">
        <f ca="1">ROUND(F6*F8*F7*(1-F9),0)</f>
        <v>246552</v>
      </c>
      <c r="D6" s="155" t="s">
        <v>2105</v>
      </c>
      <c r="E6" s="302" t="s">
        <v>696</v>
      </c>
      <c r="F6" s="303">
        <f ca="1">INDIRECT("'数据-取费表'!u"&amp;$G$1)</f>
        <v>7</v>
      </c>
      <c r="G6" s="1382"/>
      <c r="H6" s="1067" t="s">
        <v>398</v>
      </c>
      <c r="I6" s="3653" t="s">
        <v>694</v>
      </c>
      <c r="J6" s="301">
        <f ca="1">ROUND(M6*M8*M7*(1-M9),0)</f>
        <v>0</v>
      </c>
      <c r="K6" s="1374" t="s">
        <v>2106</v>
      </c>
      <c r="L6" s="302" t="s">
        <v>696</v>
      </c>
      <c r="M6" s="303">
        <f ca="1">INDIRECT("'数据-取费表'!z"&amp;$G$1)</f>
        <v>0</v>
      </c>
    </row>
    <row r="7" spans="1:37" ht="18" customHeight="1">
      <c r="A7" s="1071"/>
      <c r="B7" s="3654"/>
      <c r="C7" s="1073"/>
      <c r="D7" s="307"/>
      <c r="E7" s="1074" t="s">
        <v>697</v>
      </c>
      <c r="F7" s="303">
        <f ca="1">IF(INDIRECT("'数据-取费表'!ah"&amp;$G$1)="",INDIRECT("'数据-取费表'!k"&amp;$G$1),INDIRECT("'数据-取费表'!ah"&amp;$G$1))</f>
        <v>107.22</v>
      </c>
      <c r="G7" s="1382"/>
      <c r="H7" s="304"/>
      <c r="I7" s="3654"/>
      <c r="J7" s="306"/>
      <c r="K7" s="307"/>
      <c r="L7" s="302" t="s">
        <v>697</v>
      </c>
      <c r="M7" s="303">
        <f ca="1">F7</f>
        <v>107.22</v>
      </c>
    </row>
    <row r="8" spans="1:37" ht="18" customHeight="1">
      <c r="A8" s="304"/>
      <c r="B8" s="3654"/>
      <c r="C8" s="306"/>
      <c r="D8" s="307"/>
      <c r="E8" s="302" t="s">
        <v>698</v>
      </c>
      <c r="F8" s="303">
        <f ca="1">INDIRECT("'数据-取费表'!ai"&amp;$G$1)</f>
        <v>365</v>
      </c>
      <c r="G8" s="1382"/>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2"/>
      <c r="H9" s="304"/>
      <c r="I9" s="3655"/>
      <c r="J9" s="306"/>
      <c r="K9" s="307"/>
      <c r="L9" s="313" t="s">
        <v>699</v>
      </c>
      <c r="M9" s="314">
        <f ca="1">INDIRECT("'数据-取费表'!ab"&amp;$G$1)</f>
        <v>0</v>
      </c>
    </row>
    <row r="10" spans="1:37" ht="18" customHeight="1">
      <c r="A10" s="1067" t="s">
        <v>402</v>
      </c>
      <c r="B10" s="1363" t="s">
        <v>700</v>
      </c>
      <c r="C10" s="316">
        <f ca="1">ROUND(IF(F10="押一",C6/12*F11,IF(F10="押二",C6/12*2*F11,IF(F10="押三",C6/12*3*F11,C11*F11))),0)</f>
        <v>308</v>
      </c>
      <c r="D10" s="1364" t="s">
        <v>2115</v>
      </c>
      <c r="E10" s="313" t="s">
        <v>701</v>
      </c>
      <c r="F10" s="1114" t="s">
        <v>3394</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9"/>
      <c r="D11" s="307"/>
      <c r="E11" s="313" t="s">
        <v>702</v>
      </c>
      <c r="F11" s="314">
        <f ca="1">'数据-取费表'!B39</f>
        <v>1.4999999999999999E-2</v>
      </c>
      <c r="G11" s="1382"/>
      <c r="H11" s="1075"/>
      <c r="I11" s="1365" t="s">
        <v>891</v>
      </c>
      <c r="J11" s="959"/>
      <c r="K11" s="684"/>
      <c r="L11" s="313" t="s">
        <v>702</v>
      </c>
      <c r="M11" s="862">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537140</v>
      </c>
      <c r="D13" s="1079" t="s">
        <v>705</v>
      </c>
      <c r="E13" s="1079" t="s">
        <v>706</v>
      </c>
      <c r="F13" s="1080">
        <f ca="1">INDIRECT("'数据-取费表'!y"&amp;$G$1)</f>
        <v>0.78</v>
      </c>
      <c r="G13" s="1382"/>
      <c r="H13" s="1077">
        <v>2</v>
      </c>
      <c r="I13" s="1078" t="s">
        <v>704</v>
      </c>
      <c r="J13" s="1066">
        <f ca="1">ROUND(J14*J15,0)</f>
        <v>0</v>
      </c>
      <c r="K13" s="1085" t="s">
        <v>705</v>
      </c>
      <c r="L13" s="1390"/>
      <c r="M13" s="1391"/>
    </row>
    <row r="14" spans="1:37" ht="18" customHeight="1">
      <c r="A14" s="982" t="s">
        <v>397</v>
      </c>
      <c r="B14" s="302" t="s">
        <v>707</v>
      </c>
      <c r="C14" s="318">
        <f ca="1">ROUND(INDIRECT("'数据-取费表'!l"&amp;$G$1)*F43+'数据-取费表'!L14*INDIRECT("'数据-取费表'!S"&amp;$G$1),0)</f>
        <v>482490</v>
      </c>
      <c r="D14" s="1343" t="s">
        <v>708</v>
      </c>
      <c r="E14" s="1340"/>
      <c r="F14" s="319"/>
      <c r="G14" s="1382"/>
      <c r="H14" s="982" t="s">
        <v>398</v>
      </c>
      <c r="I14" s="302" t="s">
        <v>709</v>
      </c>
      <c r="J14" s="21">
        <f ca="1">C29</f>
        <v>688641</v>
      </c>
      <c r="K14" s="12"/>
      <c r="L14" s="807"/>
      <c r="M14" s="808"/>
    </row>
    <row r="15" spans="1:37" s="1395" customFormat="1" ht="18" customHeight="1" thickBot="1">
      <c r="A15" s="982" t="s">
        <v>399</v>
      </c>
      <c r="B15" s="302" t="s">
        <v>710</v>
      </c>
      <c r="C15" s="21">
        <f ca="1">ROUND(C14*F15,0)</f>
        <v>14475</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3641</v>
      </c>
      <c r="K16" s="1085" t="s">
        <v>715</v>
      </c>
      <c r="L16" s="1086"/>
      <c r="M16" s="1070"/>
    </row>
    <row r="17" spans="1:37" s="1395" customFormat="1" ht="18" customHeight="1">
      <c r="A17" s="982" t="s">
        <v>681</v>
      </c>
      <c r="B17" s="302" t="s">
        <v>716</v>
      </c>
      <c r="C17" s="21">
        <f ca="1">ROUND(F17*(F43+INDIRECT("'数据-取费表'!S"&amp;$G$1)),0)</f>
        <v>21444</v>
      </c>
      <c r="D17" s="302" t="s">
        <v>717</v>
      </c>
      <c r="E17" s="302" t="s">
        <v>718</v>
      </c>
      <c r="F17" s="23">
        <f>'数据-取费表'!B35</f>
        <v>200</v>
      </c>
      <c r="G17" s="1394"/>
      <c r="H17" s="982" t="s">
        <v>398</v>
      </c>
      <c r="I17" s="302" t="s">
        <v>719</v>
      </c>
      <c r="J17" s="2314">
        <f ca="1">ROUND(IF(AND(项目基本情况!B11="自然人",项目基本情况!B10="北京市"),J6*M17/(1+'数据-取费表'!C42),J18+J19+J20),0)</f>
        <v>198</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7237</v>
      </c>
      <c r="D18" s="302" t="s">
        <v>711</v>
      </c>
      <c r="E18" s="302" t="s">
        <v>712</v>
      </c>
      <c r="F18" s="322">
        <f>'数据-取费表'!B36</f>
        <v>1.4999999999999999E-2</v>
      </c>
      <c r="G18" s="1394"/>
      <c r="H18" s="982"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525646</v>
      </c>
      <c r="D19" s="131" t="s">
        <v>726</v>
      </c>
      <c r="E19" s="1358"/>
      <c r="F19" s="23"/>
      <c r="G19" s="1382"/>
      <c r="H19" s="982"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2" t="s">
        <v>402</v>
      </c>
      <c r="B20" s="302" t="s">
        <v>728</v>
      </c>
      <c r="C20" s="21">
        <f ca="1">ROUND(C19*F20,0)</f>
        <v>10513</v>
      </c>
      <c r="D20" s="323" t="s">
        <v>729</v>
      </c>
      <c r="E20" s="302" t="s">
        <v>712</v>
      </c>
      <c r="F20" s="322">
        <f>'数据-取费表'!B37</f>
        <v>0.02</v>
      </c>
      <c r="G20" s="1394"/>
      <c r="H20" s="982" t="s">
        <v>680</v>
      </c>
      <c r="I20" s="155" t="s">
        <v>730</v>
      </c>
      <c r="J20" s="22">
        <f ca="1">ROUND(M20*M21,0)</f>
        <v>198</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323" t="s">
        <v>734</v>
      </c>
      <c r="E21" s="302" t="s">
        <v>735</v>
      </c>
      <c r="F21" s="322">
        <f>'数据-取费表'!B38</f>
        <v>0.02</v>
      </c>
      <c r="G21" s="1394"/>
      <c r="H21" s="326"/>
      <c r="I21" s="311"/>
      <c r="J21" s="26"/>
      <c r="K21" s="327"/>
      <c r="L21" s="302" t="s">
        <v>736</v>
      </c>
      <c r="M21" s="303">
        <f ca="1">INDIRECT("'数据-取费表'!r"&amp;$G$1)</f>
        <v>11.01</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ROUND(J14*M22,0)</f>
        <v>3443</v>
      </c>
      <c r="K22" s="1342" t="s">
        <v>739</v>
      </c>
      <c r="L22" s="302" t="s">
        <v>712</v>
      </c>
      <c r="M22" s="328">
        <f ca="1">INDIRECT("'数据-取费表'!Ak"&amp;$G$1)</f>
        <v>5.0000000000000001E-3</v>
      </c>
    </row>
    <row r="23" spans="1:37" s="1395" customFormat="1" ht="18" customHeight="1">
      <c r="A23" s="982" t="s">
        <v>397</v>
      </c>
      <c r="B23" s="302" t="s">
        <v>740</v>
      </c>
      <c r="C23" s="21">
        <f ca="1">IF('数据-取费表'!B22&lt;=1,ROUND(C19*F24*F23/2,0)+ROUND(C20*F24*F23/2,0),ROUND(C19*(POWER((1+F24),F23/2)-1),0)+ROUND(C20*(POWER((1+F24),F23/2)-1),0))</f>
        <v>19033</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1358"/>
      <c r="F25" s="23"/>
      <c r="G25" s="1382"/>
      <c r="H25" s="1077" t="s">
        <v>394</v>
      </c>
      <c r="I25" s="1092" t="s">
        <v>752</v>
      </c>
      <c r="J25" s="310">
        <f ca="1">J5-J16</f>
        <v>-3641</v>
      </c>
      <c r="K25" s="1093" t="s">
        <v>753</v>
      </c>
      <c r="L25" s="1094"/>
      <c r="M25" s="1095"/>
    </row>
    <row r="26" spans="1:37" ht="18" customHeight="1">
      <c r="A26" s="982" t="s">
        <v>397</v>
      </c>
      <c r="B26" s="302" t="s">
        <v>754</v>
      </c>
      <c r="C26" s="21">
        <f ca="1">ROUND((C19+C20)*F26,0)</f>
        <v>80424</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688641</v>
      </c>
      <c r="D29" s="1090"/>
      <c r="E29" s="1088"/>
      <c r="F29" s="1091"/>
      <c r="G29" s="1394"/>
      <c r="H29" s="334" t="s">
        <v>396</v>
      </c>
      <c r="I29" s="335" t="s">
        <v>768</v>
      </c>
      <c r="J29" s="336">
        <f ca="1">ROUND(J26/(1+F40)^F41,0)</f>
        <v>0</v>
      </c>
      <c r="K29" s="337" t="s">
        <v>769</v>
      </c>
      <c r="L29" s="338"/>
      <c r="M29" s="339">
        <f ca="1">INDIRECT("'数据-取费表'!k"&amp;$G$1)</f>
        <v>107.22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46738</v>
      </c>
      <c r="D30" s="1085" t="s">
        <v>715</v>
      </c>
      <c r="E30" s="1086"/>
      <c r="F30" s="1070"/>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ROUND(IF(AND(项目基本情况!B11="自然人",项目基本情况!B10="北京市"),C6*F31/(1+'数据-取费表'!C42),C32+C33+C34),0)</f>
        <v>41524</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2" t="s">
        <v>397</v>
      </c>
      <c r="B32" s="302" t="s">
        <v>723</v>
      </c>
      <c r="C32" s="21">
        <f ca="1">IF(项目基本情况!B11="自然人","——",ROUND(C6*F32/(1+'数据-取费表'!C42),0))</f>
        <v>13149</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28177</v>
      </c>
      <c r="D33" s="1368" t="s">
        <v>3340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198</v>
      </c>
      <c r="D34" s="324" t="s">
        <v>731</v>
      </c>
      <c r="E34" s="302" t="s">
        <v>732</v>
      </c>
      <c r="F34" s="325">
        <f>'数据-取费表'!B52</f>
        <v>18</v>
      </c>
      <c r="G34" s="1382"/>
      <c r="H34" s="2695"/>
      <c r="I34" s="1396"/>
      <c r="J34" s="1397"/>
      <c r="K34" s="2700"/>
      <c r="L34" s="2701"/>
      <c r="M34" s="2701"/>
    </row>
    <row r="35" spans="1:18" ht="18" customHeight="1">
      <c r="A35" s="1101"/>
      <c r="B35" s="1099"/>
      <c r="C35" s="26"/>
      <c r="D35" s="327"/>
      <c r="E35" s="302" t="s">
        <v>736</v>
      </c>
      <c r="F35" s="303">
        <f ca="1">INDIRECT("'数据-取费表'!r"&amp;$G$1)</f>
        <v>11.01</v>
      </c>
      <c r="G35" s="1382"/>
      <c r="H35" s="2695"/>
      <c r="I35" s="1396"/>
      <c r="J35" s="1397"/>
      <c r="K35" s="2699"/>
      <c r="L35" s="2698"/>
      <c r="M35" s="2698"/>
    </row>
    <row r="36" spans="1:18" ht="18" customHeight="1">
      <c r="A36" s="1100" t="s">
        <v>402</v>
      </c>
      <c r="B36" s="302" t="s">
        <v>738</v>
      </c>
      <c r="C36" s="21">
        <f ca="1">ROUND(C29*F36,0)</f>
        <v>3443</v>
      </c>
      <c r="D36" s="1342" t="s">
        <v>771</v>
      </c>
      <c r="E36" s="302" t="s">
        <v>712</v>
      </c>
      <c r="F36" s="328">
        <f ca="1">INDIRECT("'数据-取费表'!Ak"&amp;$G$1)</f>
        <v>5.0000000000000001E-3</v>
      </c>
      <c r="G36" s="1382"/>
      <c r="H36" s="2698"/>
      <c r="I36" s="1396"/>
      <c r="J36" s="1397"/>
      <c r="K36" s="2542"/>
      <c r="L36" s="2698"/>
      <c r="M36" s="2698"/>
    </row>
    <row r="37" spans="1:18" ht="18" customHeight="1">
      <c r="A37" s="982" t="s">
        <v>437</v>
      </c>
      <c r="B37" s="302" t="s">
        <v>742</v>
      </c>
      <c r="C37" s="21">
        <f ca="1">ROUND(C13*F37,0)</f>
        <v>537</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1234</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200122</v>
      </c>
      <c r="D39" s="1093" t="s">
        <v>773</v>
      </c>
      <c r="E39" s="1094"/>
      <c r="F39" s="1095"/>
      <c r="G39" s="1382"/>
      <c r="H39" s="2698">
        <f ca="1">C39/C5</f>
        <v>0.81067001539334038</v>
      </c>
      <c r="I39" s="1396"/>
      <c r="J39" s="1397"/>
      <c r="K39" s="2702"/>
      <c r="L39" s="2698"/>
      <c r="M39" s="2698"/>
    </row>
    <row r="40" spans="1:18" ht="18" customHeight="1">
      <c r="A40" s="299" t="s">
        <v>395</v>
      </c>
      <c r="B40" s="300" t="s">
        <v>774</v>
      </c>
      <c r="C40" s="301">
        <f ca="1">ROUND(C39*(1-((1+F42)/(1+F40))^F41)/(F40-F42),0)</f>
        <v>3002510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20.73</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28003</v>
      </c>
      <c r="D43" s="337" t="s">
        <v>777</v>
      </c>
      <c r="E43" s="338" t="s">
        <v>778</v>
      </c>
      <c r="F43" s="339">
        <f ca="1">INDIRECT("'数据-取费表'!k"&amp;$G$1)</f>
        <v>107.22</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3356</v>
      </c>
      <c r="B45" s="1398"/>
      <c r="C45" s="1470">
        <f ca="1">ROUND((C68-C40)/10000,4)</f>
        <v>-305.34370000000001</v>
      </c>
      <c r="D45" s="3430" t="s">
        <v>3357</v>
      </c>
      <c r="E45" s="1398"/>
      <c r="F45" s="1398"/>
      <c r="O45" s="1401" t="s">
        <v>808</v>
      </c>
      <c r="P45" s="1459"/>
      <c r="Q45" s="1459"/>
      <c r="R45" s="1459"/>
    </row>
    <row r="46" spans="1:18" s="1382" customFormat="1" ht="13.5" thickBot="1">
      <c r="A46" s="1402" t="s">
        <v>809</v>
      </c>
      <c r="C46" s="1403">
        <f ca="1">ROUND(C45,0)</f>
        <v>-305</v>
      </c>
      <c r="D46" s="1404" t="str">
        <f>C2</f>
        <v>万元</v>
      </c>
      <c r="I46" s="1405" t="s">
        <v>810</v>
      </c>
      <c r="J46" s="1406"/>
      <c r="K46" s="1407"/>
      <c r="L46" s="1408">
        <f ca="1">IF(M47="住宅",0,IF(L48&gt;J51,L60,J60))</f>
        <v>61511</v>
      </c>
      <c r="O46" s="1409" t="s">
        <v>811</v>
      </c>
      <c r="P46" s="1410" t="s">
        <v>812</v>
      </c>
      <c r="Q46" s="1411" t="s">
        <v>813</v>
      </c>
      <c r="R46" s="1411" t="s">
        <v>814</v>
      </c>
    </row>
    <row r="47" spans="1:18" s="1382" customFormat="1" ht="13.5" thickBot="1">
      <c r="A47" s="946" t="s">
        <v>687</v>
      </c>
      <c r="B47" s="978" t="s">
        <v>688</v>
      </c>
      <c r="C47" s="978" t="s">
        <v>689</v>
      </c>
      <c r="D47" s="978" t="s">
        <v>690</v>
      </c>
      <c r="E47" s="1056" t="s">
        <v>691</v>
      </c>
      <c r="F47" s="1057"/>
      <c r="G47" s="722"/>
      <c r="I47" s="1412" t="s">
        <v>815</v>
      </c>
      <c r="J47" s="1413" t="s">
        <v>3395</v>
      </c>
      <c r="K47" s="1414" t="s">
        <v>816</v>
      </c>
      <c r="L47" s="1415">
        <f ca="1">INDIRECT("'数据-取费表'!d"&amp;$G$1)</f>
        <v>50</v>
      </c>
      <c r="M47" s="1378" t="str">
        <f>IF(ISNUMBER(FIND("住宅",C1)),"住宅","非住宅")</f>
        <v>非住宅</v>
      </c>
      <c r="O47" s="1416" t="s">
        <v>403</v>
      </c>
      <c r="P47" s="1417" t="s">
        <v>817</v>
      </c>
      <c r="Q47" s="1418">
        <f ca="1">C40+J29</f>
        <v>3002510</v>
      </c>
      <c r="R47" s="1418" t="s">
        <v>818</v>
      </c>
    </row>
    <row r="48" spans="1:18" s="1382" customFormat="1" ht="28.5" thickBot="1">
      <c r="A48" s="1108" t="s">
        <v>438</v>
      </c>
      <c r="B48" s="300" t="s">
        <v>692</v>
      </c>
      <c r="C48" s="1357">
        <f ca="1">C49+C53+C55</f>
        <v>0</v>
      </c>
      <c r="D48" s="1110"/>
      <c r="E48" s="1111"/>
      <c r="F48" s="962"/>
      <c r="G48" s="722"/>
      <c r="H48" s="723"/>
      <c r="I48" s="1419" t="s">
        <v>819</v>
      </c>
      <c r="J48" s="1420" t="s">
        <v>3396</v>
      </c>
      <c r="K48" s="1421" t="s">
        <v>820</v>
      </c>
      <c r="L48" s="1422">
        <f ca="1">INDIRECT("'数据-取费表'!f"&amp;$G$1)</f>
        <v>20.73</v>
      </c>
      <c r="O48" s="1416" t="s">
        <v>404</v>
      </c>
      <c r="P48" s="1417" t="s">
        <v>821</v>
      </c>
      <c r="Q48" s="1418">
        <f ca="1">J60</f>
        <v>61511</v>
      </c>
      <c r="R48" s="1418" t="s">
        <v>822</v>
      </c>
    </row>
    <row r="49" spans="1:18" s="1382" customFormat="1" ht="13.5" thickBot="1">
      <c r="A49" s="975" t="s">
        <v>439</v>
      </c>
      <c r="B49" s="1369" t="s">
        <v>779</v>
      </c>
      <c r="C49" s="1112">
        <f ca="1">ROUND(F49*F51*F50*(1-F52),0)</f>
        <v>0</v>
      </c>
      <c r="D49" s="1053" t="s">
        <v>695</v>
      </c>
      <c r="E49" s="1370" t="s">
        <v>780</v>
      </c>
      <c r="F49" s="1058"/>
      <c r="G49" s="1423"/>
      <c r="H49" s="723"/>
      <c r="I49" s="1419" t="s">
        <v>823</v>
      </c>
      <c r="J49" s="1424">
        <v>1994</v>
      </c>
      <c r="K49" s="1421" t="s">
        <v>824</v>
      </c>
      <c r="L49" s="1425"/>
      <c r="O49" s="1426" t="s">
        <v>405</v>
      </c>
      <c r="P49" s="1417" t="s">
        <v>825</v>
      </c>
      <c r="Q49" s="1418">
        <f ca="1">C29</f>
        <v>688641</v>
      </c>
      <c r="R49" s="1418" t="s">
        <v>818</v>
      </c>
    </row>
    <row r="50" spans="1:18" s="1382" customFormat="1" ht="13.5" thickBot="1">
      <c r="A50" s="976"/>
      <c r="B50" s="979"/>
      <c r="C50" s="980"/>
      <c r="D50" s="953"/>
      <c r="E50" s="1054" t="s">
        <v>697</v>
      </c>
      <c r="F50" s="1055">
        <f ca="1">F7</f>
        <v>107.22</v>
      </c>
      <c r="H50" s="723"/>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7"/>
      <c r="B51" s="979"/>
      <c r="C51" s="980"/>
      <c r="D51" s="953"/>
      <c r="E51" s="981" t="s">
        <v>698</v>
      </c>
      <c r="F51" s="303">
        <f ca="1">F8</f>
        <v>365</v>
      </c>
      <c r="I51" s="1430" t="s">
        <v>829</v>
      </c>
      <c r="J51" s="1431">
        <f>IF(J49="",J50,J49+J50-YEAR('数据-取费表'!B2))</f>
        <v>31</v>
      </c>
      <c r="K51" s="1432" t="s">
        <v>830</v>
      </c>
      <c r="L51" s="1433">
        <f ca="1">ROUND(-PV(INDIRECT("'数据-取费表'!h"&amp;$G$1),J51,(C39-C13*C76),0),0)</f>
        <v>2534178</v>
      </c>
      <c r="M51" s="1434"/>
      <c r="O51" s="1426" t="s">
        <v>407</v>
      </c>
      <c r="P51" s="1417" t="s">
        <v>831</v>
      </c>
      <c r="Q51" s="1429">
        <f>J52</f>
        <v>7.4999999999999997E-2</v>
      </c>
      <c r="R51" s="1418"/>
    </row>
    <row r="52" spans="1:18" s="1382" customFormat="1" ht="13.5" thickBot="1">
      <c r="A52" s="977"/>
      <c r="B52" s="979"/>
      <c r="C52" s="980"/>
      <c r="D52" s="953"/>
      <c r="E52" s="981" t="s">
        <v>699</v>
      </c>
      <c r="F52" s="1052"/>
      <c r="I52" s="1435" t="s">
        <v>832</v>
      </c>
      <c r="J52" s="1436">
        <v>7.4999999999999997E-2</v>
      </c>
      <c r="K52" s="1435" t="s">
        <v>833</v>
      </c>
      <c r="L52" s="1436"/>
      <c r="O52" s="1426" t="s">
        <v>408</v>
      </c>
      <c r="P52" s="1417" t="s">
        <v>834</v>
      </c>
      <c r="Q52" s="1418">
        <f ca="1">J53</f>
        <v>20.73</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20.73</v>
      </c>
      <c r="K53" s="3651" t="s">
        <v>837</v>
      </c>
      <c r="L53" s="3652"/>
      <c r="O53" s="1416" t="s">
        <v>409</v>
      </c>
      <c r="P53" s="1417" t="s">
        <v>838</v>
      </c>
      <c r="Q53" s="1418">
        <f ca="1">Q47+Q48</f>
        <v>3064021</v>
      </c>
      <c r="R53" s="1418" t="s">
        <v>410</v>
      </c>
    </row>
    <row r="54" spans="1:18" s="1382" customFormat="1" ht="13.5" thickBot="1">
      <c r="A54" s="975"/>
      <c r="B54" s="1471" t="s">
        <v>891</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0.17100000000000001</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537140</v>
      </c>
      <c r="D56" s="1445"/>
      <c r="E56" s="1446"/>
      <c r="F56" s="1438"/>
      <c r="I56" s="1447" t="s">
        <v>842</v>
      </c>
      <c r="J56" s="1448" t="s">
        <v>3380</v>
      </c>
      <c r="K56" s="1419" t="s">
        <v>843</v>
      </c>
      <c r="L56" s="1422" t="str">
        <f ca="1">IF(L48&lt;J51,"——",L48-J51)</f>
        <v>——</v>
      </c>
      <c r="O56" s="1416" t="s">
        <v>403</v>
      </c>
      <c r="P56" s="1417" t="s">
        <v>817</v>
      </c>
      <c r="Q56" s="1418">
        <f ca="1">C40+J29</f>
        <v>3002510</v>
      </c>
      <c r="R56" s="1418" t="s">
        <v>818</v>
      </c>
    </row>
    <row r="57" spans="1:18" s="1382" customFormat="1" ht="24.75" thickBot="1">
      <c r="A57" s="1449"/>
      <c r="B57" s="950" t="s">
        <v>767</v>
      </c>
      <c r="C57" s="238">
        <f ca="1">C29</f>
        <v>688641</v>
      </c>
      <c r="D57" s="1450"/>
      <c r="E57" s="1451"/>
      <c r="F57" s="1452"/>
      <c r="I57" s="1453" t="s">
        <v>844</v>
      </c>
      <c r="J57" s="1454">
        <f ca="1">IF(OR(M47="住宅",J51&lt;L48,J56="是"),"——",J51-L48)</f>
        <v>10.27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8" t="s">
        <v>714</v>
      </c>
      <c r="C58" s="316">
        <f ca="1">ROUND(C59+C64+C65+C66,0)</f>
        <v>4178</v>
      </c>
      <c r="D58" s="960" t="s">
        <v>715</v>
      </c>
      <c r="E58" s="961"/>
      <c r="F58" s="962"/>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198</v>
      </c>
      <c r="D59" s="963" t="s">
        <v>720</v>
      </c>
      <c r="E59" s="964" t="s">
        <v>721</v>
      </c>
      <c r="F59" s="2313" t="str">
        <f>IF(项目基本情况!B11="企业","——",IF('数据-取费表'!B10="住宅",IF(F49*F50*F51/12/(1+'数据-取费表'!F30)&gt;100000,4%,2.5%),IF(F49*F50*F51/12/(1+'数据-取费表'!F30)&gt;100000,12%,7%)))</f>
        <v>——</v>
      </c>
      <c r="I59" s="1453" t="s">
        <v>851</v>
      </c>
      <c r="J59" s="1454">
        <f ca="1">IF(OR(M47="住宅",J51&lt;L48,J56="是"),"——",ROUND(C29*J58,0))</f>
        <v>275456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6" t="s">
        <v>853</v>
      </c>
      <c r="J60" s="1457">
        <f ca="1">IF(OR(M47="住宅",J51&lt;L48,J56="是"),"0",ROUND(J59/(1+J52)^J53,0))</f>
        <v>61511</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IF(项目基本情况!B11="自然人","——",IF(D61="按租金收入计税",ROUND(C49*F61/(1+'数据-取费表'!C42),0),IF(D61="按房产原值计税",ROUND(C57*F61*0.7,0),INDIRECT("'数据-取费表'!Aj"&amp;$G$1))))</f>
        <v>0</v>
      </c>
      <c r="D61" s="1368" t="s">
        <v>3340</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IF(项目基本情况!B11="自然人","——",ROUND(F62*F63,0))</f>
        <v>198</v>
      </c>
      <c r="D62" s="965" t="s">
        <v>786</v>
      </c>
      <c r="E62" s="950" t="s">
        <v>787</v>
      </c>
      <c r="F62" s="325">
        <f t="shared" si="0"/>
        <v>18</v>
      </c>
      <c r="I62" s="1460" t="s">
        <v>858</v>
      </c>
      <c r="J62" s="1461" t="s">
        <v>859</v>
      </c>
      <c r="K62" s="1461" t="s">
        <v>860</v>
      </c>
      <c r="L62" s="1461" t="s">
        <v>861</v>
      </c>
      <c r="M62" s="1462" t="s">
        <v>862</v>
      </c>
      <c r="O62" s="1416" t="s">
        <v>409</v>
      </c>
      <c r="P62" s="1417" t="s">
        <v>863</v>
      </c>
      <c r="Q62" s="1418">
        <f ca="1">Q56+Q57</f>
        <v>3002510</v>
      </c>
      <c r="R62" s="1418" t="s">
        <v>410</v>
      </c>
    </row>
    <row r="63" spans="1:18" s="1382" customFormat="1" ht="13.5" thickBot="1">
      <c r="A63" s="326"/>
      <c r="B63" s="956"/>
      <c r="C63" s="26"/>
      <c r="D63" s="966"/>
      <c r="E63" s="950" t="s">
        <v>788</v>
      </c>
      <c r="F63" s="303">
        <f t="shared" ca="1" si="0"/>
        <v>11.01</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ROUND(C57*F64,0)</f>
        <v>3443</v>
      </c>
      <c r="D64" s="964" t="s">
        <v>791</v>
      </c>
      <c r="E64" s="950"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ROUND(C56*F65,0)</f>
        <v>537</v>
      </c>
      <c r="D65" s="964" t="s">
        <v>743</v>
      </c>
      <c r="E65" s="950" t="s">
        <v>744</v>
      </c>
      <c r="F65" s="330">
        <f t="shared" ca="1" si="0"/>
        <v>1E-3</v>
      </c>
      <c r="I65" s="1460" t="s">
        <v>867</v>
      </c>
      <c r="J65" s="1461">
        <v>40</v>
      </c>
      <c r="K65" s="1461">
        <v>30</v>
      </c>
      <c r="L65" s="1461">
        <v>50</v>
      </c>
      <c r="M65" s="1463">
        <v>0.02</v>
      </c>
      <c r="O65" s="1416" t="s">
        <v>403</v>
      </c>
      <c r="P65" s="1417" t="s">
        <v>868</v>
      </c>
      <c r="Q65" s="1418">
        <f ca="1">C40+J29</f>
        <v>3002510</v>
      </c>
      <c r="R65" s="1418" t="s">
        <v>818</v>
      </c>
    </row>
    <row r="66" spans="1:18" s="1382" customFormat="1" ht="16.5" thickBot="1">
      <c r="A66" s="982" t="s">
        <v>793</v>
      </c>
      <c r="B66" s="950" t="s">
        <v>728</v>
      </c>
      <c r="C66" s="21">
        <f ca="1">ROUND(C48*F66,0)</f>
        <v>0</v>
      </c>
      <c r="D66" s="964" t="s">
        <v>794</v>
      </c>
      <c r="E66" s="950" t="s">
        <v>712</v>
      </c>
      <c r="F66" s="312">
        <f t="shared" ca="1" si="0"/>
        <v>5.0000000000000001E-3</v>
      </c>
      <c r="O66" s="1416" t="s">
        <v>404</v>
      </c>
      <c r="P66" s="1417" t="s">
        <v>846</v>
      </c>
      <c r="Q66" s="1418">
        <f ca="1">L60</f>
        <v>0</v>
      </c>
      <c r="R66" s="1418" t="s">
        <v>869</v>
      </c>
    </row>
    <row r="67" spans="1:18" s="1382" customFormat="1" ht="16.5" thickBot="1">
      <c r="A67" s="957" t="s">
        <v>394</v>
      </c>
      <c r="B67" s="967" t="s">
        <v>752</v>
      </c>
      <c r="C67" s="316">
        <f ca="1">C48-C58</f>
        <v>-4178</v>
      </c>
      <c r="D67" s="963" t="s">
        <v>753</v>
      </c>
      <c r="E67" s="968"/>
      <c r="F67" s="969"/>
      <c r="O67" s="1426" t="s">
        <v>405</v>
      </c>
      <c r="P67" s="1417" t="s">
        <v>850</v>
      </c>
      <c r="Q67" s="1464">
        <f ca="1">L51</f>
        <v>2534178</v>
      </c>
      <c r="R67" s="1418" t="s">
        <v>870</v>
      </c>
    </row>
    <row r="68" spans="1:18" s="1382" customFormat="1" ht="16.5" thickBot="1">
      <c r="A68" s="947" t="s">
        <v>395</v>
      </c>
      <c r="B68" s="948" t="s">
        <v>774</v>
      </c>
      <c r="C68" s="301">
        <f ca="1">ROUND(C67*(1-((1+F70)/(1+F68))^F69)/(F68-F70),0)</f>
        <v>-50927</v>
      </c>
      <c r="D68" s="965" t="s">
        <v>758</v>
      </c>
      <c r="E68" s="950" t="s">
        <v>759</v>
      </c>
      <c r="F68" s="312">
        <f ca="1">F40</f>
        <v>5.5E-2</v>
      </c>
      <c r="O68" s="1426" t="s">
        <v>406</v>
      </c>
      <c r="P68" s="1465" t="s">
        <v>871</v>
      </c>
      <c r="Q68" s="1418">
        <f ca="1">ROUND(Q69-Q70*Q71,0)</f>
        <v>162522</v>
      </c>
      <c r="R68" s="1418" t="s">
        <v>414</v>
      </c>
    </row>
    <row r="69" spans="1:18" s="1382" customFormat="1" ht="13.5" thickBot="1">
      <c r="A69" s="951"/>
      <c r="B69" s="952"/>
      <c r="C69" s="306"/>
      <c r="D69" s="970" t="s">
        <v>762</v>
      </c>
      <c r="E69" s="950" t="s">
        <v>763</v>
      </c>
      <c r="F69" s="333">
        <f ca="1">F41</f>
        <v>20.73</v>
      </c>
      <c r="O69" s="1426" t="s">
        <v>411</v>
      </c>
      <c r="P69" s="1465" t="s">
        <v>872</v>
      </c>
      <c r="Q69" s="1418">
        <f ca="1">C39</f>
        <v>200122</v>
      </c>
      <c r="R69" s="1418" t="s">
        <v>818</v>
      </c>
    </row>
    <row r="70" spans="1:18" s="1382" customFormat="1" ht="13.5" thickBot="1">
      <c r="A70" s="954"/>
      <c r="B70" s="955"/>
      <c r="C70" s="310"/>
      <c r="D70" s="966"/>
      <c r="E70" s="950" t="s">
        <v>766</v>
      </c>
      <c r="F70" s="1052"/>
      <c r="O70" s="1426" t="s">
        <v>412</v>
      </c>
      <c r="P70" s="1465" t="s">
        <v>873</v>
      </c>
      <c r="Q70" s="1418">
        <f ca="1">C13</f>
        <v>537140</v>
      </c>
      <c r="R70" s="1418" t="s">
        <v>818</v>
      </c>
    </row>
    <row r="71" spans="1:18" s="1382" customFormat="1" ht="13.5" thickBot="1">
      <c r="A71" s="971" t="s">
        <v>396</v>
      </c>
      <c r="B71" s="972" t="s">
        <v>776</v>
      </c>
      <c r="C71" s="336">
        <f ca="1">ROUND(C68/F71,0)</f>
        <v>-475</v>
      </c>
      <c r="D71" s="973" t="s">
        <v>777</v>
      </c>
      <c r="E71" s="974" t="s">
        <v>778</v>
      </c>
      <c r="F71" s="339">
        <f ca="1">F43</f>
        <v>107.22</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37600</v>
      </c>
      <c r="D75" s="1382"/>
      <c r="E75" s="1382"/>
      <c r="F75" s="1382"/>
      <c r="K75" s="1400"/>
      <c r="L75" s="1382"/>
      <c r="O75" s="1416" t="s">
        <v>409</v>
      </c>
      <c r="P75" s="1417" t="s">
        <v>838</v>
      </c>
      <c r="Q75" s="1418">
        <f ca="1">Q65+Q66</f>
        <v>3002510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0.81200000000000006</v>
      </c>
    </row>
    <row r="80" spans="1:18">
      <c r="B80" s="340" t="s">
        <v>800</v>
      </c>
      <c r="C80" s="274">
        <f ca="1">ROUND(C75/C39,3)</f>
        <v>0.188</v>
      </c>
    </row>
    <row r="81" spans="2:3">
      <c r="B81" s="270" t="s">
        <v>801</v>
      </c>
      <c r="C81" s="238"/>
    </row>
    <row r="82" spans="2:3">
      <c r="B82" s="273" t="s">
        <v>802</v>
      </c>
      <c r="C82" s="275">
        <f ca="1">1-C83</f>
        <v>0.82099999999999995</v>
      </c>
    </row>
    <row r="83" spans="2:3">
      <c r="B83" s="273" t="s">
        <v>803</v>
      </c>
      <c r="C83" s="274">
        <f ca="1">ROUND(C13/C40,3)</f>
        <v>0.17899999999999999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3363</v>
      </c>
      <c r="E2" s="3442"/>
      <c r="F2" s="2844"/>
      <c r="G2" s="2845"/>
      <c r="H2" s="2846"/>
      <c r="I2" s="2847"/>
      <c r="J2" s="3708" t="s">
        <v>2320</v>
      </c>
      <c r="K2" s="370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10" t="s">
        <v>2330</v>
      </c>
      <c r="K3" s="371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10" t="s">
        <v>2332</v>
      </c>
      <c r="K4" s="371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12" t="s">
        <v>2336</v>
      </c>
      <c r="B6" s="3713"/>
      <c r="C6" s="3714"/>
      <c r="D6" s="2868"/>
      <c r="E6" s="2869"/>
      <c r="F6" s="2870"/>
      <c r="G6" s="2871"/>
      <c r="H6" s="2846"/>
      <c r="I6" s="2847"/>
      <c r="J6" s="3715">
        <v>1</v>
      </c>
      <c r="K6" s="3716"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15"/>
      <c r="K7" s="3717"/>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19" t="s">
        <v>2350</v>
      </c>
      <c r="C8" s="3720"/>
      <c r="D8" s="2887" t="s">
        <v>2351</v>
      </c>
      <c r="E8" s="2888" t="s">
        <v>2352</v>
      </c>
      <c r="F8" s="2889" t="s">
        <v>2353</v>
      </c>
      <c r="G8" s="2890"/>
      <c r="H8" s="2846"/>
      <c r="I8" s="2847"/>
      <c r="J8" s="3715"/>
      <c r="K8" s="3717"/>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19" t="s">
        <v>2356</v>
      </c>
      <c r="C9" s="3720"/>
      <c r="D9" s="2887">
        <f>ROUND(D6*E9,0)</f>
        <v>0</v>
      </c>
      <c r="E9" s="2891"/>
      <c r="F9" s="2892" t="s">
        <v>2357</v>
      </c>
      <c r="G9" s="2871"/>
      <c r="H9" s="2846"/>
      <c r="I9" s="2847"/>
      <c r="J9" s="3715"/>
      <c r="K9" s="3717"/>
      <c r="L9" s="2881" t="s">
        <v>2358</v>
      </c>
      <c r="M9" s="2882"/>
      <c r="N9" s="2858"/>
      <c r="O9" s="2883"/>
      <c r="P9" s="2883"/>
      <c r="Q9" s="2884">
        <v>365</v>
      </c>
      <c r="R9" s="2885">
        <f t="shared" si="0"/>
        <v>0</v>
      </c>
      <c r="S9" s="2839"/>
      <c r="T9" s="2839"/>
      <c r="U9" s="2839"/>
      <c r="V9" s="2847"/>
    </row>
    <row r="10" spans="1:22" s="2851" customFormat="1" ht="13.15" customHeight="1">
      <c r="A10" s="2886">
        <v>2</v>
      </c>
      <c r="B10" s="3719" t="s">
        <v>2359</v>
      </c>
      <c r="C10" s="3720"/>
      <c r="D10" s="2887">
        <f>ROUND(D6*E10,0)</f>
        <v>0</v>
      </c>
      <c r="E10" s="2891"/>
      <c r="F10" s="2892" t="s">
        <v>2360</v>
      </c>
      <c r="G10" s="2871"/>
      <c r="H10" s="2846"/>
      <c r="I10" s="2847"/>
      <c r="J10" s="3715"/>
      <c r="K10" s="3717"/>
      <c r="L10" s="2881" t="s">
        <v>2361</v>
      </c>
      <c r="M10" s="2882"/>
      <c r="N10" s="2858"/>
      <c r="O10" s="2883"/>
      <c r="P10" s="2883"/>
      <c r="Q10" s="2884">
        <v>365</v>
      </c>
      <c r="R10" s="2885">
        <f t="shared" si="0"/>
        <v>0</v>
      </c>
      <c r="S10" s="2839"/>
      <c r="T10" s="2839"/>
      <c r="U10" s="2839"/>
      <c r="V10" s="2847"/>
    </row>
    <row r="11" spans="1:22" s="2851" customFormat="1" ht="13.15" customHeight="1">
      <c r="A11" s="2886">
        <v>3</v>
      </c>
      <c r="B11" s="3719" t="s">
        <v>2362</v>
      </c>
      <c r="C11" s="3720"/>
      <c r="D11" s="2887">
        <f>D12+D14+D15+D16</f>
        <v>0</v>
      </c>
      <c r="E11" s="2893" t="e">
        <f>D11/D6</f>
        <v>#DIV/0!</v>
      </c>
      <c r="F11" s="2889"/>
      <c r="G11" s="2890"/>
      <c r="H11" s="2846"/>
      <c r="I11" s="2847"/>
      <c r="J11" s="3715"/>
      <c r="K11" s="3717"/>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21" t="s">
        <v>2365</v>
      </c>
      <c r="C12" s="3722"/>
      <c r="D12" s="2895">
        <f>ROUND(D13*1.2%*(1-30%),0)</f>
        <v>0</v>
      </c>
      <c r="E12" s="2896">
        <v>1.2E-2</v>
      </c>
      <c r="F12" s="2889" t="s">
        <v>2366</v>
      </c>
      <c r="G12" s="2890"/>
      <c r="H12" s="2846"/>
      <c r="I12" s="2847"/>
      <c r="J12" s="3715"/>
      <c r="K12" s="3717"/>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15"/>
      <c r="K13" s="3717"/>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21" t="s">
        <v>2371</v>
      </c>
      <c r="C14" s="3722"/>
      <c r="D14" s="2895">
        <f>ROUND(E14*B5/10000,0)</f>
        <v>0</v>
      </c>
      <c r="E14" s="2884"/>
      <c r="F14" s="2889" t="s">
        <v>2372</v>
      </c>
      <c r="G14" s="2890"/>
      <c r="H14" s="2846"/>
      <c r="I14" s="2847"/>
      <c r="J14" s="3715"/>
      <c r="K14" s="3718"/>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21" t="s">
        <v>2375</v>
      </c>
      <c r="C15" s="3722"/>
      <c r="D15" s="2895">
        <f>ROUND(D6*E15,0)</f>
        <v>0</v>
      </c>
      <c r="E15" s="2896">
        <v>5.5E-2</v>
      </c>
      <c r="F15" s="2889" t="s">
        <v>2376</v>
      </c>
      <c r="G15" s="2871"/>
      <c r="H15" s="2846"/>
      <c r="I15" s="2847"/>
      <c r="J15" s="3715">
        <v>2</v>
      </c>
      <c r="K15" s="3716"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21" t="s">
        <v>2384</v>
      </c>
      <c r="C16" s="3722"/>
      <c r="D16" s="2906">
        <f>D6*E16</f>
        <v>0</v>
      </c>
      <c r="E16" s="2907"/>
      <c r="F16" s="2892" t="s">
        <v>2385</v>
      </c>
      <c r="G16" s="2871"/>
      <c r="H16" s="2846"/>
      <c r="I16" s="2847"/>
      <c r="J16" s="3715"/>
      <c r="K16" s="3717"/>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23" t="s">
        <v>2387</v>
      </c>
      <c r="C17" s="3724"/>
      <c r="D17" s="2909">
        <f>ROUND(D6*E17,0)</f>
        <v>0</v>
      </c>
      <c r="E17" s="2910"/>
      <c r="F17" s="2911" t="s">
        <v>2388</v>
      </c>
      <c r="G17" s="2871"/>
      <c r="H17" s="2846"/>
      <c r="I17" s="2847"/>
      <c r="J17" s="3715"/>
      <c r="K17" s="3717"/>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15"/>
      <c r="K18" s="3717"/>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15"/>
      <c r="K19" s="3718"/>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15">
        <v>3</v>
      </c>
      <c r="K20" s="3716"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15"/>
      <c r="K21" s="3717"/>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15"/>
      <c r="K22" s="3717"/>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15"/>
      <c r="K23" s="3717"/>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15"/>
      <c r="K24" s="3718"/>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25">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2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08" t="s">
        <v>2320</v>
      </c>
      <c r="K32" s="370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10" t="s">
        <v>2330</v>
      </c>
      <c r="K33" s="371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10" t="s">
        <v>2332</v>
      </c>
      <c r="K34" s="371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15">
        <v>1</v>
      </c>
      <c r="K36" s="3716"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15"/>
      <c r="K37" s="3717"/>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15"/>
      <c r="K38" s="3717"/>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15"/>
      <c r="K39" s="3717"/>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15"/>
      <c r="K40" s="3718"/>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25">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2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306.40210000000002</v>
      </c>
      <c r="C2" s="1870" t="s">
        <v>1651</v>
      </c>
      <c r="D2" s="1871" t="s">
        <v>1652</v>
      </c>
      <c r="E2" s="2605">
        <f>SUM(E6:E13)</f>
        <v>107.22</v>
      </c>
      <c r="F2" s="2705"/>
      <c r="G2" s="1487"/>
      <c r="H2" s="1487"/>
      <c r="I2" s="1487"/>
      <c r="J2" s="1487"/>
      <c r="K2" s="1487"/>
      <c r="L2" s="1487"/>
      <c r="M2" s="1487"/>
      <c r="N2" s="1487"/>
      <c r="O2" s="1487"/>
      <c r="P2" s="1487"/>
      <c r="Q2" s="1487"/>
      <c r="R2" s="1487"/>
      <c r="S2" s="1487"/>
    </row>
    <row r="3" spans="1:22" ht="15.75">
      <c r="A3" s="1868" t="s">
        <v>686</v>
      </c>
      <c r="B3" s="2599">
        <f ca="1">ROUND(B2*10000/E2,0)</f>
        <v>28577</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7" t="s">
        <v>1654</v>
      </c>
      <c r="C5" s="3728"/>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306.40210000000002</v>
      </c>
      <c r="C6" s="1870" t="s">
        <v>1651</v>
      </c>
      <c r="D6" s="2707"/>
      <c r="E6" s="2604">
        <f>IF(OR(A6=0,F6="否"),0,'数据-取费表'!K6+'数据-取费表'!S6)</f>
        <v>107.22</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7"/>
      <c r="H2" s="907"/>
      <c r="I2" s="907"/>
      <c r="J2" s="907"/>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107.22</v>
      </c>
      <c r="E3" s="907"/>
      <c r="F3" s="1886"/>
      <c r="G3" s="907"/>
      <c r="H3" s="907"/>
      <c r="I3" s="907"/>
      <c r="J3" s="907"/>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78" t="s">
        <v>1667</v>
      </c>
      <c r="D4" s="3679"/>
      <c r="E4" s="3680" t="s">
        <v>1668</v>
      </c>
      <c r="F4" s="3681"/>
      <c r="G4" s="3678" t="s">
        <v>1669</v>
      </c>
      <c r="H4" s="3679"/>
      <c r="I4" s="3678" t="s">
        <v>1670</v>
      </c>
      <c r="J4" s="3679"/>
      <c r="K4" s="1887" t="s">
        <v>1671</v>
      </c>
      <c r="L4" s="2713"/>
      <c r="M4" s="2714"/>
      <c r="N4" s="2714"/>
      <c r="O4" s="2714"/>
      <c r="P4" s="3733" t="s">
        <v>1672</v>
      </c>
      <c r="Q4" s="3734"/>
      <c r="R4" s="3730" t="s">
        <v>1668</v>
      </c>
      <c r="S4" s="3731"/>
      <c r="T4" s="3730" t="s">
        <v>1669</v>
      </c>
      <c r="U4" s="3731"/>
      <c r="V4" s="3691" t="s">
        <v>1670</v>
      </c>
      <c r="W4" s="3691"/>
      <c r="X4" s="1353"/>
      <c r="Y4" s="3730" t="s">
        <v>1672</v>
      </c>
      <c r="Z4" s="3731"/>
      <c r="AA4" s="3729" t="s">
        <v>1668</v>
      </c>
      <c r="AB4" s="3729" t="s">
        <v>1669</v>
      </c>
      <c r="AC4" s="3729" t="s">
        <v>1670</v>
      </c>
    </row>
    <row r="5" spans="1:29" ht="15">
      <c r="A5" s="358"/>
      <c r="B5" s="359"/>
      <c r="C5" s="3667" t="s">
        <v>1673</v>
      </c>
      <c r="D5" s="3668"/>
      <c r="E5" s="3732" t="s">
        <v>1674</v>
      </c>
      <c r="F5" s="3666"/>
      <c r="G5" s="3667" t="s">
        <v>1675</v>
      </c>
      <c r="H5" s="3668"/>
      <c r="I5" s="3667" t="s">
        <v>1676</v>
      </c>
      <c r="J5" s="3668"/>
      <c r="K5" s="1888"/>
      <c r="L5" s="2713"/>
      <c r="M5" s="2714"/>
      <c r="N5" s="2714"/>
      <c r="O5" s="2714"/>
      <c r="P5" s="3735"/>
      <c r="Q5" s="3685"/>
      <c r="R5" s="3663"/>
      <c r="S5" s="3664"/>
      <c r="T5" s="3663"/>
      <c r="U5" s="3664"/>
      <c r="V5" s="3691"/>
      <c r="W5" s="3691"/>
      <c r="X5" s="1353"/>
      <c r="Y5" s="3663"/>
      <c r="Z5" s="3664"/>
      <c r="AA5" s="3657"/>
      <c r="AB5" s="3657"/>
      <c r="AC5" s="3657"/>
    </row>
    <row r="6" spans="1:29" ht="15.75" thickBot="1">
      <c r="A6" s="360"/>
      <c r="B6" s="361"/>
      <c r="C6" s="3669" t="s">
        <v>1677</v>
      </c>
      <c r="D6" s="3670"/>
      <c r="E6" s="3672" t="s">
        <v>1677</v>
      </c>
      <c r="F6" s="3673"/>
      <c r="G6" s="3669" t="s">
        <v>1677</v>
      </c>
      <c r="H6" s="3670"/>
      <c r="I6" s="3669" t="s">
        <v>1677</v>
      </c>
      <c r="J6" s="3670"/>
      <c r="K6" s="1888" t="s">
        <v>1678</v>
      </c>
      <c r="L6" s="2713"/>
      <c r="M6" s="2714"/>
      <c r="N6" s="2714"/>
      <c r="O6" s="2714"/>
      <c r="P6" s="3736"/>
      <c r="Q6" s="3687"/>
      <c r="R6" s="3663"/>
      <c r="S6" s="3664"/>
      <c r="T6" s="3688"/>
      <c r="U6" s="3689"/>
      <c r="V6" s="3691"/>
      <c r="W6" s="3691"/>
      <c r="X6" s="1353"/>
      <c r="Y6" s="3688"/>
      <c r="Z6" s="3689"/>
      <c r="AA6" s="3658"/>
      <c r="AB6" s="3658"/>
      <c r="AC6" s="3658"/>
    </row>
    <row r="7" spans="1:29" s="108" customFormat="1" ht="15.75" thickBot="1">
      <c r="A7" s="362" t="s">
        <v>1679</v>
      </c>
      <c r="B7" s="363"/>
      <c r="C7" s="364">
        <f>'数据-取费表'!B2</f>
        <v>45107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59" t="s">
        <v>1680</v>
      </c>
      <c r="Q7" s="3693"/>
      <c r="R7" s="701" t="s">
        <v>20</v>
      </c>
      <c r="S7" s="702">
        <f t="shared" ref="S7:S15" si="0">F7</f>
        <v>0</v>
      </c>
      <c r="T7" s="701" t="s">
        <v>20</v>
      </c>
      <c r="U7" s="702">
        <f t="shared" ref="U7:U15" si="1">H7</f>
        <v>0</v>
      </c>
      <c r="V7" s="701" t="s">
        <v>20</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59" t="s">
        <v>1683</v>
      </c>
      <c r="Q8" s="3660"/>
      <c r="R8" s="701" t="s">
        <v>20</v>
      </c>
      <c r="S8" s="702">
        <f t="shared" si="0"/>
        <v>100</v>
      </c>
      <c r="T8" s="701" t="s">
        <v>20</v>
      </c>
      <c r="U8" s="702">
        <f t="shared" si="1"/>
        <v>100</v>
      </c>
      <c r="V8" s="701" t="s">
        <v>20</v>
      </c>
      <c r="W8" s="702">
        <f t="shared" si="2"/>
        <v>100</v>
      </c>
      <c r="X8" s="703"/>
      <c r="Y8" s="3659" t="s">
        <v>1683</v>
      </c>
      <c r="Z8" s="366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4" t="s">
        <v>1686</v>
      </c>
      <c r="Q9" s="1341"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4"/>
      <c r="Q10" s="1341"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4"/>
      <c r="Q11" s="1341" t="str">
        <f t="shared" si="6"/>
        <v>容积率</v>
      </c>
      <c r="R11" s="701" t="s">
        <v>18</v>
      </c>
      <c r="S11" s="702" t="e">
        <f t="shared" si="0"/>
        <v>#N/A</v>
      </c>
      <c r="T11" s="701" t="s">
        <v>18</v>
      </c>
      <c r="U11" s="702" t="e">
        <f t="shared" si="1"/>
        <v>#N/A</v>
      </c>
      <c r="V11" s="701" t="s">
        <v>18</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4"/>
      <c r="Q12" s="1341">
        <f t="shared" si="6"/>
        <v>111</v>
      </c>
      <c r="R12" s="701" t="s">
        <v>18</v>
      </c>
      <c r="S12" s="702">
        <f t="shared" si="0"/>
        <v>100</v>
      </c>
      <c r="T12" s="701" t="s">
        <v>18</v>
      </c>
      <c r="U12" s="702">
        <f t="shared" si="1"/>
        <v>100</v>
      </c>
      <c r="V12" s="701" t="s">
        <v>18</v>
      </c>
      <c r="W12" s="702">
        <f t="shared" si="2"/>
        <v>100</v>
      </c>
      <c r="X12" s="703"/>
      <c r="Y12" s="362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4"/>
      <c r="Q13" s="1341">
        <f t="shared" si="6"/>
        <v>111</v>
      </c>
      <c r="R13" s="701" t="s">
        <v>18</v>
      </c>
      <c r="S13" s="702">
        <f t="shared" si="0"/>
        <v>100</v>
      </c>
      <c r="T13" s="701" t="s">
        <v>18</v>
      </c>
      <c r="U13" s="702">
        <f t="shared" si="1"/>
        <v>100</v>
      </c>
      <c r="V13" s="701" t="s">
        <v>18</v>
      </c>
      <c r="W13" s="702">
        <f t="shared" si="2"/>
        <v>100</v>
      </c>
      <c r="X13" s="703"/>
      <c r="Y13" s="3624"/>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4"/>
      <c r="Q14" s="1341">
        <f t="shared" si="6"/>
        <v>111</v>
      </c>
      <c r="R14" s="701" t="s">
        <v>18</v>
      </c>
      <c r="S14" s="702">
        <f t="shared" si="0"/>
        <v>100</v>
      </c>
      <c r="T14" s="701" t="s">
        <v>18</v>
      </c>
      <c r="U14" s="702">
        <f t="shared" si="1"/>
        <v>100</v>
      </c>
      <c r="V14" s="701" t="s">
        <v>18</v>
      </c>
      <c r="W14" s="702">
        <f t="shared" si="2"/>
        <v>100</v>
      </c>
      <c r="X14" s="703"/>
      <c r="Y14" s="3624"/>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4" t="s">
        <v>1691</v>
      </c>
      <c r="Q15" s="1350" t="str">
        <f t="shared" si="6"/>
        <v>居住社区成熟度</v>
      </c>
      <c r="R15" s="705" t="s">
        <v>18</v>
      </c>
      <c r="S15" s="706">
        <f t="shared" si="0"/>
        <v>100</v>
      </c>
      <c r="T15" s="705" t="s">
        <v>18</v>
      </c>
      <c r="U15" s="706">
        <f t="shared" si="1"/>
        <v>100</v>
      </c>
      <c r="V15" s="705" t="s">
        <v>18</v>
      </c>
      <c r="W15" s="706">
        <f t="shared" si="2"/>
        <v>100</v>
      </c>
      <c r="X15" s="1353"/>
      <c r="Y15" s="3696"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95"/>
      <c r="Q16" s="1350"/>
      <c r="R16" s="705"/>
      <c r="S16" s="706"/>
      <c r="T16" s="705"/>
      <c r="U16" s="706"/>
      <c r="V16" s="705"/>
      <c r="W16" s="706"/>
      <c r="X16" s="1353"/>
      <c r="Y16" s="3697"/>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5"/>
      <c r="Q17" s="1350" t="str">
        <f>B17</f>
        <v>交通便捷度</v>
      </c>
      <c r="R17" s="705" t="s">
        <v>18</v>
      </c>
      <c r="S17" s="706">
        <f>F17</f>
        <v>100</v>
      </c>
      <c r="T17" s="705" t="s">
        <v>18</v>
      </c>
      <c r="U17" s="706">
        <f>H17</f>
        <v>100</v>
      </c>
      <c r="V17" s="705" t="s">
        <v>18</v>
      </c>
      <c r="W17" s="706">
        <f>J17</f>
        <v>100</v>
      </c>
      <c r="X17" s="1353"/>
      <c r="Y17" s="3697"/>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95"/>
      <c r="Q18" s="1350"/>
      <c r="R18" s="705"/>
      <c r="S18" s="706"/>
      <c r="T18" s="705"/>
      <c r="U18" s="706"/>
      <c r="V18" s="705"/>
      <c r="W18" s="706"/>
      <c r="X18" s="1353"/>
      <c r="Y18" s="3697"/>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5"/>
      <c r="Q19" s="1350" t="str">
        <f>B19</f>
        <v>公共配套设施</v>
      </c>
      <c r="R19" s="705" t="s">
        <v>18</v>
      </c>
      <c r="S19" s="706">
        <f>F19</f>
        <v>100</v>
      </c>
      <c r="T19" s="705" t="s">
        <v>18</v>
      </c>
      <c r="U19" s="706">
        <f>H19</f>
        <v>100</v>
      </c>
      <c r="V19" s="705" t="s">
        <v>18</v>
      </c>
      <c r="W19" s="706">
        <f>J19</f>
        <v>100</v>
      </c>
      <c r="X19" s="1353"/>
      <c r="Y19" s="3697"/>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95"/>
      <c r="Q20" s="1350"/>
      <c r="R20" s="705"/>
      <c r="S20" s="706"/>
      <c r="T20" s="705"/>
      <c r="U20" s="706"/>
      <c r="V20" s="705"/>
      <c r="W20" s="706"/>
      <c r="X20" s="1353"/>
      <c r="Y20" s="3697"/>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5"/>
      <c r="Q21" s="1350" t="str">
        <f>B21</f>
        <v>基础设施水平</v>
      </c>
      <c r="R21" s="705" t="s">
        <v>14</v>
      </c>
      <c r="S21" s="706">
        <f>F21</f>
        <v>100</v>
      </c>
      <c r="T21" s="705" t="s">
        <v>14</v>
      </c>
      <c r="U21" s="706">
        <f>H21</f>
        <v>100</v>
      </c>
      <c r="V21" s="705" t="s">
        <v>14</v>
      </c>
      <c r="W21" s="706">
        <f>J21</f>
        <v>100</v>
      </c>
      <c r="X21" s="1353"/>
      <c r="Y21" s="369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95"/>
      <c r="Q22" s="1350"/>
      <c r="R22" s="705"/>
      <c r="S22" s="706"/>
      <c r="T22" s="705"/>
      <c r="U22" s="706"/>
      <c r="V22" s="705"/>
      <c r="W22" s="706"/>
      <c r="X22" s="1353"/>
      <c r="Y22" s="3697"/>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5"/>
      <c r="Q23" s="1350" t="str">
        <f>B23</f>
        <v>自然及人文环境</v>
      </c>
      <c r="R23" s="705" t="s">
        <v>18</v>
      </c>
      <c r="S23" s="706">
        <f>F23</f>
        <v>100</v>
      </c>
      <c r="T23" s="705" t="s">
        <v>18</v>
      </c>
      <c r="U23" s="706">
        <f>H23</f>
        <v>100</v>
      </c>
      <c r="V23" s="705" t="s">
        <v>18</v>
      </c>
      <c r="W23" s="706">
        <f>J23</f>
        <v>100</v>
      </c>
      <c r="X23" s="1353"/>
      <c r="Y23" s="3697"/>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95"/>
      <c r="Q24" s="1350"/>
      <c r="R24" s="705"/>
      <c r="S24" s="706"/>
      <c r="T24" s="705"/>
      <c r="U24" s="706"/>
      <c r="V24" s="705"/>
      <c r="W24" s="706"/>
      <c r="X24" s="1353"/>
      <c r="Y24" s="3697"/>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95"/>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697"/>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95"/>
      <c r="Q26" s="1350" t="str">
        <f t="shared" si="11"/>
        <v>朝向</v>
      </c>
      <c r="R26" s="705" t="s">
        <v>18</v>
      </c>
      <c r="S26" s="706">
        <f t="shared" si="12"/>
        <v>100</v>
      </c>
      <c r="T26" s="705" t="s">
        <v>18</v>
      </c>
      <c r="U26" s="706">
        <f t="shared" si="13"/>
        <v>100</v>
      </c>
      <c r="V26" s="705" t="s">
        <v>18</v>
      </c>
      <c r="W26" s="706">
        <f t="shared" si="14"/>
        <v>100</v>
      </c>
      <c r="X26" s="1353"/>
      <c r="Y26" s="3697"/>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95"/>
      <c r="Q27" s="1341">
        <f t="shared" si="11"/>
        <v>111</v>
      </c>
      <c r="R27" s="701" t="s">
        <v>18</v>
      </c>
      <c r="S27" s="702">
        <f t="shared" si="12"/>
        <v>100</v>
      </c>
      <c r="T27" s="701" t="s">
        <v>18</v>
      </c>
      <c r="U27" s="702">
        <f t="shared" si="13"/>
        <v>100</v>
      </c>
      <c r="V27" s="701" t="s">
        <v>18</v>
      </c>
      <c r="W27" s="702">
        <f t="shared" si="14"/>
        <v>100</v>
      </c>
      <c r="X27" s="703"/>
      <c r="Y27" s="3697"/>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95"/>
      <c r="Q28" s="1350">
        <f t="shared" si="11"/>
        <v>111</v>
      </c>
      <c r="R28" s="705" t="s">
        <v>18</v>
      </c>
      <c r="S28" s="706">
        <f t="shared" si="12"/>
        <v>100</v>
      </c>
      <c r="T28" s="705" t="s">
        <v>18</v>
      </c>
      <c r="U28" s="706">
        <f t="shared" si="13"/>
        <v>100</v>
      </c>
      <c r="V28" s="705" t="s">
        <v>18</v>
      </c>
      <c r="W28" s="706">
        <f t="shared" si="14"/>
        <v>100</v>
      </c>
      <c r="X28" s="1353"/>
      <c r="Y28" s="3697"/>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95"/>
      <c r="Q29" s="1350">
        <f t="shared" si="11"/>
        <v>111</v>
      </c>
      <c r="R29" s="705" t="s">
        <v>18</v>
      </c>
      <c r="S29" s="706">
        <f t="shared" si="12"/>
        <v>100</v>
      </c>
      <c r="T29" s="705" t="s">
        <v>18</v>
      </c>
      <c r="U29" s="706">
        <f t="shared" si="13"/>
        <v>100</v>
      </c>
      <c r="V29" s="705" t="s">
        <v>18</v>
      </c>
      <c r="W29" s="706">
        <f t="shared" si="14"/>
        <v>100</v>
      </c>
      <c r="X29" s="1353"/>
      <c r="Y29" s="3697"/>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95"/>
      <c r="Q30" s="1350">
        <f t="shared" si="11"/>
        <v>111</v>
      </c>
      <c r="R30" s="705" t="s">
        <v>18</v>
      </c>
      <c r="S30" s="706">
        <f t="shared" si="12"/>
        <v>100</v>
      </c>
      <c r="T30" s="705" t="s">
        <v>18</v>
      </c>
      <c r="U30" s="706">
        <f t="shared" si="13"/>
        <v>100</v>
      </c>
      <c r="V30" s="705" t="s">
        <v>18</v>
      </c>
      <c r="W30" s="706">
        <f t="shared" si="14"/>
        <v>100</v>
      </c>
      <c r="X30" s="1353"/>
      <c r="Y30" s="3697"/>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95"/>
      <c r="Q31" s="1350">
        <f t="shared" si="11"/>
        <v>111</v>
      </c>
      <c r="R31" s="705" t="s">
        <v>18</v>
      </c>
      <c r="S31" s="706">
        <f t="shared" si="12"/>
        <v>100</v>
      </c>
      <c r="T31" s="705" t="s">
        <v>18</v>
      </c>
      <c r="U31" s="706">
        <f t="shared" si="13"/>
        <v>100</v>
      </c>
      <c r="V31" s="705" t="s">
        <v>18</v>
      </c>
      <c r="W31" s="706">
        <f t="shared" si="14"/>
        <v>100</v>
      </c>
      <c r="X31" s="1353"/>
      <c r="Y31" s="3697"/>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98" t="s">
        <v>1696</v>
      </c>
      <c r="Q32" s="1350" t="str">
        <f t="shared" si="11"/>
        <v>建筑类型</v>
      </c>
      <c r="R32" s="705" t="s">
        <v>18</v>
      </c>
      <c r="S32" s="706">
        <f t="shared" si="12"/>
        <v>100</v>
      </c>
      <c r="T32" s="705" t="s">
        <v>18</v>
      </c>
      <c r="U32" s="706">
        <f t="shared" si="13"/>
        <v>100</v>
      </c>
      <c r="V32" s="705" t="s">
        <v>18</v>
      </c>
      <c r="W32" s="706">
        <f t="shared" si="14"/>
        <v>100</v>
      </c>
      <c r="X32" s="1353"/>
      <c r="Y32" s="3701"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99"/>
      <c r="Q33" s="707" t="str">
        <f t="shared" si="11"/>
        <v>项目建筑规模</v>
      </c>
      <c r="R33" s="708" t="s">
        <v>18</v>
      </c>
      <c r="S33" s="709" t="e">
        <f t="shared" si="12"/>
        <v>#N/A</v>
      </c>
      <c r="T33" s="708" t="s">
        <v>18</v>
      </c>
      <c r="U33" s="709" t="e">
        <f t="shared" si="13"/>
        <v>#N/A</v>
      </c>
      <c r="V33" s="708" t="s">
        <v>18</v>
      </c>
      <c r="W33" s="709" t="e">
        <f t="shared" si="14"/>
        <v>#N/A</v>
      </c>
      <c r="X33" s="710"/>
      <c r="Y33" s="3701"/>
      <c r="Z33" s="711"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99"/>
      <c r="Q34" s="1350" t="str">
        <f t="shared" si="11"/>
        <v>建筑结构</v>
      </c>
      <c r="R34" s="705" t="s">
        <v>18</v>
      </c>
      <c r="S34" s="706">
        <f t="shared" si="12"/>
        <v>100</v>
      </c>
      <c r="T34" s="705" t="s">
        <v>18</v>
      </c>
      <c r="U34" s="706">
        <f t="shared" si="13"/>
        <v>100</v>
      </c>
      <c r="V34" s="705" t="s">
        <v>18</v>
      </c>
      <c r="W34" s="706">
        <f t="shared" si="14"/>
        <v>100</v>
      </c>
      <c r="X34" s="1353"/>
      <c r="Y34" s="3701"/>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99"/>
      <c r="Q35" s="1350" t="str">
        <f t="shared" si="11"/>
        <v>建筑品质</v>
      </c>
      <c r="R35" s="705" t="s">
        <v>18</v>
      </c>
      <c r="S35" s="706">
        <f t="shared" si="12"/>
        <v>100</v>
      </c>
      <c r="T35" s="705" t="s">
        <v>18</v>
      </c>
      <c r="U35" s="706">
        <f t="shared" si="13"/>
        <v>100</v>
      </c>
      <c r="V35" s="705" t="s">
        <v>18</v>
      </c>
      <c r="W35" s="706">
        <f t="shared" si="14"/>
        <v>100</v>
      </c>
      <c r="X35" s="1353"/>
      <c r="Y35" s="3701"/>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99"/>
      <c r="Q36" s="1350" t="str">
        <f t="shared" si="11"/>
        <v>公共部分装修</v>
      </c>
      <c r="R36" s="705" t="s">
        <v>18</v>
      </c>
      <c r="S36" s="706">
        <f t="shared" si="12"/>
        <v>100</v>
      </c>
      <c r="T36" s="705" t="s">
        <v>18</v>
      </c>
      <c r="U36" s="706">
        <f t="shared" si="13"/>
        <v>100</v>
      </c>
      <c r="V36" s="705" t="s">
        <v>18</v>
      </c>
      <c r="W36" s="706">
        <f t="shared" si="14"/>
        <v>100</v>
      </c>
      <c r="X36" s="1353"/>
      <c r="Y36" s="3701"/>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9"/>
      <c r="Q37" s="1341" t="str">
        <f t="shared" si="11"/>
        <v>成新度</v>
      </c>
      <c r="R37" s="701" t="s">
        <v>18</v>
      </c>
      <c r="S37" s="702" t="e">
        <f t="shared" si="12"/>
        <v>#N/A</v>
      </c>
      <c r="T37" s="701" t="s">
        <v>18</v>
      </c>
      <c r="U37" s="702" t="e">
        <f t="shared" si="13"/>
        <v>#N/A</v>
      </c>
      <c r="V37" s="701" t="s">
        <v>18</v>
      </c>
      <c r="W37" s="702" t="e">
        <f t="shared" si="14"/>
        <v>#N/A</v>
      </c>
      <c r="X37" s="703"/>
      <c r="Y37" s="3701"/>
      <c r="Z37" s="52" t="str">
        <f t="shared" si="18"/>
        <v>成新度</v>
      </c>
      <c r="AA37" s="704" t="e">
        <f t="shared" si="15"/>
        <v>#N/A</v>
      </c>
      <c r="AB37" s="704" t="e">
        <f t="shared" si="16"/>
        <v>#N/A</v>
      </c>
      <c r="AC37" s="704"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99" t="s">
        <v>1696</v>
      </c>
      <c r="Q38" s="1350" t="str">
        <f t="shared" si="11"/>
        <v>物业管理</v>
      </c>
      <c r="R38" s="705" t="s">
        <v>18</v>
      </c>
      <c r="S38" s="706">
        <f t="shared" si="12"/>
        <v>100</v>
      </c>
      <c r="T38" s="705" t="s">
        <v>18</v>
      </c>
      <c r="U38" s="706">
        <f t="shared" si="13"/>
        <v>100</v>
      </c>
      <c r="V38" s="705" t="s">
        <v>18</v>
      </c>
      <c r="W38" s="706">
        <f t="shared" si="14"/>
        <v>100</v>
      </c>
      <c r="X38" s="1353"/>
      <c r="Y38" s="3701"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99"/>
      <c r="Q39" s="1350" t="str">
        <f t="shared" si="11"/>
        <v>市政基础设施</v>
      </c>
      <c r="R39" s="705" t="s">
        <v>18</v>
      </c>
      <c r="S39" s="706">
        <f t="shared" si="12"/>
        <v>100</v>
      </c>
      <c r="T39" s="705" t="s">
        <v>18</v>
      </c>
      <c r="U39" s="706">
        <f t="shared" si="13"/>
        <v>100</v>
      </c>
      <c r="V39" s="705" t="s">
        <v>18</v>
      </c>
      <c r="W39" s="706">
        <f t="shared" si="14"/>
        <v>100</v>
      </c>
      <c r="X39" s="1353"/>
      <c r="Y39" s="3701"/>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99"/>
      <c r="Q40" s="1350" t="str">
        <f t="shared" si="11"/>
        <v>房型</v>
      </c>
      <c r="R40" s="705" t="s">
        <v>18</v>
      </c>
      <c r="S40" s="706">
        <f t="shared" si="12"/>
        <v>100</v>
      </c>
      <c r="T40" s="705" t="s">
        <v>18</v>
      </c>
      <c r="U40" s="706">
        <f t="shared" si="13"/>
        <v>100</v>
      </c>
      <c r="V40" s="705" t="s">
        <v>18</v>
      </c>
      <c r="W40" s="706">
        <f t="shared" si="14"/>
        <v>100</v>
      </c>
      <c r="X40" s="1353"/>
      <c r="Y40" s="3701"/>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99"/>
      <c r="Q41" s="707" t="str">
        <f t="shared" si="11"/>
        <v>单套/主力户型建筑面积</v>
      </c>
      <c r="R41" s="708" t="s">
        <v>18</v>
      </c>
      <c r="S41" s="709">
        <f t="shared" si="12"/>
        <v>100</v>
      </c>
      <c r="T41" s="708" t="s">
        <v>18</v>
      </c>
      <c r="U41" s="709">
        <f t="shared" si="13"/>
        <v>100</v>
      </c>
      <c r="V41" s="708" t="s">
        <v>18</v>
      </c>
      <c r="W41" s="709">
        <f t="shared" si="14"/>
        <v>100</v>
      </c>
      <c r="X41" s="710"/>
      <c r="Y41" s="3701"/>
      <c r="Z41" s="711"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99"/>
      <c r="Q42" s="1350" t="str">
        <f t="shared" si="11"/>
        <v>内部装修</v>
      </c>
      <c r="R42" s="705" t="s">
        <v>18</v>
      </c>
      <c r="S42" s="706">
        <f t="shared" si="12"/>
        <v>100</v>
      </c>
      <c r="T42" s="705" t="s">
        <v>18</v>
      </c>
      <c r="U42" s="706">
        <f t="shared" si="13"/>
        <v>100</v>
      </c>
      <c r="V42" s="705" t="s">
        <v>18</v>
      </c>
      <c r="W42" s="706">
        <f t="shared" si="14"/>
        <v>100</v>
      </c>
      <c r="X42" s="1353"/>
      <c r="Y42" s="3701"/>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99"/>
      <c r="Q43" s="1350" t="str">
        <f t="shared" si="11"/>
        <v>内部装修维护情况</v>
      </c>
      <c r="R43" s="705" t="s">
        <v>18</v>
      </c>
      <c r="S43" s="706">
        <f t="shared" si="12"/>
        <v>100</v>
      </c>
      <c r="T43" s="705" t="s">
        <v>18</v>
      </c>
      <c r="U43" s="706">
        <f t="shared" si="13"/>
        <v>100</v>
      </c>
      <c r="V43" s="705" t="s">
        <v>18</v>
      </c>
      <c r="W43" s="706">
        <f t="shared" si="14"/>
        <v>100</v>
      </c>
      <c r="X43" s="1353"/>
      <c r="Y43" s="3701"/>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99"/>
      <c r="Q44" s="1341">
        <f t="shared" si="11"/>
        <v>111</v>
      </c>
      <c r="R44" s="701" t="s">
        <v>18</v>
      </c>
      <c r="S44" s="702">
        <f t="shared" si="12"/>
        <v>100</v>
      </c>
      <c r="T44" s="701" t="s">
        <v>18</v>
      </c>
      <c r="U44" s="702">
        <f t="shared" si="13"/>
        <v>100</v>
      </c>
      <c r="V44" s="701" t="s">
        <v>18</v>
      </c>
      <c r="W44" s="702">
        <f t="shared" si="14"/>
        <v>100</v>
      </c>
      <c r="X44" s="703"/>
      <c r="Y44" s="3701"/>
      <c r="Z44" s="52">
        <f t="shared" si="18"/>
        <v>111</v>
      </c>
      <c r="AA44" s="704">
        <f t="shared" si="15"/>
        <v>1</v>
      </c>
      <c r="AB44" s="704">
        <f t="shared" si="16"/>
        <v>1</v>
      </c>
      <c r="AC44" s="704">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99"/>
      <c r="Q45" s="1350">
        <f t="shared" si="11"/>
        <v>111</v>
      </c>
      <c r="R45" s="705" t="s">
        <v>18</v>
      </c>
      <c r="S45" s="706">
        <f t="shared" si="12"/>
        <v>100</v>
      </c>
      <c r="T45" s="705" t="s">
        <v>18</v>
      </c>
      <c r="U45" s="706">
        <f t="shared" si="13"/>
        <v>100</v>
      </c>
      <c r="V45" s="705" t="s">
        <v>18</v>
      </c>
      <c r="W45" s="706">
        <f t="shared" si="14"/>
        <v>100</v>
      </c>
      <c r="X45" s="1353"/>
      <c r="Y45" s="3701"/>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0"/>
      <c r="Q46" s="1350">
        <f t="shared" si="11"/>
        <v>111</v>
      </c>
      <c r="R46" s="705" t="s">
        <v>17</v>
      </c>
      <c r="S46" s="706">
        <f t="shared" si="12"/>
        <v>100</v>
      </c>
      <c r="T46" s="705" t="s">
        <v>17</v>
      </c>
      <c r="U46" s="706">
        <f t="shared" si="13"/>
        <v>100</v>
      </c>
      <c r="V46" s="705" t="s">
        <v>17</v>
      </c>
      <c r="W46" s="706">
        <f t="shared" si="14"/>
        <v>100</v>
      </c>
      <c r="X46" s="1353"/>
      <c r="Y46" s="3702"/>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703" t="str">
        <f>A47</f>
        <v>成交单价（元/平方米）</v>
      </c>
      <c r="Q47" s="3703"/>
      <c r="R47" s="3704">
        <f>E47</f>
        <v>0</v>
      </c>
      <c r="S47" s="3704"/>
      <c r="T47" s="3704">
        <f>G47</f>
        <v>0</v>
      </c>
      <c r="U47" s="3704"/>
      <c r="V47" s="3704">
        <f>I47</f>
        <v>0</v>
      </c>
      <c r="W47" s="3704"/>
      <c r="X47" s="690"/>
      <c r="Y47" s="712"/>
      <c r="Z47" s="690"/>
      <c r="AA47" s="690"/>
      <c r="AB47" s="690"/>
      <c r="AC47" s="690"/>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1710</v>
      </c>
      <c r="B49" s="442"/>
      <c r="C49" s="1160" t="e">
        <f>R49</f>
        <v>#DIV/0!</v>
      </c>
      <c r="D49" s="1161"/>
      <c r="E49" s="1161"/>
      <c r="F49" s="1161"/>
      <c r="G49" s="1161"/>
      <c r="H49" s="1161"/>
      <c r="I49" s="1161"/>
      <c r="J49" s="1161"/>
      <c r="K49" s="1913"/>
      <c r="L49" s="2722"/>
      <c r="M49" s="2723"/>
      <c r="N49" s="2723"/>
      <c r="O49" s="2723"/>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4" t="str">
        <f>YEAR(C7)&amp;"-"&amp;MONTH(C7)</f>
        <v>2023-6</v>
      </c>
      <c r="D58" s="1183">
        <f>EDATE(C58,-1)</f>
        <v>45047</v>
      </c>
      <c r="E58" s="1183">
        <f>EDATE(D58,-1)</f>
        <v>45017</v>
      </c>
      <c r="F58" s="1183">
        <f t="shared" ref="F58:O58" si="19">EDATE(E58,-1)</f>
        <v>44986</v>
      </c>
      <c r="G58" s="1183">
        <f t="shared" si="19"/>
        <v>44958</v>
      </c>
      <c r="H58" s="1183">
        <f t="shared" si="19"/>
        <v>44927</v>
      </c>
      <c r="I58" s="1183">
        <f t="shared" si="19"/>
        <v>44896</v>
      </c>
      <c r="J58" s="1183">
        <f t="shared" si="19"/>
        <v>44866</v>
      </c>
      <c r="K58" s="1183">
        <f t="shared" si="19"/>
        <v>44835</v>
      </c>
      <c r="L58" s="1183">
        <f t="shared" si="19"/>
        <v>44805</v>
      </c>
      <c r="M58" s="1183">
        <f t="shared" si="19"/>
        <v>44774</v>
      </c>
      <c r="N58" s="1183">
        <f t="shared" si="19"/>
        <v>44743</v>
      </c>
      <c r="O58" s="1183">
        <f t="shared" si="19"/>
        <v>44713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107.22</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733" t="s">
        <v>1775</v>
      </c>
      <c r="Q4" s="3734"/>
      <c r="R4" s="3730" t="s">
        <v>1771</v>
      </c>
      <c r="S4" s="3731"/>
      <c r="T4" s="3730" t="s">
        <v>1772</v>
      </c>
      <c r="U4" s="3731"/>
      <c r="V4" s="3691" t="s">
        <v>1773</v>
      </c>
      <c r="W4" s="3691"/>
      <c r="X4" s="1353"/>
      <c r="Y4" s="3730" t="s">
        <v>1775</v>
      </c>
      <c r="Z4" s="3731"/>
      <c r="AA4" s="3729" t="s">
        <v>1771</v>
      </c>
      <c r="AB4" s="3691" t="s">
        <v>1772</v>
      </c>
      <c r="AC4" s="3729" t="s">
        <v>1773</v>
      </c>
    </row>
    <row r="5" spans="1:29" ht="15">
      <c r="A5" s="358"/>
      <c r="B5" s="359"/>
      <c r="C5" s="3667" t="s">
        <v>1673</v>
      </c>
      <c r="D5" s="3668"/>
      <c r="E5" s="3732" t="s">
        <v>1674</v>
      </c>
      <c r="F5" s="3666"/>
      <c r="G5" s="3667" t="s">
        <v>1675</v>
      </c>
      <c r="H5" s="3668"/>
      <c r="I5" s="3667" t="s">
        <v>1676</v>
      </c>
      <c r="J5" s="3668"/>
      <c r="K5" s="559"/>
      <c r="L5" s="2713"/>
      <c r="M5" s="2714"/>
      <c r="N5" s="2714"/>
      <c r="O5" s="2714"/>
      <c r="P5" s="3735"/>
      <c r="Q5" s="3685"/>
      <c r="R5" s="3663"/>
      <c r="S5" s="3664"/>
      <c r="T5" s="3663"/>
      <c r="U5" s="3664"/>
      <c r="V5" s="3691"/>
      <c r="W5" s="3691"/>
      <c r="X5" s="1353"/>
      <c r="Y5" s="3663"/>
      <c r="Z5" s="3664"/>
      <c r="AA5" s="3657"/>
      <c r="AB5" s="3691"/>
      <c r="AC5" s="3657"/>
    </row>
    <row r="6" spans="1:29" ht="15.75" thickBot="1">
      <c r="A6" s="360"/>
      <c r="B6" s="361"/>
      <c r="C6" s="3669" t="s">
        <v>1677</v>
      </c>
      <c r="D6" s="3670"/>
      <c r="E6" s="3672" t="s">
        <v>1677</v>
      </c>
      <c r="F6" s="3673"/>
      <c r="G6" s="3669" t="s">
        <v>1677</v>
      </c>
      <c r="H6" s="3670"/>
      <c r="I6" s="3669" t="s">
        <v>1677</v>
      </c>
      <c r="J6" s="3670"/>
      <c r="K6" s="559" t="s">
        <v>1678</v>
      </c>
      <c r="L6" s="2713"/>
      <c r="M6" s="2714"/>
      <c r="N6" s="2714"/>
      <c r="O6" s="2714"/>
      <c r="P6" s="3736"/>
      <c r="Q6" s="3687"/>
      <c r="R6" s="3663"/>
      <c r="S6" s="3664"/>
      <c r="T6" s="3688"/>
      <c r="U6" s="3689"/>
      <c r="V6" s="3691"/>
      <c r="W6" s="3691"/>
      <c r="X6" s="1353"/>
      <c r="Y6" s="3688"/>
      <c r="Z6" s="3689"/>
      <c r="AA6" s="3658"/>
      <c r="AB6" s="3691"/>
      <c r="AC6" s="3658"/>
    </row>
    <row r="7" spans="1:29" s="108" customFormat="1" ht="15.75" thickBot="1">
      <c r="A7" s="362" t="s">
        <v>1679</v>
      </c>
      <c r="B7" s="363"/>
      <c r="C7" s="364">
        <f>'数据-取费表'!B2</f>
        <v>45107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59" t="s">
        <v>1680</v>
      </c>
      <c r="Q7" s="3693"/>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59" t="s">
        <v>1683</v>
      </c>
      <c r="Q8" s="3660"/>
      <c r="R8" s="701" t="s">
        <v>14</v>
      </c>
      <c r="S8" s="702">
        <f t="shared" si="0"/>
        <v>100</v>
      </c>
      <c r="T8" s="701" t="s">
        <v>14</v>
      </c>
      <c r="U8" s="702">
        <f t="shared" si="1"/>
        <v>100</v>
      </c>
      <c r="V8" s="701" t="s">
        <v>14</v>
      </c>
      <c r="W8" s="702">
        <f t="shared" si="2"/>
        <v>100</v>
      </c>
      <c r="X8" s="703"/>
      <c r="Y8" s="3659" t="s">
        <v>1683</v>
      </c>
      <c r="Z8" s="366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4" t="s">
        <v>1686</v>
      </c>
      <c r="Q9" s="1341"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4"/>
      <c r="Q10" s="1341"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4"/>
      <c r="Q11" s="1341"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4"/>
      <c r="Q12" s="1341">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4"/>
      <c r="Q13" s="1341">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4"/>
      <c r="Q14" s="1341">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4" t="s">
        <v>1691</v>
      </c>
      <c r="Q15" s="1350" t="str">
        <f t="shared" si="6"/>
        <v>商业繁华度</v>
      </c>
      <c r="R15" s="705" t="s">
        <v>14</v>
      </c>
      <c r="S15" s="706">
        <f t="shared" si="0"/>
        <v>100</v>
      </c>
      <c r="T15" s="705" t="s">
        <v>14</v>
      </c>
      <c r="U15" s="706">
        <f t="shared" si="1"/>
        <v>100</v>
      </c>
      <c r="V15" s="705" t="s">
        <v>14</v>
      </c>
      <c r="W15" s="706">
        <f t="shared" si="2"/>
        <v>100</v>
      </c>
      <c r="X15" s="1353"/>
      <c r="Y15" s="3696"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95"/>
      <c r="Q16" s="1350"/>
      <c r="R16" s="705"/>
      <c r="S16" s="706"/>
      <c r="T16" s="705"/>
      <c r="U16" s="706"/>
      <c r="V16" s="705"/>
      <c r="W16" s="706"/>
      <c r="X16" s="1353"/>
      <c r="Y16" s="3697"/>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5"/>
      <c r="Q17" s="1350" t="str">
        <f>B17</f>
        <v>交通便捷度</v>
      </c>
      <c r="R17" s="705" t="s">
        <v>14</v>
      </c>
      <c r="S17" s="706">
        <f>F17</f>
        <v>100</v>
      </c>
      <c r="T17" s="705" t="s">
        <v>14</v>
      </c>
      <c r="U17" s="706">
        <f>H17</f>
        <v>100</v>
      </c>
      <c r="V17" s="705" t="s">
        <v>14</v>
      </c>
      <c r="W17" s="706">
        <f>J17</f>
        <v>100</v>
      </c>
      <c r="X17" s="1353"/>
      <c r="Y17" s="369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95"/>
      <c r="Q18" s="1350"/>
      <c r="R18" s="705"/>
      <c r="S18" s="706"/>
      <c r="T18" s="705"/>
      <c r="U18" s="706"/>
      <c r="V18" s="705"/>
      <c r="W18" s="706"/>
      <c r="X18" s="1353"/>
      <c r="Y18" s="3697"/>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5"/>
      <c r="Q19" s="1350" t="str">
        <f>B19</f>
        <v>公共配套设施</v>
      </c>
      <c r="R19" s="705" t="s">
        <v>14</v>
      </c>
      <c r="S19" s="706">
        <f>F19</f>
        <v>100</v>
      </c>
      <c r="T19" s="705" t="s">
        <v>14</v>
      </c>
      <c r="U19" s="706">
        <f>H19</f>
        <v>100</v>
      </c>
      <c r="V19" s="705" t="s">
        <v>14</v>
      </c>
      <c r="W19" s="706">
        <f>J19</f>
        <v>100</v>
      </c>
      <c r="X19" s="1353"/>
      <c r="Y19" s="369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95"/>
      <c r="Q20" s="1350"/>
      <c r="R20" s="705"/>
      <c r="S20" s="706"/>
      <c r="T20" s="705"/>
      <c r="U20" s="706"/>
      <c r="V20" s="705"/>
      <c r="W20" s="706"/>
      <c r="X20" s="1353"/>
      <c r="Y20" s="3697"/>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5"/>
      <c r="Q21" s="1350" t="str">
        <f>B21</f>
        <v>基础设施水平</v>
      </c>
      <c r="R21" s="705" t="s">
        <v>14</v>
      </c>
      <c r="S21" s="706">
        <f>F21</f>
        <v>100</v>
      </c>
      <c r="T21" s="705" t="s">
        <v>14</v>
      </c>
      <c r="U21" s="706">
        <f>H21</f>
        <v>100</v>
      </c>
      <c r="V21" s="705" t="s">
        <v>14</v>
      </c>
      <c r="W21" s="706">
        <f>J21</f>
        <v>100</v>
      </c>
      <c r="X21" s="1353"/>
      <c r="Y21" s="369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95"/>
      <c r="Q22" s="1350"/>
      <c r="R22" s="705"/>
      <c r="S22" s="706"/>
      <c r="T22" s="705"/>
      <c r="U22" s="706"/>
      <c r="V22" s="705"/>
      <c r="W22" s="706"/>
      <c r="X22" s="1353"/>
      <c r="Y22" s="3697"/>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5"/>
      <c r="Q23" s="1350" t="str">
        <f>B23</f>
        <v>自然及人文环境</v>
      </c>
      <c r="R23" s="705" t="s">
        <v>14</v>
      </c>
      <c r="S23" s="706">
        <f>F23</f>
        <v>100</v>
      </c>
      <c r="T23" s="705" t="s">
        <v>14</v>
      </c>
      <c r="U23" s="706">
        <f>H23</f>
        <v>100</v>
      </c>
      <c r="V23" s="705" t="s">
        <v>14</v>
      </c>
      <c r="W23" s="706">
        <f>J23</f>
        <v>100</v>
      </c>
      <c r="X23" s="1353"/>
      <c r="Y23" s="3697"/>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95"/>
      <c r="Q24" s="1350"/>
      <c r="R24" s="705"/>
      <c r="S24" s="706"/>
      <c r="T24" s="705"/>
      <c r="U24" s="706"/>
      <c r="V24" s="705"/>
      <c r="W24" s="706"/>
      <c r="X24" s="1353"/>
      <c r="Y24" s="3697"/>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5"/>
      <c r="Q25" s="1350" t="str">
        <f t="shared" ref="Q25:Q46" si="11">B25</f>
        <v>临街状况</v>
      </c>
      <c r="R25" s="705" t="s">
        <v>14</v>
      </c>
      <c r="S25" s="706">
        <f>F25</f>
        <v>100</v>
      </c>
      <c r="T25" s="705" t="s">
        <v>14</v>
      </c>
      <c r="U25" s="706">
        <f>H25</f>
        <v>100</v>
      </c>
      <c r="V25" s="705" t="s">
        <v>14</v>
      </c>
      <c r="W25" s="706">
        <f>J25</f>
        <v>100</v>
      </c>
      <c r="X25" s="1353"/>
      <c r="Y25" s="3697"/>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5"/>
      <c r="Q26" s="1350" t="str">
        <f t="shared" si="11"/>
        <v>平面位置/可视性</v>
      </c>
      <c r="R26" s="705" t="s">
        <v>14</v>
      </c>
      <c r="S26" s="706">
        <f>F26</f>
        <v>100</v>
      </c>
      <c r="T26" s="705" t="s">
        <v>14</v>
      </c>
      <c r="U26" s="706">
        <f>H26</f>
        <v>100</v>
      </c>
      <c r="V26" s="705" t="s">
        <v>14</v>
      </c>
      <c r="W26" s="706">
        <f>J26</f>
        <v>100</v>
      </c>
      <c r="X26" s="1353"/>
      <c r="Y26" s="3697"/>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95"/>
      <c r="Q27" s="1341" t="str">
        <f t="shared" si="11"/>
        <v>人流量</v>
      </c>
      <c r="R27" s="701" t="s">
        <v>14</v>
      </c>
      <c r="S27" s="702">
        <f>F27</f>
        <v>100</v>
      </c>
      <c r="T27" s="701" t="s">
        <v>14</v>
      </c>
      <c r="U27" s="702">
        <f>H27</f>
        <v>100</v>
      </c>
      <c r="V27" s="701" t="s">
        <v>14</v>
      </c>
      <c r="W27" s="702">
        <f>J27</f>
        <v>100</v>
      </c>
      <c r="X27" s="703"/>
      <c r="Y27" s="3697"/>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95"/>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697"/>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5"/>
      <c r="Q29" s="1350">
        <f t="shared" si="11"/>
        <v>111</v>
      </c>
      <c r="R29" s="705" t="s">
        <v>14</v>
      </c>
      <c r="S29" s="706">
        <f t="shared" si="12"/>
        <v>100</v>
      </c>
      <c r="T29" s="705" t="s">
        <v>14</v>
      </c>
      <c r="U29" s="706">
        <f t="shared" si="13"/>
        <v>100</v>
      </c>
      <c r="V29" s="705" t="s">
        <v>14</v>
      </c>
      <c r="W29" s="706">
        <f t="shared" si="14"/>
        <v>100</v>
      </c>
      <c r="X29" s="1353"/>
      <c r="Y29" s="3697"/>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5"/>
      <c r="Q30" s="1350">
        <f t="shared" si="11"/>
        <v>111</v>
      </c>
      <c r="R30" s="705" t="s">
        <v>14</v>
      </c>
      <c r="S30" s="706">
        <f t="shared" si="12"/>
        <v>100</v>
      </c>
      <c r="T30" s="705" t="s">
        <v>14</v>
      </c>
      <c r="U30" s="706">
        <f t="shared" si="13"/>
        <v>100</v>
      </c>
      <c r="V30" s="705" t="s">
        <v>14</v>
      </c>
      <c r="W30" s="706">
        <f t="shared" si="14"/>
        <v>100</v>
      </c>
      <c r="X30" s="1353"/>
      <c r="Y30" s="3697"/>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5"/>
      <c r="Q31" s="1350">
        <f t="shared" si="11"/>
        <v>111</v>
      </c>
      <c r="R31" s="705" t="s">
        <v>14</v>
      </c>
      <c r="S31" s="706">
        <f t="shared" si="12"/>
        <v>100</v>
      </c>
      <c r="T31" s="705" t="s">
        <v>14</v>
      </c>
      <c r="U31" s="706">
        <f t="shared" si="13"/>
        <v>100</v>
      </c>
      <c r="V31" s="705" t="s">
        <v>14</v>
      </c>
      <c r="W31" s="706">
        <f t="shared" si="14"/>
        <v>100</v>
      </c>
      <c r="X31" s="1353"/>
      <c r="Y31" s="3697"/>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98" t="s">
        <v>1696</v>
      </c>
      <c r="Q32" s="1350" t="str">
        <f t="shared" si="11"/>
        <v>商业类型</v>
      </c>
      <c r="R32" s="705" t="s">
        <v>14</v>
      </c>
      <c r="S32" s="706">
        <f t="shared" si="12"/>
        <v>100</v>
      </c>
      <c r="T32" s="705" t="s">
        <v>14</v>
      </c>
      <c r="U32" s="706">
        <f t="shared" si="13"/>
        <v>100</v>
      </c>
      <c r="V32" s="705" t="s">
        <v>14</v>
      </c>
      <c r="W32" s="706">
        <f t="shared" si="14"/>
        <v>100</v>
      </c>
      <c r="X32" s="1353"/>
      <c r="Y32" s="3701"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9"/>
      <c r="Q33" s="707" t="str">
        <f t="shared" si="11"/>
        <v>项目建筑规模</v>
      </c>
      <c r="R33" s="708" t="s">
        <v>14</v>
      </c>
      <c r="S33" s="709" t="e">
        <f t="shared" si="12"/>
        <v>#N/A</v>
      </c>
      <c r="T33" s="708" t="s">
        <v>14</v>
      </c>
      <c r="U33" s="709" t="e">
        <f t="shared" si="13"/>
        <v>#N/A</v>
      </c>
      <c r="V33" s="708" t="s">
        <v>14</v>
      </c>
      <c r="W33" s="709" t="e">
        <f t="shared" si="14"/>
        <v>#N/A</v>
      </c>
      <c r="X33" s="710"/>
      <c r="Y33" s="3701"/>
      <c r="Z33" s="711"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99"/>
      <c r="Q34" s="1350" t="str">
        <f t="shared" si="11"/>
        <v>建筑结构</v>
      </c>
      <c r="R34" s="705" t="s">
        <v>14</v>
      </c>
      <c r="S34" s="706">
        <f t="shared" si="12"/>
        <v>100</v>
      </c>
      <c r="T34" s="705" t="s">
        <v>14</v>
      </c>
      <c r="U34" s="706">
        <f t="shared" si="13"/>
        <v>100</v>
      </c>
      <c r="V34" s="705" t="s">
        <v>14</v>
      </c>
      <c r="W34" s="706">
        <f t="shared" si="14"/>
        <v>100</v>
      </c>
      <c r="X34" s="1353"/>
      <c r="Y34" s="3701"/>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99"/>
      <c r="Q35" s="1350" t="str">
        <f t="shared" si="11"/>
        <v>公共部分装修</v>
      </c>
      <c r="R35" s="705" t="s">
        <v>14</v>
      </c>
      <c r="S35" s="706">
        <f t="shared" si="12"/>
        <v>100</v>
      </c>
      <c r="T35" s="705" t="s">
        <v>14</v>
      </c>
      <c r="U35" s="706">
        <f t="shared" si="13"/>
        <v>100</v>
      </c>
      <c r="V35" s="705" t="s">
        <v>14</v>
      </c>
      <c r="W35" s="706">
        <f t="shared" si="14"/>
        <v>100</v>
      </c>
      <c r="X35" s="1353"/>
      <c r="Y35" s="3701"/>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9"/>
      <c r="Q36" s="1350" t="str">
        <f t="shared" si="11"/>
        <v>成新度</v>
      </c>
      <c r="R36" s="705" t="s">
        <v>14</v>
      </c>
      <c r="S36" s="706" t="e">
        <f t="shared" si="12"/>
        <v>#N/A</v>
      </c>
      <c r="T36" s="705" t="s">
        <v>14</v>
      </c>
      <c r="U36" s="706" t="e">
        <f t="shared" si="13"/>
        <v>#N/A</v>
      </c>
      <c r="V36" s="705" t="s">
        <v>14</v>
      </c>
      <c r="W36" s="706" t="e">
        <f t="shared" si="14"/>
        <v>#N/A</v>
      </c>
      <c r="X36" s="1353"/>
      <c r="Y36" s="3701"/>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99"/>
      <c r="Q37" s="1341" t="str">
        <f t="shared" si="11"/>
        <v>市政基础设施</v>
      </c>
      <c r="R37" s="701" t="s">
        <v>14</v>
      </c>
      <c r="S37" s="702">
        <f t="shared" si="12"/>
        <v>100</v>
      </c>
      <c r="T37" s="701" t="s">
        <v>14</v>
      </c>
      <c r="U37" s="702">
        <f t="shared" si="13"/>
        <v>100</v>
      </c>
      <c r="V37" s="701" t="s">
        <v>14</v>
      </c>
      <c r="W37" s="702">
        <f t="shared" si="14"/>
        <v>100</v>
      </c>
      <c r="X37" s="703"/>
      <c r="Y37" s="3701"/>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99" t="s">
        <v>1696</v>
      </c>
      <c r="Q38" s="1350" t="str">
        <f t="shared" si="11"/>
        <v>业态</v>
      </c>
      <c r="R38" s="705" t="s">
        <v>14</v>
      </c>
      <c r="S38" s="706">
        <f t="shared" si="12"/>
        <v>100</v>
      </c>
      <c r="T38" s="705" t="s">
        <v>14</v>
      </c>
      <c r="U38" s="706">
        <f t="shared" si="13"/>
        <v>100</v>
      </c>
      <c r="V38" s="705" t="s">
        <v>14</v>
      </c>
      <c r="W38" s="706">
        <f t="shared" si="14"/>
        <v>100</v>
      </c>
      <c r="X38" s="1353"/>
      <c r="Y38" s="3701"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99"/>
      <c r="Q39" s="1350" t="str">
        <f t="shared" si="11"/>
        <v>层高</v>
      </c>
      <c r="R39" s="705" t="s">
        <v>14</v>
      </c>
      <c r="S39" s="706">
        <f t="shared" si="12"/>
        <v>100</v>
      </c>
      <c r="T39" s="705" t="s">
        <v>14</v>
      </c>
      <c r="U39" s="706">
        <f t="shared" si="13"/>
        <v>100</v>
      </c>
      <c r="V39" s="705" t="s">
        <v>14</v>
      </c>
      <c r="W39" s="706">
        <f t="shared" si="14"/>
        <v>100</v>
      </c>
      <c r="X39" s="1353"/>
      <c r="Y39" s="3701"/>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9"/>
      <c r="Q40" s="1350" t="str">
        <f t="shared" si="11"/>
        <v>单套建筑面积</v>
      </c>
      <c r="R40" s="705" t="s">
        <v>14</v>
      </c>
      <c r="S40" s="706">
        <f t="shared" si="12"/>
        <v>100</v>
      </c>
      <c r="T40" s="705" t="s">
        <v>14</v>
      </c>
      <c r="U40" s="706">
        <f t="shared" si="13"/>
        <v>100</v>
      </c>
      <c r="V40" s="705" t="s">
        <v>14</v>
      </c>
      <c r="W40" s="706">
        <f t="shared" si="14"/>
        <v>100</v>
      </c>
      <c r="X40" s="1353"/>
      <c r="Y40" s="3701"/>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9"/>
      <c r="Q41" s="707" t="str">
        <f t="shared" si="11"/>
        <v>进深比</v>
      </c>
      <c r="R41" s="708" t="s">
        <v>14</v>
      </c>
      <c r="S41" s="709">
        <f t="shared" si="12"/>
        <v>100</v>
      </c>
      <c r="T41" s="708" t="s">
        <v>14</v>
      </c>
      <c r="U41" s="709">
        <f t="shared" si="13"/>
        <v>100</v>
      </c>
      <c r="V41" s="708" t="s">
        <v>14</v>
      </c>
      <c r="W41" s="709">
        <f t="shared" si="14"/>
        <v>100</v>
      </c>
      <c r="X41" s="710"/>
      <c r="Y41" s="3701"/>
      <c r="Z41" s="711"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99"/>
      <c r="Q42" s="1350" t="str">
        <f t="shared" si="11"/>
        <v>内部装修</v>
      </c>
      <c r="R42" s="705" t="s">
        <v>14</v>
      </c>
      <c r="S42" s="706">
        <f t="shared" si="12"/>
        <v>100</v>
      </c>
      <c r="T42" s="705" t="s">
        <v>14</v>
      </c>
      <c r="U42" s="706">
        <f t="shared" si="13"/>
        <v>100</v>
      </c>
      <c r="V42" s="705" t="s">
        <v>14</v>
      </c>
      <c r="W42" s="706">
        <f t="shared" si="14"/>
        <v>100</v>
      </c>
      <c r="X42" s="1353"/>
      <c r="Y42" s="3701"/>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99"/>
      <c r="Q43" s="1350" t="str">
        <f t="shared" si="11"/>
        <v>内部装修维护情况</v>
      </c>
      <c r="R43" s="705" t="s">
        <v>14</v>
      </c>
      <c r="S43" s="706">
        <f t="shared" si="12"/>
        <v>100</v>
      </c>
      <c r="T43" s="705" t="s">
        <v>14</v>
      </c>
      <c r="U43" s="706">
        <f t="shared" si="13"/>
        <v>100</v>
      </c>
      <c r="V43" s="705" t="s">
        <v>14</v>
      </c>
      <c r="W43" s="706">
        <f t="shared" si="14"/>
        <v>100</v>
      </c>
      <c r="X43" s="1353"/>
      <c r="Y43" s="3701"/>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9"/>
      <c r="Q44" s="1341">
        <f t="shared" si="11"/>
        <v>111</v>
      </c>
      <c r="R44" s="701" t="s">
        <v>14</v>
      </c>
      <c r="S44" s="702">
        <f t="shared" si="12"/>
        <v>100</v>
      </c>
      <c r="T44" s="701" t="s">
        <v>14</v>
      </c>
      <c r="U44" s="702">
        <f t="shared" si="13"/>
        <v>100</v>
      </c>
      <c r="V44" s="701" t="s">
        <v>14</v>
      </c>
      <c r="W44" s="702">
        <f t="shared" si="14"/>
        <v>100</v>
      </c>
      <c r="X44" s="703"/>
      <c r="Y44" s="3701"/>
      <c r="Z44" s="52">
        <f t="shared" si="15"/>
        <v>111</v>
      </c>
      <c r="AA44" s="704">
        <f t="shared" si="3"/>
        <v>1</v>
      </c>
      <c r="AB44" s="704">
        <f t="shared" si="4"/>
        <v>1</v>
      </c>
      <c r="AC44" s="704">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9"/>
      <c r="Q45" s="1350">
        <f t="shared" si="11"/>
        <v>111</v>
      </c>
      <c r="R45" s="705" t="s">
        <v>14</v>
      </c>
      <c r="S45" s="706">
        <f t="shared" si="12"/>
        <v>100</v>
      </c>
      <c r="T45" s="705" t="s">
        <v>14</v>
      </c>
      <c r="U45" s="706">
        <f t="shared" si="13"/>
        <v>100</v>
      </c>
      <c r="V45" s="705" t="s">
        <v>14</v>
      </c>
      <c r="W45" s="706">
        <f t="shared" si="14"/>
        <v>100</v>
      </c>
      <c r="X45" s="1353"/>
      <c r="Y45" s="3701"/>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0"/>
      <c r="Q46" s="1350">
        <f t="shared" si="11"/>
        <v>111</v>
      </c>
      <c r="R46" s="705" t="s">
        <v>14</v>
      </c>
      <c r="S46" s="706">
        <f t="shared" si="12"/>
        <v>100</v>
      </c>
      <c r="T46" s="705" t="s">
        <v>14</v>
      </c>
      <c r="U46" s="706">
        <f t="shared" si="13"/>
        <v>100</v>
      </c>
      <c r="V46" s="705" t="s">
        <v>14</v>
      </c>
      <c r="W46" s="706">
        <f t="shared" si="14"/>
        <v>100</v>
      </c>
      <c r="X46" s="1353"/>
      <c r="Y46" s="3702"/>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4"/>
      <c r="L47" s="2722"/>
      <c r="M47" s="2723"/>
      <c r="N47" s="2714"/>
      <c r="O47" s="2723"/>
      <c r="P47" s="3703" t="str">
        <f>A47</f>
        <v>成交单价（元/平方米）</v>
      </c>
      <c r="Q47" s="3703"/>
      <c r="R47" s="3691">
        <f>E47</f>
        <v>0</v>
      </c>
      <c r="S47" s="3691"/>
      <c r="T47" s="3691">
        <f>G47</f>
        <v>0</v>
      </c>
      <c r="U47" s="3691"/>
      <c r="V47" s="3691">
        <f>I47</f>
        <v>0</v>
      </c>
      <c r="W47" s="3691"/>
      <c r="X47" s="690"/>
      <c r="Y47" s="712"/>
      <c r="Z47" s="690"/>
      <c r="AA47" s="690"/>
      <c r="AB47" s="690"/>
      <c r="AC47" s="690"/>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1794</v>
      </c>
      <c r="B49" s="442"/>
      <c r="C49" s="1161" t="e">
        <f>R49</f>
        <v>#DIV/0!</v>
      </c>
      <c r="D49" s="1161"/>
      <c r="E49" s="1161"/>
      <c r="F49" s="1161"/>
      <c r="G49" s="1161"/>
      <c r="H49" s="1161"/>
      <c r="I49" s="1161"/>
      <c r="J49" s="1161"/>
      <c r="K49" s="715"/>
      <c r="L49" s="2722"/>
      <c r="M49" s="2723"/>
      <c r="N49" s="2714"/>
      <c r="O49" s="2723"/>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2023-6</v>
      </c>
      <c r="D58" s="1183">
        <f>EDATE(C58,-1)</f>
        <v>45047</v>
      </c>
      <c r="E58" s="1183">
        <f t="shared" ref="E58:N58" si="16">EDATE(D58,-1)</f>
        <v>45017</v>
      </c>
      <c r="F58" s="1183">
        <f t="shared" si="16"/>
        <v>44986</v>
      </c>
      <c r="G58" s="1183">
        <f t="shared" si="16"/>
        <v>44958</v>
      </c>
      <c r="H58" s="1183">
        <f t="shared" si="16"/>
        <v>44927</v>
      </c>
      <c r="I58" s="1183">
        <f t="shared" si="16"/>
        <v>44896</v>
      </c>
      <c r="J58" s="1183">
        <f t="shared" si="16"/>
        <v>44866</v>
      </c>
      <c r="K58" s="1183">
        <f t="shared" si="16"/>
        <v>44835</v>
      </c>
      <c r="L58" s="1183">
        <f t="shared" si="16"/>
        <v>44805</v>
      </c>
      <c r="M58" s="1183">
        <f t="shared" si="16"/>
        <v>44774</v>
      </c>
      <c r="N58" s="1183">
        <f t="shared" si="16"/>
        <v>44743</v>
      </c>
      <c r="O58" s="1183">
        <f>EDATE(N58,-1)</f>
        <v>44713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107.22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733" t="s">
        <v>1775</v>
      </c>
      <c r="Q4" s="3734"/>
      <c r="R4" s="3730" t="s">
        <v>1771</v>
      </c>
      <c r="S4" s="3731"/>
      <c r="T4" s="3730" t="s">
        <v>1772</v>
      </c>
      <c r="U4" s="3731"/>
      <c r="V4" s="3691" t="s">
        <v>1773</v>
      </c>
      <c r="W4" s="3691"/>
      <c r="X4" s="1353"/>
      <c r="Y4" s="3730" t="s">
        <v>1775</v>
      </c>
      <c r="Z4" s="3731"/>
      <c r="AA4" s="3729" t="s">
        <v>1771</v>
      </c>
      <c r="AB4" s="3657" t="s">
        <v>1772</v>
      </c>
      <c r="AC4" s="3729" t="s">
        <v>1773</v>
      </c>
    </row>
    <row r="5" spans="1:29" ht="15">
      <c r="A5" s="358"/>
      <c r="B5" s="359"/>
      <c r="C5" s="3667" t="s">
        <v>1673</v>
      </c>
      <c r="D5" s="3668"/>
      <c r="E5" s="3732" t="s">
        <v>1674</v>
      </c>
      <c r="F5" s="3666"/>
      <c r="G5" s="3667" t="s">
        <v>1675</v>
      </c>
      <c r="H5" s="3668"/>
      <c r="I5" s="3667" t="s">
        <v>1676</v>
      </c>
      <c r="J5" s="3668"/>
      <c r="K5" s="559"/>
      <c r="L5" s="913"/>
      <c r="M5" s="914"/>
      <c r="N5" s="914"/>
      <c r="O5" s="914"/>
      <c r="P5" s="3735"/>
      <c r="Q5" s="3685"/>
      <c r="R5" s="3663"/>
      <c r="S5" s="3664"/>
      <c r="T5" s="3663"/>
      <c r="U5" s="3664"/>
      <c r="V5" s="3691"/>
      <c r="W5" s="3691"/>
      <c r="X5" s="1353"/>
      <c r="Y5" s="3663"/>
      <c r="Z5" s="3664"/>
      <c r="AA5" s="3657"/>
      <c r="AB5" s="3657"/>
      <c r="AC5" s="3657"/>
    </row>
    <row r="6" spans="1:29" ht="15.75" thickBot="1">
      <c r="A6" s="360"/>
      <c r="B6" s="361"/>
      <c r="C6" s="3669" t="s">
        <v>1677</v>
      </c>
      <c r="D6" s="3670"/>
      <c r="E6" s="3672" t="s">
        <v>1677</v>
      </c>
      <c r="F6" s="3673"/>
      <c r="G6" s="3669" t="s">
        <v>1677</v>
      </c>
      <c r="H6" s="3670"/>
      <c r="I6" s="3669" t="s">
        <v>1677</v>
      </c>
      <c r="J6" s="3670"/>
      <c r="K6" s="559" t="s">
        <v>1678</v>
      </c>
      <c r="L6" s="913"/>
      <c r="M6" s="914"/>
      <c r="N6" s="914"/>
      <c r="O6" s="914"/>
      <c r="P6" s="3736"/>
      <c r="Q6" s="3687"/>
      <c r="R6" s="3663"/>
      <c r="S6" s="3664"/>
      <c r="T6" s="3688"/>
      <c r="U6" s="3689"/>
      <c r="V6" s="3691"/>
      <c r="W6" s="3691"/>
      <c r="X6" s="1353"/>
      <c r="Y6" s="3688"/>
      <c r="Z6" s="3689"/>
      <c r="AA6" s="3658"/>
      <c r="AB6" s="3658"/>
      <c r="AC6" s="3658"/>
    </row>
    <row r="7" spans="1:29" s="108" customFormat="1" ht="15.75" thickBot="1">
      <c r="A7" s="362" t="s">
        <v>1679</v>
      </c>
      <c r="B7" s="363"/>
      <c r="C7" s="364">
        <f>'数据-取费表'!B2</f>
        <v>45107</v>
      </c>
      <c r="D7" s="365">
        <v>100</v>
      </c>
      <c r="E7" s="366"/>
      <c r="F7" s="367">
        <f>SUMIF(52:52,YEAR(E7)&amp;"-"&amp;MONTH(E7),53:53)</f>
        <v>0</v>
      </c>
      <c r="G7" s="366"/>
      <c r="H7" s="365">
        <f>SUMIF(52:52,YEAR(G7)&amp;"-"&amp;MONTH(G7),53:53)</f>
        <v>0</v>
      </c>
      <c r="I7" s="366"/>
      <c r="J7" s="365">
        <f>SUMIF(52:52,YEAR(I7)&amp;"-"&amp;MONTH(I7),53:53)</f>
        <v>0</v>
      </c>
      <c r="K7" s="560"/>
      <c r="L7" s="915"/>
      <c r="M7" s="916"/>
      <c r="N7" s="916"/>
      <c r="O7" s="916"/>
      <c r="P7" s="3659" t="s">
        <v>1680</v>
      </c>
      <c r="Q7" s="3693"/>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9" t="s">
        <v>1683</v>
      </c>
      <c r="Q8" s="3660"/>
      <c r="R8" s="701" t="s">
        <v>14</v>
      </c>
      <c r="S8" s="702">
        <f t="shared" si="0"/>
        <v>100</v>
      </c>
      <c r="T8" s="701" t="s">
        <v>14</v>
      </c>
      <c r="U8" s="702">
        <f t="shared" si="1"/>
        <v>100</v>
      </c>
      <c r="V8" s="701" t="s">
        <v>14</v>
      </c>
      <c r="W8" s="702">
        <f t="shared" si="2"/>
        <v>100</v>
      </c>
      <c r="X8" s="703"/>
      <c r="Y8" s="3659" t="s">
        <v>1683</v>
      </c>
      <c r="Z8" s="366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3" t="s">
        <v>1686</v>
      </c>
      <c r="Q9" s="1341"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03"/>
      <c r="Q10" s="1341"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3"/>
      <c r="Q11" s="1341"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03"/>
      <c r="Q12" s="1341">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03"/>
      <c r="Q13" s="1341">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03"/>
      <c r="Q14" s="1341">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6" t="s">
        <v>1691</v>
      </c>
      <c r="Q15" s="1350" t="str">
        <f t="shared" si="6"/>
        <v>产业集聚程度</v>
      </c>
      <c r="R15" s="705" t="s">
        <v>14</v>
      </c>
      <c r="S15" s="706">
        <f t="shared" si="0"/>
        <v>100</v>
      </c>
      <c r="T15" s="705" t="s">
        <v>14</v>
      </c>
      <c r="U15" s="706">
        <f t="shared" si="1"/>
        <v>100</v>
      </c>
      <c r="V15" s="705" t="s">
        <v>14</v>
      </c>
      <c r="W15" s="706">
        <f t="shared" si="2"/>
        <v>100</v>
      </c>
      <c r="X15" s="1353"/>
      <c r="Y15" s="3696"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3"/>
      <c r="M16" s="914"/>
      <c r="N16" s="914"/>
      <c r="O16" s="922"/>
      <c r="P16" s="3697"/>
      <c r="Q16" s="1350"/>
      <c r="R16" s="705"/>
      <c r="S16" s="706"/>
      <c r="T16" s="705"/>
      <c r="U16" s="706"/>
      <c r="V16" s="705"/>
      <c r="W16" s="706"/>
      <c r="X16" s="1353"/>
      <c r="Y16" s="3697"/>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7"/>
      <c r="Q17" s="1350" t="str">
        <f>B17</f>
        <v>交通便捷度</v>
      </c>
      <c r="R17" s="705" t="s">
        <v>14</v>
      </c>
      <c r="S17" s="706">
        <f>F17</f>
        <v>100</v>
      </c>
      <c r="T17" s="705" t="s">
        <v>14</v>
      </c>
      <c r="U17" s="706">
        <f>H17</f>
        <v>100</v>
      </c>
      <c r="V17" s="705" t="s">
        <v>14</v>
      </c>
      <c r="W17" s="706">
        <f>J17</f>
        <v>100</v>
      </c>
      <c r="X17" s="1353"/>
      <c r="Y17" s="369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3"/>
      <c r="M18" s="914"/>
      <c r="N18" s="914"/>
      <c r="O18" s="922"/>
      <c r="P18" s="3697"/>
      <c r="Q18" s="1350"/>
      <c r="R18" s="705"/>
      <c r="S18" s="706"/>
      <c r="T18" s="705"/>
      <c r="U18" s="706"/>
      <c r="V18" s="705"/>
      <c r="W18" s="706"/>
      <c r="X18" s="1353"/>
      <c r="Y18" s="3697"/>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7"/>
      <c r="Q19" s="1350" t="str">
        <f>B19</f>
        <v>公共配套设施</v>
      </c>
      <c r="R19" s="705" t="s">
        <v>14</v>
      </c>
      <c r="S19" s="706">
        <f>F19</f>
        <v>100</v>
      </c>
      <c r="T19" s="705" t="s">
        <v>14</v>
      </c>
      <c r="U19" s="706">
        <f>H19</f>
        <v>100</v>
      </c>
      <c r="V19" s="705" t="s">
        <v>14</v>
      </c>
      <c r="W19" s="706">
        <f>J19</f>
        <v>100</v>
      </c>
      <c r="X19" s="1353"/>
      <c r="Y19" s="369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3"/>
      <c r="M20" s="914"/>
      <c r="N20" s="914"/>
      <c r="O20" s="922"/>
      <c r="P20" s="3697"/>
      <c r="Q20" s="1350"/>
      <c r="R20" s="705"/>
      <c r="S20" s="706"/>
      <c r="T20" s="705"/>
      <c r="U20" s="706"/>
      <c r="V20" s="705"/>
      <c r="W20" s="706"/>
      <c r="X20" s="1353"/>
      <c r="Y20" s="3697"/>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7"/>
      <c r="Q21" s="1350" t="str">
        <f>B21</f>
        <v>基础设施水平</v>
      </c>
      <c r="R21" s="705" t="s">
        <v>14</v>
      </c>
      <c r="S21" s="706">
        <f>F21</f>
        <v>100</v>
      </c>
      <c r="T21" s="705" t="s">
        <v>14</v>
      </c>
      <c r="U21" s="706">
        <f>H21</f>
        <v>100</v>
      </c>
      <c r="V21" s="705" t="s">
        <v>14</v>
      </c>
      <c r="W21" s="706">
        <f>J21</f>
        <v>100</v>
      </c>
      <c r="X21" s="1353"/>
      <c r="Y21" s="369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3"/>
      <c r="M22" s="914"/>
      <c r="N22" s="914"/>
      <c r="O22" s="922"/>
      <c r="P22" s="3697"/>
      <c r="Q22" s="1350"/>
      <c r="R22" s="705"/>
      <c r="S22" s="706"/>
      <c r="T22" s="705"/>
      <c r="U22" s="706"/>
      <c r="V22" s="705"/>
      <c r="W22" s="706"/>
      <c r="X22" s="1353"/>
      <c r="Y22" s="3697"/>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7"/>
      <c r="Q23" s="1350" t="str">
        <f>B23</f>
        <v>环境质量</v>
      </c>
      <c r="R23" s="705" t="s">
        <v>14</v>
      </c>
      <c r="S23" s="706">
        <f>F23</f>
        <v>100</v>
      </c>
      <c r="T23" s="705" t="s">
        <v>14</v>
      </c>
      <c r="U23" s="706">
        <f>H23</f>
        <v>100</v>
      </c>
      <c r="V23" s="705" t="s">
        <v>14</v>
      </c>
      <c r="W23" s="706">
        <f>J23</f>
        <v>100</v>
      </c>
      <c r="X23" s="1353"/>
      <c r="Y23" s="3697"/>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3"/>
      <c r="M24" s="914"/>
      <c r="N24" s="914"/>
      <c r="O24" s="922"/>
      <c r="P24" s="3697"/>
      <c r="Q24" s="1350"/>
      <c r="R24" s="705"/>
      <c r="S24" s="706"/>
      <c r="T24" s="705"/>
      <c r="U24" s="706"/>
      <c r="V24" s="705"/>
      <c r="W24" s="706"/>
      <c r="X24" s="1353"/>
      <c r="Y24" s="3697"/>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7"/>
      <c r="Q25" s="1350">
        <f>B25</f>
        <v>111</v>
      </c>
      <c r="R25" s="705" t="s">
        <v>14</v>
      </c>
      <c r="S25" s="706">
        <f>F25</f>
        <v>100</v>
      </c>
      <c r="T25" s="705" t="s">
        <v>14</v>
      </c>
      <c r="U25" s="706">
        <f>H25</f>
        <v>100</v>
      </c>
      <c r="V25" s="705" t="s">
        <v>14</v>
      </c>
      <c r="W25" s="706">
        <f>J25</f>
        <v>100</v>
      </c>
      <c r="X25" s="1353"/>
      <c r="Y25" s="3697"/>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7"/>
      <c r="Q26" s="1350">
        <f t="shared" ref="Q26:Q40" si="11">B26</f>
        <v>111</v>
      </c>
      <c r="R26" s="705" t="s">
        <v>14</v>
      </c>
      <c r="S26" s="706">
        <f>F26</f>
        <v>100</v>
      </c>
      <c r="T26" s="705" t="s">
        <v>14</v>
      </c>
      <c r="U26" s="706">
        <f>H26</f>
        <v>100</v>
      </c>
      <c r="V26" s="705" t="s">
        <v>14</v>
      </c>
      <c r="W26" s="706">
        <f>J26</f>
        <v>100</v>
      </c>
      <c r="X26" s="1353"/>
      <c r="Y26" s="3697"/>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7"/>
      <c r="Q27" s="1341">
        <f t="shared" si="11"/>
        <v>111</v>
      </c>
      <c r="R27" s="701" t="s">
        <v>14</v>
      </c>
      <c r="S27" s="702">
        <f>F27</f>
        <v>100</v>
      </c>
      <c r="T27" s="701" t="s">
        <v>14</v>
      </c>
      <c r="U27" s="702">
        <f>H27</f>
        <v>100</v>
      </c>
      <c r="V27" s="701" t="s">
        <v>14</v>
      </c>
      <c r="W27" s="702">
        <f>J27</f>
        <v>100</v>
      </c>
      <c r="X27" s="703"/>
      <c r="Y27" s="3697"/>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7"/>
      <c r="Q28" s="1350">
        <f t="shared" si="11"/>
        <v>111</v>
      </c>
      <c r="R28" s="705" t="s">
        <v>14</v>
      </c>
      <c r="S28" s="706">
        <f t="shared" ref="S28:S40" si="12">F28</f>
        <v>100</v>
      </c>
      <c r="T28" s="705" t="s">
        <v>14</v>
      </c>
      <c r="U28" s="706">
        <f t="shared" ref="U28:U40" si="13">H28</f>
        <v>100</v>
      </c>
      <c r="V28" s="705" t="s">
        <v>14</v>
      </c>
      <c r="W28" s="706">
        <f t="shared" ref="W28:W40" si="14">J28</f>
        <v>100</v>
      </c>
      <c r="X28" s="1353"/>
      <c r="Y28" s="3697"/>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0" t="s">
        <v>1696</v>
      </c>
      <c r="Q29" s="1350" t="str">
        <f t="shared" si="11"/>
        <v>建筑类型</v>
      </c>
      <c r="R29" s="705" t="s">
        <v>14</v>
      </c>
      <c r="S29" s="706">
        <f t="shared" si="12"/>
        <v>100</v>
      </c>
      <c r="T29" s="705" t="s">
        <v>14</v>
      </c>
      <c r="U29" s="706">
        <f t="shared" si="13"/>
        <v>100</v>
      </c>
      <c r="V29" s="705" t="s">
        <v>14</v>
      </c>
      <c r="W29" s="706">
        <f t="shared" si="14"/>
        <v>100</v>
      </c>
      <c r="X29" s="1353"/>
      <c r="Y29" s="3701"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1"/>
      <c r="Q30" s="707" t="str">
        <f t="shared" si="11"/>
        <v>项目建筑规模</v>
      </c>
      <c r="R30" s="708" t="s">
        <v>14</v>
      </c>
      <c r="S30" s="709" t="e">
        <f t="shared" si="12"/>
        <v>#N/A</v>
      </c>
      <c r="T30" s="708" t="s">
        <v>14</v>
      </c>
      <c r="U30" s="709" t="e">
        <f t="shared" si="13"/>
        <v>#N/A</v>
      </c>
      <c r="V30" s="708" t="s">
        <v>14</v>
      </c>
      <c r="W30" s="709" t="e">
        <f t="shared" si="14"/>
        <v>#N/A</v>
      </c>
      <c r="X30" s="710"/>
      <c r="Y30" s="3701"/>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1"/>
      <c r="Q31" s="1350" t="str">
        <f t="shared" si="11"/>
        <v>建筑结构</v>
      </c>
      <c r="R31" s="705" t="s">
        <v>14</v>
      </c>
      <c r="S31" s="706">
        <f t="shared" si="12"/>
        <v>100</v>
      </c>
      <c r="T31" s="705" t="s">
        <v>14</v>
      </c>
      <c r="U31" s="706">
        <f t="shared" si="13"/>
        <v>100</v>
      </c>
      <c r="V31" s="705" t="s">
        <v>14</v>
      </c>
      <c r="W31" s="706">
        <f t="shared" si="14"/>
        <v>100</v>
      </c>
      <c r="X31" s="1353"/>
      <c r="Y31" s="3701"/>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1"/>
      <c r="Q32" s="1350" t="str">
        <f t="shared" si="11"/>
        <v>公共部分装修</v>
      </c>
      <c r="R32" s="705" t="s">
        <v>14</v>
      </c>
      <c r="S32" s="706">
        <f t="shared" si="12"/>
        <v>100</v>
      </c>
      <c r="T32" s="705" t="s">
        <v>14</v>
      </c>
      <c r="U32" s="706">
        <f t="shared" si="13"/>
        <v>100</v>
      </c>
      <c r="V32" s="705" t="s">
        <v>14</v>
      </c>
      <c r="W32" s="706">
        <f t="shared" si="14"/>
        <v>100</v>
      </c>
      <c r="X32" s="1353"/>
      <c r="Y32" s="3701"/>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1"/>
      <c r="Q33" s="1350" t="str">
        <f t="shared" si="11"/>
        <v>成新度</v>
      </c>
      <c r="R33" s="705" t="s">
        <v>14</v>
      </c>
      <c r="S33" s="706" t="e">
        <f t="shared" si="12"/>
        <v>#N/A</v>
      </c>
      <c r="T33" s="705" t="s">
        <v>14</v>
      </c>
      <c r="U33" s="706" t="e">
        <f t="shared" si="13"/>
        <v>#N/A</v>
      </c>
      <c r="V33" s="705" t="s">
        <v>14</v>
      </c>
      <c r="W33" s="706" t="e">
        <f t="shared" si="14"/>
        <v>#N/A</v>
      </c>
      <c r="X33" s="1353"/>
      <c r="Y33" s="3701"/>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1"/>
      <c r="Q34" s="1341" t="str">
        <f t="shared" si="11"/>
        <v>物业管理</v>
      </c>
      <c r="R34" s="701" t="s">
        <v>14</v>
      </c>
      <c r="S34" s="702">
        <f t="shared" si="12"/>
        <v>100</v>
      </c>
      <c r="T34" s="701" t="s">
        <v>14</v>
      </c>
      <c r="U34" s="702">
        <f t="shared" si="13"/>
        <v>100</v>
      </c>
      <c r="V34" s="701" t="s">
        <v>14</v>
      </c>
      <c r="W34" s="702">
        <f t="shared" si="14"/>
        <v>100</v>
      </c>
      <c r="X34" s="703"/>
      <c r="Y34" s="370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1" t="s">
        <v>1696</v>
      </c>
      <c r="Q35" s="1350" t="str">
        <f t="shared" si="11"/>
        <v>市政基础设施</v>
      </c>
      <c r="R35" s="705" t="s">
        <v>14</v>
      </c>
      <c r="S35" s="706">
        <f t="shared" si="12"/>
        <v>100</v>
      </c>
      <c r="T35" s="705" t="s">
        <v>14</v>
      </c>
      <c r="U35" s="706">
        <f t="shared" si="13"/>
        <v>100</v>
      </c>
      <c r="V35" s="705" t="s">
        <v>14</v>
      </c>
      <c r="W35" s="706">
        <f t="shared" si="14"/>
        <v>100</v>
      </c>
      <c r="X35" s="1353"/>
      <c r="Y35" s="3701"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1"/>
      <c r="Q36" s="1350" t="str">
        <f t="shared" si="11"/>
        <v>内部装修</v>
      </c>
      <c r="R36" s="705" t="s">
        <v>14</v>
      </c>
      <c r="S36" s="706">
        <f t="shared" si="12"/>
        <v>100</v>
      </c>
      <c r="T36" s="705" t="s">
        <v>14</v>
      </c>
      <c r="U36" s="706">
        <f t="shared" si="13"/>
        <v>100</v>
      </c>
      <c r="V36" s="705" t="s">
        <v>14</v>
      </c>
      <c r="W36" s="706">
        <f t="shared" si="14"/>
        <v>100</v>
      </c>
      <c r="X36" s="1353"/>
      <c r="Y36" s="3701"/>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1"/>
      <c r="Q37" s="1350" t="str">
        <f t="shared" si="11"/>
        <v>内部装修状况</v>
      </c>
      <c r="R37" s="705" t="s">
        <v>14</v>
      </c>
      <c r="S37" s="706">
        <f t="shared" si="12"/>
        <v>100</v>
      </c>
      <c r="T37" s="705" t="s">
        <v>14</v>
      </c>
      <c r="U37" s="706">
        <f t="shared" si="13"/>
        <v>100</v>
      </c>
      <c r="V37" s="705" t="s">
        <v>14</v>
      </c>
      <c r="W37" s="706">
        <f t="shared" si="14"/>
        <v>100</v>
      </c>
      <c r="X37" s="1353"/>
      <c r="Y37" s="3701"/>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1"/>
      <c r="Q38" s="707">
        <f t="shared" si="11"/>
        <v>111</v>
      </c>
      <c r="R38" s="708" t="s">
        <v>14</v>
      </c>
      <c r="S38" s="709">
        <f t="shared" si="12"/>
        <v>100</v>
      </c>
      <c r="T38" s="708" t="s">
        <v>14</v>
      </c>
      <c r="U38" s="709">
        <f t="shared" si="13"/>
        <v>100</v>
      </c>
      <c r="V38" s="708" t="s">
        <v>14</v>
      </c>
      <c r="W38" s="709">
        <f t="shared" si="14"/>
        <v>100</v>
      </c>
      <c r="X38" s="710"/>
      <c r="Y38" s="3701"/>
      <c r="Z38" s="711">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1"/>
      <c r="Q39" s="1350">
        <f t="shared" si="11"/>
        <v>111</v>
      </c>
      <c r="R39" s="705" t="s">
        <v>14</v>
      </c>
      <c r="S39" s="706">
        <f t="shared" si="12"/>
        <v>100</v>
      </c>
      <c r="T39" s="705" t="s">
        <v>14</v>
      </c>
      <c r="U39" s="706">
        <f t="shared" si="13"/>
        <v>100</v>
      </c>
      <c r="V39" s="705" t="s">
        <v>14</v>
      </c>
      <c r="W39" s="706">
        <f t="shared" si="14"/>
        <v>100</v>
      </c>
      <c r="X39" s="1353"/>
      <c r="Y39" s="3701"/>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2"/>
      <c r="Q40" s="1350">
        <f t="shared" si="11"/>
        <v>111</v>
      </c>
      <c r="R40" s="705" t="s">
        <v>14</v>
      </c>
      <c r="S40" s="706">
        <f t="shared" si="12"/>
        <v>100</v>
      </c>
      <c r="T40" s="705" t="s">
        <v>14</v>
      </c>
      <c r="U40" s="706">
        <f t="shared" si="13"/>
        <v>100</v>
      </c>
      <c r="V40" s="705" t="s">
        <v>14</v>
      </c>
      <c r="W40" s="706">
        <f t="shared" si="14"/>
        <v>100</v>
      </c>
      <c r="X40" s="1353"/>
      <c r="Y40" s="3702"/>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4"/>
      <c r="L41" s="926"/>
      <c r="M41" s="927"/>
      <c r="N41" s="914"/>
      <c r="O41" s="927"/>
      <c r="P41" s="3703" t="str">
        <f>A41</f>
        <v>成交单价（元/平方米）</v>
      </c>
      <c r="Q41" s="3703"/>
      <c r="R41" s="3704">
        <f>E41</f>
        <v>0</v>
      </c>
      <c r="S41" s="3704"/>
      <c r="T41" s="3704">
        <f>G41</f>
        <v>0</v>
      </c>
      <c r="U41" s="3704"/>
      <c r="V41" s="3704">
        <f>I41</f>
        <v>0</v>
      </c>
      <c r="W41" s="3704"/>
      <c r="X41" s="690"/>
      <c r="Y41" s="712"/>
      <c r="Z41" s="690"/>
      <c r="AA41" s="690"/>
      <c r="AB41" s="690"/>
      <c r="AC41" s="690"/>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6"/>
      <c r="M42" s="927"/>
      <c r="N42" s="914"/>
      <c r="O42" s="927"/>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90"/>
      <c r="Y42" s="690"/>
      <c r="Z42" s="690"/>
      <c r="AA42" s="690"/>
      <c r="AB42" s="690"/>
      <c r="AC42" s="690"/>
    </row>
    <row r="43" spans="1:29" ht="15.75" thickBot="1">
      <c r="A43" s="441" t="s">
        <v>1794</v>
      </c>
      <c r="B43" s="442"/>
      <c r="C43" s="1161" t="e">
        <f>R43</f>
        <v>#DIV/0!</v>
      </c>
      <c r="D43" s="1161"/>
      <c r="E43" s="1161"/>
      <c r="F43" s="1161"/>
      <c r="G43" s="1161"/>
      <c r="H43" s="1161"/>
      <c r="I43" s="1161"/>
      <c r="J43" s="1161"/>
      <c r="K43" s="715"/>
      <c r="L43" s="926"/>
      <c r="M43" s="927"/>
      <c r="N43" s="927"/>
      <c r="O43" s="927"/>
      <c r="P43" s="3737" t="str">
        <f>A43</f>
        <v>估价对象XX用房的比较价值（楼面单价，元/平方米）</v>
      </c>
      <c r="Q43" s="3738"/>
      <c r="R43" s="3739" t="e">
        <f>IF(F1="售价",ROUND(IF(D42="简单平均",AVERAGE(R42:V42),R42*F42+T42*H42+V42*J42),0),ROUND(IF(D42="简单平均",AVERAGE(R42:V42),R42*F42+T42*H42+V42*J42),1))</f>
        <v>#DIV/0!</v>
      </c>
      <c r="S43" s="3739"/>
      <c r="T43" s="3739"/>
      <c r="U43" s="3739"/>
      <c r="V43" s="3739"/>
      <c r="W43" s="3739"/>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2" t="str">
        <f>YEAR(C7)&amp;"-"&amp;MONTH(C7)</f>
        <v>2023-6</v>
      </c>
      <c r="D52" s="1183">
        <f>EDATE(C52,-1)</f>
        <v>45047</v>
      </c>
      <c r="E52" s="1183">
        <f t="shared" ref="E52:O52" si="16">EDATE(D52,-1)</f>
        <v>45017</v>
      </c>
      <c r="F52" s="1183">
        <f t="shared" si="16"/>
        <v>44986</v>
      </c>
      <c r="G52" s="1183">
        <f t="shared" si="16"/>
        <v>44958</v>
      </c>
      <c r="H52" s="1183">
        <f t="shared" si="16"/>
        <v>44927</v>
      </c>
      <c r="I52" s="1183">
        <f t="shared" si="16"/>
        <v>44896</v>
      </c>
      <c r="J52" s="1183">
        <f t="shared" si="16"/>
        <v>44866</v>
      </c>
      <c r="K52" s="1183">
        <f t="shared" si="16"/>
        <v>44835</v>
      </c>
      <c r="L52" s="1183">
        <f t="shared" si="16"/>
        <v>44805</v>
      </c>
      <c r="M52" s="1183">
        <f t="shared" si="16"/>
        <v>44774</v>
      </c>
      <c r="N52" s="1183">
        <f t="shared" si="16"/>
        <v>44743</v>
      </c>
      <c r="O52" s="1183">
        <f t="shared" si="16"/>
        <v>44713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估价对象为北京市房地产，为所有。根据《国有土地使用证》[]，估价对象（分摊）出让国有建设用地使用权面积为11.01平方米，建筑面积为107.22平方米。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估价对象为北京市房地产,属开发建设的办公项目，该项目尚在开发建设中。根据《国有土地使用证》[]，估价对象（分摊）出让国有建设用地使用权面积为11.01平方米，规划建筑面积为107.22平方米。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2023年6月30日（评估专业人员实地查勘之日）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30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1163"/>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3"/>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733" t="s">
        <v>1775</v>
      </c>
      <c r="Q4" s="3734"/>
      <c r="R4" s="3730" t="s">
        <v>1771</v>
      </c>
      <c r="S4" s="3731"/>
      <c r="T4" s="3730" t="s">
        <v>1772</v>
      </c>
      <c r="U4" s="3731"/>
      <c r="V4" s="3691" t="s">
        <v>1773</v>
      </c>
      <c r="W4" s="3691"/>
      <c r="X4" s="1353"/>
      <c r="Y4" s="3730" t="s">
        <v>1775</v>
      </c>
      <c r="Z4" s="3731"/>
      <c r="AA4" s="3729" t="s">
        <v>1771</v>
      </c>
      <c r="AB4" s="3657" t="s">
        <v>1772</v>
      </c>
      <c r="AC4" s="3729" t="s">
        <v>1773</v>
      </c>
    </row>
    <row r="5" spans="1:29" ht="15">
      <c r="A5" s="358"/>
      <c r="B5" s="359"/>
      <c r="C5" s="3667" t="s">
        <v>1673</v>
      </c>
      <c r="D5" s="3668"/>
      <c r="E5" s="3732" t="s">
        <v>1674</v>
      </c>
      <c r="F5" s="3666"/>
      <c r="G5" s="3667" t="s">
        <v>1675</v>
      </c>
      <c r="H5" s="3668"/>
      <c r="I5" s="3667" t="s">
        <v>1676</v>
      </c>
      <c r="J5" s="3668"/>
      <c r="K5" s="559"/>
      <c r="L5" s="2713"/>
      <c r="M5" s="2714"/>
      <c r="N5" s="2714"/>
      <c r="O5" s="2714"/>
      <c r="P5" s="3735"/>
      <c r="Q5" s="3685"/>
      <c r="R5" s="3663"/>
      <c r="S5" s="3664"/>
      <c r="T5" s="3663"/>
      <c r="U5" s="3664"/>
      <c r="V5" s="3691"/>
      <c r="W5" s="3691"/>
      <c r="X5" s="1353"/>
      <c r="Y5" s="3663"/>
      <c r="Z5" s="3664"/>
      <c r="AA5" s="3657"/>
      <c r="AB5" s="3657"/>
      <c r="AC5" s="3657"/>
    </row>
    <row r="6" spans="1:29" ht="15.75" thickBot="1">
      <c r="A6" s="360"/>
      <c r="B6" s="361"/>
      <c r="C6" s="3669" t="s">
        <v>1677</v>
      </c>
      <c r="D6" s="3670"/>
      <c r="E6" s="3672" t="s">
        <v>1677</v>
      </c>
      <c r="F6" s="3673"/>
      <c r="G6" s="3669" t="s">
        <v>1677</v>
      </c>
      <c r="H6" s="3670"/>
      <c r="I6" s="3669" t="s">
        <v>1677</v>
      </c>
      <c r="J6" s="3670"/>
      <c r="K6" s="559" t="s">
        <v>1678</v>
      </c>
      <c r="L6" s="2713"/>
      <c r="M6" s="2714"/>
      <c r="N6" s="2714"/>
      <c r="O6" s="2714"/>
      <c r="P6" s="3736"/>
      <c r="Q6" s="3687"/>
      <c r="R6" s="3663"/>
      <c r="S6" s="3664"/>
      <c r="T6" s="3688"/>
      <c r="U6" s="3689"/>
      <c r="V6" s="3691"/>
      <c r="W6" s="3691"/>
      <c r="X6" s="1353"/>
      <c r="Y6" s="3688"/>
      <c r="Z6" s="3689"/>
      <c r="AA6" s="3658"/>
      <c r="AB6" s="3658"/>
      <c r="AC6" s="3658"/>
    </row>
    <row r="7" spans="1:29" s="108" customFormat="1" ht="15.75" thickBot="1">
      <c r="A7" s="362" t="s">
        <v>1679</v>
      </c>
      <c r="B7" s="363"/>
      <c r="C7" s="364">
        <f>'数据-取费表'!B2</f>
        <v>45107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59" t="s">
        <v>1680</v>
      </c>
      <c r="Q7" s="3693"/>
      <c r="R7" s="701" t="s">
        <v>14</v>
      </c>
      <c r="S7" s="702">
        <f t="shared" ref="S7:S14" si="0">F7</f>
        <v>0</v>
      </c>
      <c r="T7" s="701" t="s">
        <v>14</v>
      </c>
      <c r="U7" s="702">
        <f t="shared" ref="U7:U14" si="1">H7</f>
        <v>0</v>
      </c>
      <c r="V7" s="701" t="s">
        <v>14</v>
      </c>
      <c r="W7" s="702">
        <f t="shared" ref="W7:W14"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59" t="s">
        <v>1683</v>
      </c>
      <c r="Q8" s="3660"/>
      <c r="R8" s="701" t="s">
        <v>14</v>
      </c>
      <c r="S8" s="702">
        <f t="shared" si="0"/>
        <v>100</v>
      </c>
      <c r="T8" s="701" t="s">
        <v>14</v>
      </c>
      <c r="U8" s="702">
        <f t="shared" si="1"/>
        <v>100</v>
      </c>
      <c r="V8" s="701" t="s">
        <v>14</v>
      </c>
      <c r="W8" s="702">
        <f t="shared" si="2"/>
        <v>100</v>
      </c>
      <c r="X8" s="703"/>
      <c r="Y8" s="3659" t="s">
        <v>1683</v>
      </c>
      <c r="Z8" s="366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3" t="s">
        <v>1686</v>
      </c>
      <c r="Q9" s="1341"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3"/>
      <c r="Q10" s="1341"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3"/>
      <c r="Q11" s="1341">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3"/>
      <c r="Q12" s="1341">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3"/>
      <c r="Q13" s="1341">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6" t="s">
        <v>1691</v>
      </c>
      <c r="Q14" s="1350" t="str">
        <f t="shared" si="6"/>
        <v>交通便捷度</v>
      </c>
      <c r="R14" s="705" t="s">
        <v>14</v>
      </c>
      <c r="S14" s="706">
        <f t="shared" si="0"/>
        <v>100</v>
      </c>
      <c r="T14" s="705" t="s">
        <v>14</v>
      </c>
      <c r="U14" s="706">
        <f t="shared" si="1"/>
        <v>100</v>
      </c>
      <c r="V14" s="705" t="s">
        <v>14</v>
      </c>
      <c r="W14" s="706">
        <f t="shared" si="2"/>
        <v>100</v>
      </c>
      <c r="X14" s="1353"/>
      <c r="Y14" s="3696"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97"/>
      <c r="Q15" s="1350"/>
      <c r="R15" s="705"/>
      <c r="S15" s="706"/>
      <c r="T15" s="705"/>
      <c r="U15" s="706"/>
      <c r="V15" s="705"/>
      <c r="W15" s="706"/>
      <c r="X15" s="1353"/>
      <c r="Y15" s="3697"/>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7"/>
      <c r="Q16" s="1350" t="str">
        <f>B16</f>
        <v>公共配套设施</v>
      </c>
      <c r="R16" s="705" t="s">
        <v>14</v>
      </c>
      <c r="S16" s="706">
        <f>F16</f>
        <v>100</v>
      </c>
      <c r="T16" s="705" t="s">
        <v>14</v>
      </c>
      <c r="U16" s="706">
        <f>H16</f>
        <v>100</v>
      </c>
      <c r="V16" s="705" t="s">
        <v>14</v>
      </c>
      <c r="W16" s="706">
        <f>J16</f>
        <v>100</v>
      </c>
      <c r="X16" s="1353"/>
      <c r="Y16" s="3697"/>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97"/>
      <c r="Q17" s="1350"/>
      <c r="R17" s="705"/>
      <c r="S17" s="706"/>
      <c r="T17" s="705"/>
      <c r="U17" s="706"/>
      <c r="V17" s="705"/>
      <c r="W17" s="706"/>
      <c r="X17" s="1353"/>
      <c r="Y17" s="3697"/>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7"/>
      <c r="Q18" s="1350" t="str">
        <f>B18</f>
        <v>基础设施水平</v>
      </c>
      <c r="R18" s="705" t="s">
        <v>14</v>
      </c>
      <c r="S18" s="706">
        <f>F18</f>
        <v>100</v>
      </c>
      <c r="T18" s="705" t="s">
        <v>14</v>
      </c>
      <c r="U18" s="706">
        <f>H18</f>
        <v>100</v>
      </c>
      <c r="V18" s="705" t="s">
        <v>14</v>
      </c>
      <c r="W18" s="706">
        <f>J18</f>
        <v>100</v>
      </c>
      <c r="X18" s="1353"/>
      <c r="Y18" s="3697"/>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97"/>
      <c r="Q19" s="1350"/>
      <c r="R19" s="705"/>
      <c r="S19" s="706"/>
      <c r="T19" s="705"/>
      <c r="U19" s="706"/>
      <c r="V19" s="705"/>
      <c r="W19" s="706"/>
      <c r="X19" s="1353"/>
      <c r="Y19" s="3697"/>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7"/>
      <c r="Q20" s="1350" t="str">
        <f>B20</f>
        <v>自然及人文环境</v>
      </c>
      <c r="R20" s="705" t="s">
        <v>14</v>
      </c>
      <c r="S20" s="706">
        <f>F20</f>
        <v>100</v>
      </c>
      <c r="T20" s="705" t="s">
        <v>14</v>
      </c>
      <c r="U20" s="706">
        <f>H20</f>
        <v>100</v>
      </c>
      <c r="V20" s="705" t="s">
        <v>14</v>
      </c>
      <c r="W20" s="706">
        <f>J20</f>
        <v>100</v>
      </c>
      <c r="X20" s="1353"/>
      <c r="Y20" s="3697"/>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97"/>
      <c r="Q21" s="1350"/>
      <c r="R21" s="705"/>
      <c r="S21" s="706"/>
      <c r="T21" s="705"/>
      <c r="U21" s="706"/>
      <c r="V21" s="705"/>
      <c r="W21" s="706"/>
      <c r="X21" s="1353"/>
      <c r="Y21" s="3697"/>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7"/>
      <c r="Q22" s="1350" t="str">
        <f>B22</f>
        <v>楼层</v>
      </c>
      <c r="R22" s="705" t="s">
        <v>14</v>
      </c>
      <c r="S22" s="706">
        <f>F22</f>
        <v>100</v>
      </c>
      <c r="T22" s="705" t="s">
        <v>14</v>
      </c>
      <c r="U22" s="706">
        <f>H22</f>
        <v>100</v>
      </c>
      <c r="V22" s="705" t="s">
        <v>14</v>
      </c>
      <c r="W22" s="706">
        <f>J22</f>
        <v>100</v>
      </c>
      <c r="X22" s="1353"/>
      <c r="Y22" s="3697"/>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7"/>
      <c r="Q23" s="1350">
        <f>B23</f>
        <v>111</v>
      </c>
      <c r="R23" s="705" t="s">
        <v>14</v>
      </c>
      <c r="S23" s="706">
        <f>F23</f>
        <v>100</v>
      </c>
      <c r="T23" s="705" t="s">
        <v>14</v>
      </c>
      <c r="U23" s="706">
        <f>H23</f>
        <v>100</v>
      </c>
      <c r="V23" s="705" t="s">
        <v>14</v>
      </c>
      <c r="W23" s="706">
        <f>J23</f>
        <v>100</v>
      </c>
      <c r="X23" s="1353"/>
      <c r="Y23" s="3697"/>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7"/>
      <c r="Q24" s="1350">
        <f t="shared" ref="Q24:Q36" si="11">B24</f>
        <v>111</v>
      </c>
      <c r="R24" s="705" t="s">
        <v>14</v>
      </c>
      <c r="S24" s="706">
        <f>F24</f>
        <v>100</v>
      </c>
      <c r="T24" s="705" t="s">
        <v>14</v>
      </c>
      <c r="U24" s="706">
        <f>H24</f>
        <v>100</v>
      </c>
      <c r="V24" s="705" t="s">
        <v>14</v>
      </c>
      <c r="W24" s="706">
        <f>J24</f>
        <v>100</v>
      </c>
      <c r="X24" s="1353"/>
      <c r="Y24" s="3697"/>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7"/>
      <c r="Q25" s="1341">
        <f t="shared" si="11"/>
        <v>111</v>
      </c>
      <c r="R25" s="701" t="s">
        <v>14</v>
      </c>
      <c r="S25" s="702">
        <f>F25</f>
        <v>100</v>
      </c>
      <c r="T25" s="701" t="s">
        <v>14</v>
      </c>
      <c r="U25" s="702">
        <f>H25</f>
        <v>100</v>
      </c>
      <c r="V25" s="701" t="s">
        <v>14</v>
      </c>
      <c r="W25" s="702">
        <f>J25</f>
        <v>100</v>
      </c>
      <c r="X25" s="703"/>
      <c r="Y25" s="3697"/>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0"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701"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1"/>
      <c r="Q27" s="707" t="str">
        <f t="shared" si="11"/>
        <v>项目停车位配比</v>
      </c>
      <c r="R27" s="708" t="s">
        <v>14</v>
      </c>
      <c r="S27" s="709">
        <f t="shared" si="12"/>
        <v>100</v>
      </c>
      <c r="T27" s="708" t="s">
        <v>14</v>
      </c>
      <c r="U27" s="709">
        <f t="shared" si="13"/>
        <v>100</v>
      </c>
      <c r="V27" s="708" t="s">
        <v>14</v>
      </c>
      <c r="W27" s="709">
        <f t="shared" si="14"/>
        <v>100</v>
      </c>
      <c r="X27" s="710"/>
      <c r="Y27" s="3701"/>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1"/>
      <c r="Q28" s="1350" t="str">
        <f t="shared" si="11"/>
        <v>公共部分装修</v>
      </c>
      <c r="R28" s="705" t="s">
        <v>14</v>
      </c>
      <c r="S28" s="706">
        <f t="shared" si="12"/>
        <v>100</v>
      </c>
      <c r="T28" s="705" t="s">
        <v>14</v>
      </c>
      <c r="U28" s="706">
        <f t="shared" si="13"/>
        <v>100</v>
      </c>
      <c r="V28" s="705" t="s">
        <v>14</v>
      </c>
      <c r="W28" s="706">
        <f t="shared" si="14"/>
        <v>100</v>
      </c>
      <c r="X28" s="1353"/>
      <c r="Y28" s="3701"/>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1"/>
      <c r="Q29" s="1350" t="str">
        <f t="shared" si="11"/>
        <v>成新率</v>
      </c>
      <c r="R29" s="705" t="s">
        <v>14</v>
      </c>
      <c r="S29" s="706" t="e">
        <f t="shared" si="12"/>
        <v>#N/A</v>
      </c>
      <c r="T29" s="705" t="s">
        <v>14</v>
      </c>
      <c r="U29" s="706" t="e">
        <f t="shared" si="13"/>
        <v>#N/A</v>
      </c>
      <c r="V29" s="705" t="s">
        <v>14</v>
      </c>
      <c r="W29" s="706" t="e">
        <f t="shared" si="14"/>
        <v>#N/A</v>
      </c>
      <c r="X29" s="1353"/>
      <c r="Y29" s="3701"/>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1"/>
      <c r="Q30" s="1350" t="str">
        <f t="shared" si="11"/>
        <v>物业等级</v>
      </c>
      <c r="R30" s="705" t="s">
        <v>14</v>
      </c>
      <c r="S30" s="706">
        <f t="shared" si="12"/>
        <v>100</v>
      </c>
      <c r="T30" s="705" t="s">
        <v>14</v>
      </c>
      <c r="U30" s="706">
        <f t="shared" si="13"/>
        <v>100</v>
      </c>
      <c r="V30" s="705" t="s">
        <v>14</v>
      </c>
      <c r="W30" s="706">
        <f t="shared" si="14"/>
        <v>100</v>
      </c>
      <c r="X30" s="1353"/>
      <c r="Y30" s="3701"/>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1"/>
      <c r="Q31" s="1341" t="str">
        <f t="shared" si="11"/>
        <v>停车位面积</v>
      </c>
      <c r="R31" s="701" t="s">
        <v>14</v>
      </c>
      <c r="S31" s="702" t="e">
        <f t="shared" si="12"/>
        <v>#N/A</v>
      </c>
      <c r="T31" s="701" t="s">
        <v>14</v>
      </c>
      <c r="U31" s="702" t="e">
        <f t="shared" si="13"/>
        <v>#N/A</v>
      </c>
      <c r="V31" s="701" t="s">
        <v>14</v>
      </c>
      <c r="W31" s="702" t="e">
        <f t="shared" si="14"/>
        <v>#N/A</v>
      </c>
      <c r="X31" s="703"/>
      <c r="Y31" s="370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1" t="s">
        <v>1696</v>
      </c>
      <c r="Q32" s="1350" t="str">
        <f t="shared" si="11"/>
        <v>车位类型</v>
      </c>
      <c r="R32" s="705" t="s">
        <v>14</v>
      </c>
      <c r="S32" s="706">
        <f t="shared" si="12"/>
        <v>100</v>
      </c>
      <c r="T32" s="705" t="s">
        <v>14</v>
      </c>
      <c r="U32" s="706">
        <f t="shared" si="13"/>
        <v>100</v>
      </c>
      <c r="V32" s="705" t="s">
        <v>14</v>
      </c>
      <c r="W32" s="706">
        <f t="shared" si="14"/>
        <v>100</v>
      </c>
      <c r="X32" s="1353"/>
      <c r="Y32" s="3701"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1"/>
      <c r="Q33" s="1350" t="str">
        <f t="shared" si="11"/>
        <v>是否直接入户</v>
      </c>
      <c r="R33" s="705" t="s">
        <v>14</v>
      </c>
      <c r="S33" s="706">
        <f t="shared" si="12"/>
        <v>100</v>
      </c>
      <c r="T33" s="705" t="s">
        <v>14</v>
      </c>
      <c r="U33" s="706">
        <f t="shared" si="13"/>
        <v>100</v>
      </c>
      <c r="V33" s="705" t="s">
        <v>14</v>
      </c>
      <c r="W33" s="706">
        <f t="shared" si="14"/>
        <v>100</v>
      </c>
      <c r="X33" s="1353"/>
      <c r="Y33" s="3701"/>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1"/>
      <c r="Q34" s="1350">
        <f t="shared" si="11"/>
        <v>111</v>
      </c>
      <c r="R34" s="705" t="s">
        <v>14</v>
      </c>
      <c r="S34" s="706">
        <f t="shared" si="12"/>
        <v>100</v>
      </c>
      <c r="T34" s="705" t="s">
        <v>14</v>
      </c>
      <c r="U34" s="706">
        <f t="shared" si="13"/>
        <v>100</v>
      </c>
      <c r="V34" s="705" t="s">
        <v>14</v>
      </c>
      <c r="W34" s="706">
        <f t="shared" si="14"/>
        <v>100</v>
      </c>
      <c r="X34" s="1353"/>
      <c r="Y34" s="3701"/>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1"/>
      <c r="Q35" s="707">
        <f t="shared" si="11"/>
        <v>111</v>
      </c>
      <c r="R35" s="708" t="s">
        <v>14</v>
      </c>
      <c r="S35" s="709">
        <f t="shared" si="12"/>
        <v>100</v>
      </c>
      <c r="T35" s="708" t="s">
        <v>14</v>
      </c>
      <c r="U35" s="709">
        <f t="shared" si="13"/>
        <v>100</v>
      </c>
      <c r="V35" s="708" t="s">
        <v>14</v>
      </c>
      <c r="W35" s="709">
        <f t="shared" si="14"/>
        <v>100</v>
      </c>
      <c r="X35" s="710"/>
      <c r="Y35" s="3701"/>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1"/>
      <c r="Q36" s="1350">
        <f t="shared" si="11"/>
        <v>111</v>
      </c>
      <c r="R36" s="705" t="s">
        <v>14</v>
      </c>
      <c r="S36" s="706">
        <f t="shared" si="12"/>
        <v>100</v>
      </c>
      <c r="T36" s="705" t="s">
        <v>14</v>
      </c>
      <c r="U36" s="706">
        <f t="shared" si="13"/>
        <v>100</v>
      </c>
      <c r="V36" s="705" t="s">
        <v>14</v>
      </c>
      <c r="W36" s="706">
        <f t="shared" si="14"/>
        <v>100</v>
      </c>
      <c r="X36" s="1353"/>
      <c r="Y36" s="3701"/>
      <c r="Z36" s="1354">
        <f t="shared" si="15"/>
        <v>111</v>
      </c>
      <c r="AA36" s="1351">
        <f t="shared" si="3"/>
        <v>1</v>
      </c>
      <c r="AB36" s="1351">
        <f t="shared" si="4"/>
        <v>1</v>
      </c>
      <c r="AC36" s="1351">
        <f t="shared" si="5"/>
        <v>1</v>
      </c>
    </row>
    <row r="37" spans="1:29" ht="15">
      <c r="A37" s="430" t="s">
        <v>1844</v>
      </c>
      <c r="B37" s="1971" t="s">
        <v>3358</v>
      </c>
      <c r="C37" s="1152" t="s">
        <v>0</v>
      </c>
      <c r="D37" s="1153"/>
      <c r="E37" s="1154"/>
      <c r="F37" s="1155"/>
      <c r="G37" s="1156"/>
      <c r="H37" s="1157"/>
      <c r="I37" s="1154"/>
      <c r="J37" s="1157"/>
      <c r="K37" s="568"/>
      <c r="L37" s="2722"/>
      <c r="M37" s="2723"/>
      <c r="N37" s="2714"/>
      <c r="O37" s="2723"/>
      <c r="P37" s="3703" t="str">
        <f>A37</f>
        <v>成交单价</v>
      </c>
      <c r="Q37" s="3703"/>
      <c r="R37" s="3704">
        <f>E37</f>
        <v>0</v>
      </c>
      <c r="S37" s="3704"/>
      <c r="T37" s="3704">
        <f>G37</f>
        <v>0</v>
      </c>
      <c r="U37" s="3704"/>
      <c r="V37" s="3704">
        <f>I37</f>
        <v>0</v>
      </c>
      <c r="W37" s="3704"/>
      <c r="X37" s="690"/>
      <c r="Y37" s="712"/>
      <c r="Z37" s="690"/>
      <c r="AA37" s="690"/>
      <c r="AB37" s="690"/>
      <c r="AC37" s="690"/>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90"/>
      <c r="Y38" s="690"/>
      <c r="Z38" s="690"/>
      <c r="AA38" s="690"/>
      <c r="AB38" s="690"/>
      <c r="AC38" s="690"/>
    </row>
    <row r="39" spans="1:29" ht="15.75" thickBot="1">
      <c r="A39" s="441" t="s">
        <v>1846</v>
      </c>
      <c r="B39" s="442"/>
      <c r="C39" s="1161" t="e">
        <f>R39</f>
        <v>#DIV/0!</v>
      </c>
      <c r="D39" s="1161"/>
      <c r="E39" s="1161"/>
      <c r="F39" s="1161"/>
      <c r="G39" s="1161"/>
      <c r="H39" s="1161"/>
      <c r="I39" s="1161"/>
      <c r="J39" s="1161"/>
      <c r="K39" s="569"/>
      <c r="L39" s="2722"/>
      <c r="M39" s="2723"/>
      <c r="N39" s="2723"/>
      <c r="O39" s="2723"/>
      <c r="P39" s="3737" t="str">
        <f>A39</f>
        <v>估价对象XX用房的比较价值（楼面单价，元/平方米）</v>
      </c>
      <c r="Q39" s="3738"/>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7"/>
      <c r="C47" s="940"/>
      <c r="D47" s="940"/>
      <c r="E47" s="940"/>
      <c r="F47" s="1165"/>
      <c r="G47" s="1165"/>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2023-6</v>
      </c>
      <c r="D48" s="1183">
        <f>EDATE(C48,-1)</f>
        <v>45047</v>
      </c>
      <c r="E48" s="1183">
        <f t="shared" ref="E48:O48" si="16">EDATE(D48,-1)</f>
        <v>45017</v>
      </c>
      <c r="F48" s="1183">
        <f t="shared" si="16"/>
        <v>44986</v>
      </c>
      <c r="G48" s="1183">
        <f t="shared" si="16"/>
        <v>44958</v>
      </c>
      <c r="H48" s="1183">
        <f t="shared" si="16"/>
        <v>44927</v>
      </c>
      <c r="I48" s="1183">
        <f t="shared" si="16"/>
        <v>44896</v>
      </c>
      <c r="J48" s="1183">
        <f t="shared" si="16"/>
        <v>44866</v>
      </c>
      <c r="K48" s="1183">
        <f t="shared" si="16"/>
        <v>44835</v>
      </c>
      <c r="L48" s="1183">
        <f t="shared" si="16"/>
        <v>44805</v>
      </c>
      <c r="M48" s="1183">
        <f t="shared" si="16"/>
        <v>44774</v>
      </c>
      <c r="N48" s="1183">
        <f t="shared" si="16"/>
        <v>44743</v>
      </c>
      <c r="O48" s="1183">
        <f t="shared" si="16"/>
        <v>44713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733" t="s">
        <v>1775</v>
      </c>
      <c r="Q4" s="3734"/>
      <c r="R4" s="3730" t="s">
        <v>1771</v>
      </c>
      <c r="S4" s="3731"/>
      <c r="T4" s="3730" t="s">
        <v>1772</v>
      </c>
      <c r="U4" s="3731"/>
      <c r="V4" s="3691" t="s">
        <v>1773</v>
      </c>
      <c r="W4" s="3691"/>
      <c r="X4" s="1353"/>
      <c r="Y4" s="3730" t="s">
        <v>1775</v>
      </c>
      <c r="Z4" s="3731"/>
      <c r="AA4" s="3729" t="s">
        <v>1771</v>
      </c>
      <c r="AB4" s="3657" t="s">
        <v>1772</v>
      </c>
      <c r="AC4" s="3729" t="s">
        <v>1773</v>
      </c>
    </row>
    <row r="5" spans="1:29" ht="15">
      <c r="A5" s="358"/>
      <c r="B5" s="359"/>
      <c r="C5" s="3667" t="s">
        <v>1673</v>
      </c>
      <c r="D5" s="3668"/>
      <c r="E5" s="3732" t="s">
        <v>1674</v>
      </c>
      <c r="F5" s="3666"/>
      <c r="G5" s="3667" t="s">
        <v>1675</v>
      </c>
      <c r="H5" s="3668"/>
      <c r="I5" s="3667" t="s">
        <v>1676</v>
      </c>
      <c r="J5" s="3668"/>
      <c r="K5" s="559"/>
      <c r="L5" s="2713"/>
      <c r="M5" s="2714"/>
      <c r="N5" s="2714"/>
      <c r="O5" s="2714"/>
      <c r="P5" s="3735"/>
      <c r="Q5" s="3685"/>
      <c r="R5" s="3663"/>
      <c r="S5" s="3664"/>
      <c r="T5" s="3663"/>
      <c r="U5" s="3664"/>
      <c r="V5" s="3691"/>
      <c r="W5" s="3691"/>
      <c r="X5" s="1353"/>
      <c r="Y5" s="3663"/>
      <c r="Z5" s="3664"/>
      <c r="AA5" s="3657"/>
      <c r="AB5" s="3657"/>
      <c r="AC5" s="3657"/>
    </row>
    <row r="6" spans="1:29" ht="15.75" thickBot="1">
      <c r="A6" s="360"/>
      <c r="B6" s="361"/>
      <c r="C6" s="3669" t="s">
        <v>1677</v>
      </c>
      <c r="D6" s="3670"/>
      <c r="E6" s="3672" t="s">
        <v>1677</v>
      </c>
      <c r="F6" s="3673"/>
      <c r="G6" s="3669" t="s">
        <v>1677</v>
      </c>
      <c r="H6" s="3670"/>
      <c r="I6" s="3669" t="s">
        <v>1677</v>
      </c>
      <c r="J6" s="3670"/>
      <c r="K6" s="559" t="s">
        <v>1678</v>
      </c>
      <c r="L6" s="2713"/>
      <c r="M6" s="2714"/>
      <c r="N6" s="2714"/>
      <c r="O6" s="2714"/>
      <c r="P6" s="3736"/>
      <c r="Q6" s="3687"/>
      <c r="R6" s="3663"/>
      <c r="S6" s="3664"/>
      <c r="T6" s="3688"/>
      <c r="U6" s="3689"/>
      <c r="V6" s="3691"/>
      <c r="W6" s="3691"/>
      <c r="X6" s="1353"/>
      <c r="Y6" s="3688"/>
      <c r="Z6" s="3689"/>
      <c r="AA6" s="3658"/>
      <c r="AB6" s="3658"/>
      <c r="AC6" s="3658"/>
    </row>
    <row r="7" spans="1:29" s="108" customFormat="1" ht="15.75" thickBot="1">
      <c r="A7" s="362" t="s">
        <v>1679</v>
      </c>
      <c r="B7" s="363"/>
      <c r="C7" s="364">
        <f>'数据-取费表'!B2</f>
        <v>45107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59" t="s">
        <v>1680</v>
      </c>
      <c r="Q7" s="3693"/>
      <c r="R7" s="701" t="s">
        <v>14</v>
      </c>
      <c r="S7" s="702">
        <f t="shared" ref="S7:S14" si="0">F7</f>
        <v>0</v>
      </c>
      <c r="T7" s="701" t="s">
        <v>14</v>
      </c>
      <c r="U7" s="702">
        <f t="shared" ref="U7:U14" si="1">H7</f>
        <v>0</v>
      </c>
      <c r="V7" s="701" t="s">
        <v>14</v>
      </c>
      <c r="W7" s="702">
        <f t="shared" ref="W7:W14"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9" t="s">
        <v>1683</v>
      </c>
      <c r="Q8" s="3660"/>
      <c r="R8" s="701" t="s">
        <v>14</v>
      </c>
      <c r="S8" s="702">
        <f t="shared" si="0"/>
        <v>100</v>
      </c>
      <c r="T8" s="701" t="s">
        <v>14</v>
      </c>
      <c r="U8" s="702">
        <f t="shared" si="1"/>
        <v>100</v>
      </c>
      <c r="V8" s="701" t="s">
        <v>14</v>
      </c>
      <c r="W8" s="702">
        <f t="shared" si="2"/>
        <v>100</v>
      </c>
      <c r="X8" s="703"/>
      <c r="Y8" s="3659" t="s">
        <v>1683</v>
      </c>
      <c r="Z8" s="366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3" t="s">
        <v>1686</v>
      </c>
      <c r="Q9" s="1341"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3"/>
      <c r="Q10" s="1341"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3"/>
      <c r="Q11" s="1341">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3"/>
      <c r="Q12" s="1341">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03"/>
      <c r="Q13" s="1341">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6" t="s">
        <v>1691</v>
      </c>
      <c r="Q14" s="1350" t="str">
        <f t="shared" si="6"/>
        <v>交通便捷度</v>
      </c>
      <c r="R14" s="705" t="s">
        <v>14</v>
      </c>
      <c r="S14" s="706">
        <f t="shared" si="0"/>
        <v>100</v>
      </c>
      <c r="T14" s="705" t="s">
        <v>14</v>
      </c>
      <c r="U14" s="706">
        <f t="shared" si="1"/>
        <v>100</v>
      </c>
      <c r="V14" s="705" t="s">
        <v>14</v>
      </c>
      <c r="W14" s="706">
        <f t="shared" si="2"/>
        <v>100</v>
      </c>
      <c r="X14" s="1353"/>
      <c r="Y14" s="3696"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97"/>
      <c r="Q15" s="1350"/>
      <c r="R15" s="705"/>
      <c r="S15" s="706"/>
      <c r="T15" s="705"/>
      <c r="U15" s="706"/>
      <c r="V15" s="705"/>
      <c r="W15" s="706"/>
      <c r="X15" s="1353"/>
      <c r="Y15" s="3697"/>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7"/>
      <c r="Q16" s="1350" t="str">
        <f>B16</f>
        <v>公共配套设施</v>
      </c>
      <c r="R16" s="705" t="s">
        <v>14</v>
      </c>
      <c r="S16" s="706">
        <f>F16</f>
        <v>100</v>
      </c>
      <c r="T16" s="705" t="s">
        <v>14</v>
      </c>
      <c r="U16" s="706">
        <f>H16</f>
        <v>100</v>
      </c>
      <c r="V16" s="705" t="s">
        <v>14</v>
      </c>
      <c r="W16" s="706">
        <f>J16</f>
        <v>100</v>
      </c>
      <c r="X16" s="1353"/>
      <c r="Y16" s="3697"/>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97"/>
      <c r="Q17" s="1350"/>
      <c r="R17" s="705"/>
      <c r="S17" s="706"/>
      <c r="T17" s="705"/>
      <c r="U17" s="706"/>
      <c r="V17" s="705"/>
      <c r="W17" s="706"/>
      <c r="X17" s="1353"/>
      <c r="Y17" s="3697"/>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7"/>
      <c r="Q18" s="1350" t="str">
        <f>B18</f>
        <v>基础设施水平</v>
      </c>
      <c r="R18" s="705" t="s">
        <v>14</v>
      </c>
      <c r="S18" s="706">
        <f>F18</f>
        <v>100</v>
      </c>
      <c r="T18" s="705" t="s">
        <v>14</v>
      </c>
      <c r="U18" s="706">
        <f>H18</f>
        <v>100</v>
      </c>
      <c r="V18" s="705" t="s">
        <v>14</v>
      </c>
      <c r="W18" s="706">
        <f>J18</f>
        <v>100</v>
      </c>
      <c r="X18" s="1353"/>
      <c r="Y18" s="3697"/>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97"/>
      <c r="Q19" s="1350"/>
      <c r="R19" s="705"/>
      <c r="S19" s="706"/>
      <c r="T19" s="705"/>
      <c r="U19" s="706"/>
      <c r="V19" s="705"/>
      <c r="W19" s="706"/>
      <c r="X19" s="1353"/>
      <c r="Y19" s="3697"/>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7"/>
      <c r="Q20" s="1350" t="str">
        <f>B20</f>
        <v>自然及人文环境</v>
      </c>
      <c r="R20" s="705" t="s">
        <v>14</v>
      </c>
      <c r="S20" s="706">
        <f>F20</f>
        <v>100</v>
      </c>
      <c r="T20" s="705" t="s">
        <v>14</v>
      </c>
      <c r="U20" s="706">
        <f>H20</f>
        <v>100</v>
      </c>
      <c r="V20" s="705" t="s">
        <v>14</v>
      </c>
      <c r="W20" s="706">
        <f>J20</f>
        <v>100</v>
      </c>
      <c r="X20" s="1353"/>
      <c r="Y20" s="3697"/>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97"/>
      <c r="Q21" s="1350"/>
      <c r="R21" s="705"/>
      <c r="S21" s="706"/>
      <c r="T21" s="705"/>
      <c r="U21" s="706"/>
      <c r="V21" s="705"/>
      <c r="W21" s="706"/>
      <c r="X21" s="1353"/>
      <c r="Y21" s="3697"/>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7"/>
      <c r="Q22" s="1350" t="str">
        <f>B22</f>
        <v>楼层</v>
      </c>
      <c r="R22" s="705" t="s">
        <v>14</v>
      </c>
      <c r="S22" s="706">
        <f>F22</f>
        <v>100</v>
      </c>
      <c r="T22" s="705" t="s">
        <v>14</v>
      </c>
      <c r="U22" s="706">
        <f>H22</f>
        <v>100</v>
      </c>
      <c r="V22" s="705" t="s">
        <v>14</v>
      </c>
      <c r="W22" s="706">
        <f>J22</f>
        <v>100</v>
      </c>
      <c r="X22" s="1353"/>
      <c r="Y22" s="3697"/>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7"/>
      <c r="Q23" s="1350">
        <f>B23</f>
        <v>111</v>
      </c>
      <c r="R23" s="705" t="s">
        <v>14</v>
      </c>
      <c r="S23" s="706">
        <f>F23</f>
        <v>100</v>
      </c>
      <c r="T23" s="705" t="s">
        <v>14</v>
      </c>
      <c r="U23" s="706">
        <f>H23</f>
        <v>100</v>
      </c>
      <c r="V23" s="705" t="s">
        <v>14</v>
      </c>
      <c r="W23" s="706">
        <f>J23</f>
        <v>100</v>
      </c>
      <c r="X23" s="1353"/>
      <c r="Y23" s="3697"/>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7"/>
      <c r="Q24" s="1350">
        <f t="shared" ref="Q24:Q34" si="11">B24</f>
        <v>111</v>
      </c>
      <c r="R24" s="705" t="s">
        <v>14</v>
      </c>
      <c r="S24" s="706">
        <f>F24</f>
        <v>100</v>
      </c>
      <c r="T24" s="705" t="s">
        <v>14</v>
      </c>
      <c r="U24" s="706">
        <f>H24</f>
        <v>100</v>
      </c>
      <c r="V24" s="705" t="s">
        <v>14</v>
      </c>
      <c r="W24" s="706">
        <f>J24</f>
        <v>100</v>
      </c>
      <c r="X24" s="1353"/>
      <c r="Y24" s="3697"/>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97"/>
      <c r="Q25" s="1341">
        <f t="shared" si="11"/>
        <v>111</v>
      </c>
      <c r="R25" s="701" t="s">
        <v>14</v>
      </c>
      <c r="S25" s="702">
        <f>F25</f>
        <v>100</v>
      </c>
      <c r="T25" s="701" t="s">
        <v>14</v>
      </c>
      <c r="U25" s="702">
        <f>H25</f>
        <v>100</v>
      </c>
      <c r="V25" s="701" t="s">
        <v>14</v>
      </c>
      <c r="W25" s="702">
        <f>J25</f>
        <v>100</v>
      </c>
      <c r="X25" s="703"/>
      <c r="Y25" s="3697"/>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0"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701"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1"/>
      <c r="Q27" s="707" t="str">
        <f t="shared" si="11"/>
        <v>成新率</v>
      </c>
      <c r="R27" s="708" t="s">
        <v>14</v>
      </c>
      <c r="S27" s="709" t="e">
        <f t="shared" si="12"/>
        <v>#N/A</v>
      </c>
      <c r="T27" s="708" t="s">
        <v>14</v>
      </c>
      <c r="U27" s="709" t="e">
        <f t="shared" si="13"/>
        <v>#N/A</v>
      </c>
      <c r="V27" s="708" t="s">
        <v>14</v>
      </c>
      <c r="W27" s="709" t="e">
        <f t="shared" si="14"/>
        <v>#N/A</v>
      </c>
      <c r="X27" s="710"/>
      <c r="Y27" s="3701"/>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1"/>
      <c r="Q28" s="1350" t="str">
        <f t="shared" si="11"/>
        <v>物业等级</v>
      </c>
      <c r="R28" s="705" t="s">
        <v>14</v>
      </c>
      <c r="S28" s="706">
        <f t="shared" si="12"/>
        <v>100</v>
      </c>
      <c r="T28" s="705" t="s">
        <v>14</v>
      </c>
      <c r="U28" s="706">
        <f t="shared" si="13"/>
        <v>100</v>
      </c>
      <c r="V28" s="705" t="s">
        <v>14</v>
      </c>
      <c r="W28" s="706">
        <f t="shared" si="14"/>
        <v>100</v>
      </c>
      <c r="X28" s="1353"/>
      <c r="Y28" s="3701"/>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1"/>
      <c r="Q29" s="1350" t="str">
        <f t="shared" si="11"/>
        <v>有无电梯</v>
      </c>
      <c r="R29" s="705" t="s">
        <v>14</v>
      </c>
      <c r="S29" s="706">
        <f t="shared" si="12"/>
        <v>100</v>
      </c>
      <c r="T29" s="705" t="s">
        <v>14</v>
      </c>
      <c r="U29" s="706">
        <f t="shared" si="13"/>
        <v>100</v>
      </c>
      <c r="V29" s="705" t="s">
        <v>14</v>
      </c>
      <c r="W29" s="706">
        <f t="shared" si="14"/>
        <v>100</v>
      </c>
      <c r="X29" s="1353"/>
      <c r="Y29" s="3701"/>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1"/>
      <c r="Q30" s="1350" t="str">
        <f t="shared" si="11"/>
        <v>建筑面积</v>
      </c>
      <c r="R30" s="705" t="s">
        <v>14</v>
      </c>
      <c r="S30" s="706" t="e">
        <f t="shared" si="12"/>
        <v>#N/A</v>
      </c>
      <c r="T30" s="705" t="s">
        <v>14</v>
      </c>
      <c r="U30" s="706" t="e">
        <f t="shared" si="13"/>
        <v>#N/A</v>
      </c>
      <c r="V30" s="705" t="s">
        <v>14</v>
      </c>
      <c r="W30" s="706" t="e">
        <f t="shared" si="14"/>
        <v>#N/A</v>
      </c>
      <c r="X30" s="1353"/>
      <c r="Y30" s="3701"/>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1"/>
      <c r="Q31" s="1341" t="str">
        <f t="shared" si="11"/>
        <v>是否封闭</v>
      </c>
      <c r="R31" s="701" t="s">
        <v>14</v>
      </c>
      <c r="S31" s="702">
        <f t="shared" si="12"/>
        <v>100</v>
      </c>
      <c r="T31" s="701" t="s">
        <v>14</v>
      </c>
      <c r="U31" s="702">
        <f t="shared" si="13"/>
        <v>100</v>
      </c>
      <c r="V31" s="701" t="s">
        <v>14</v>
      </c>
      <c r="W31" s="702">
        <f t="shared" si="14"/>
        <v>100</v>
      </c>
      <c r="X31" s="703"/>
      <c r="Y31" s="3701"/>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1" t="s">
        <v>1696</v>
      </c>
      <c r="Q32" s="1350">
        <f t="shared" si="11"/>
        <v>111</v>
      </c>
      <c r="R32" s="705" t="s">
        <v>14</v>
      </c>
      <c r="S32" s="706">
        <f t="shared" si="12"/>
        <v>100</v>
      </c>
      <c r="T32" s="705" t="s">
        <v>14</v>
      </c>
      <c r="U32" s="706">
        <f t="shared" si="13"/>
        <v>100</v>
      </c>
      <c r="V32" s="705" t="s">
        <v>14</v>
      </c>
      <c r="W32" s="706">
        <f t="shared" si="14"/>
        <v>100</v>
      </c>
      <c r="X32" s="1353"/>
      <c r="Y32" s="3701"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1"/>
      <c r="Q33" s="1350">
        <f t="shared" si="11"/>
        <v>111</v>
      </c>
      <c r="R33" s="705" t="s">
        <v>14</v>
      </c>
      <c r="S33" s="706">
        <f t="shared" si="12"/>
        <v>100</v>
      </c>
      <c r="T33" s="705" t="s">
        <v>14</v>
      </c>
      <c r="U33" s="706">
        <f t="shared" si="13"/>
        <v>100</v>
      </c>
      <c r="V33" s="705" t="s">
        <v>14</v>
      </c>
      <c r="W33" s="706">
        <f t="shared" si="14"/>
        <v>100</v>
      </c>
      <c r="X33" s="1353"/>
      <c r="Y33" s="3701"/>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1"/>
      <c r="Q34" s="1350">
        <f t="shared" si="11"/>
        <v>111</v>
      </c>
      <c r="R34" s="705" t="s">
        <v>14</v>
      </c>
      <c r="S34" s="706">
        <f t="shared" si="12"/>
        <v>100</v>
      </c>
      <c r="T34" s="705" t="s">
        <v>14</v>
      </c>
      <c r="U34" s="706">
        <f t="shared" si="13"/>
        <v>100</v>
      </c>
      <c r="V34" s="705" t="s">
        <v>14</v>
      </c>
      <c r="W34" s="706">
        <f t="shared" si="14"/>
        <v>100</v>
      </c>
      <c r="X34" s="1353"/>
      <c r="Y34" s="3701"/>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4"/>
      <c r="L35" s="2722"/>
      <c r="M35" s="2723"/>
      <c r="N35" s="2714"/>
      <c r="O35" s="2723"/>
      <c r="P35" s="3703" t="str">
        <f>A35</f>
        <v>成交单价（元/平方米）</v>
      </c>
      <c r="Q35" s="3703"/>
      <c r="R35" s="3704">
        <f>E35</f>
        <v>0</v>
      </c>
      <c r="S35" s="3704"/>
      <c r="T35" s="3704">
        <f>G35</f>
        <v>0</v>
      </c>
      <c r="U35" s="3704"/>
      <c r="V35" s="3704">
        <f>I35</f>
        <v>0</v>
      </c>
      <c r="W35" s="3704"/>
      <c r="X35" s="690"/>
      <c r="Y35" s="712"/>
      <c r="Z35" s="690"/>
      <c r="AA35" s="690"/>
      <c r="AB35" s="690"/>
      <c r="AC35" s="690"/>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90"/>
      <c r="Y36" s="690"/>
      <c r="Z36" s="690"/>
      <c r="AA36" s="690"/>
      <c r="AB36" s="690"/>
      <c r="AC36" s="690"/>
    </row>
    <row r="37" spans="1:30" ht="15.75" thickBot="1">
      <c r="A37" s="441" t="s">
        <v>1794</v>
      </c>
      <c r="B37" s="442"/>
      <c r="C37" s="1161" t="e">
        <f>R37</f>
        <v>#DIV/0!</v>
      </c>
      <c r="D37" s="1161"/>
      <c r="E37" s="1161"/>
      <c r="F37" s="1161"/>
      <c r="G37" s="1161"/>
      <c r="H37" s="1161"/>
      <c r="I37" s="1161"/>
      <c r="J37" s="1161"/>
      <c r="K37" s="715"/>
      <c r="L37" s="2722"/>
      <c r="M37" s="2723"/>
      <c r="N37" s="2723"/>
      <c r="O37" s="2723"/>
      <c r="P37" s="3737" t="str">
        <f>A37</f>
        <v>估价对象XX用房的比较价值（楼面单价，元/平方米）</v>
      </c>
      <c r="Q37" s="3738"/>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2023-6</v>
      </c>
      <c r="D46" s="1183">
        <f>EDATE(C46,-1)</f>
        <v>45047</v>
      </c>
      <c r="E46" s="1183">
        <f t="shared" ref="E46:O46" si="16">EDATE(D46,-1)</f>
        <v>45017</v>
      </c>
      <c r="F46" s="1183">
        <f t="shared" si="16"/>
        <v>44986</v>
      </c>
      <c r="G46" s="1183">
        <f t="shared" si="16"/>
        <v>44958</v>
      </c>
      <c r="H46" s="1183">
        <f t="shared" si="16"/>
        <v>44927</v>
      </c>
      <c r="I46" s="1183">
        <f t="shared" si="16"/>
        <v>44896</v>
      </c>
      <c r="J46" s="1183">
        <f t="shared" si="16"/>
        <v>44866</v>
      </c>
      <c r="K46" s="1183">
        <f t="shared" si="16"/>
        <v>44835</v>
      </c>
      <c r="L46" s="1183">
        <f t="shared" si="16"/>
        <v>44805</v>
      </c>
      <c r="M46" s="1183">
        <f t="shared" si="16"/>
        <v>44774</v>
      </c>
      <c r="N46" s="1183">
        <f t="shared" si="16"/>
        <v>44743</v>
      </c>
      <c r="O46" s="1183">
        <f t="shared" si="16"/>
        <v>44713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1"/>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3"/>
      <c r="M4" s="2714"/>
      <c r="N4" s="2714"/>
      <c r="O4" s="2714"/>
      <c r="P4" s="3733" t="s">
        <v>1775</v>
      </c>
      <c r="Q4" s="3734"/>
      <c r="R4" s="3730" t="s">
        <v>1771</v>
      </c>
      <c r="S4" s="3731"/>
      <c r="T4" s="3730" t="s">
        <v>1772</v>
      </c>
      <c r="U4" s="3731"/>
      <c r="V4" s="3691" t="s">
        <v>1773</v>
      </c>
      <c r="W4" s="3691"/>
      <c r="X4" s="1353"/>
      <c r="Y4" s="3730" t="s">
        <v>1775</v>
      </c>
      <c r="Z4" s="3731"/>
      <c r="AA4" s="3729" t="s">
        <v>1771</v>
      </c>
      <c r="AB4" s="3657" t="s">
        <v>1772</v>
      </c>
      <c r="AC4" s="3729" t="s">
        <v>1773</v>
      </c>
    </row>
    <row r="5" spans="1:30" ht="15">
      <c r="A5" s="358"/>
      <c r="B5" s="359"/>
      <c r="C5" s="3667" t="s">
        <v>1673</v>
      </c>
      <c r="D5" s="3668"/>
      <c r="E5" s="3732" t="s">
        <v>1674</v>
      </c>
      <c r="F5" s="3666"/>
      <c r="G5" s="3667" t="s">
        <v>1675</v>
      </c>
      <c r="H5" s="3668"/>
      <c r="I5" s="3667" t="s">
        <v>1676</v>
      </c>
      <c r="J5" s="3668"/>
      <c r="K5" s="559"/>
      <c r="L5" s="2713"/>
      <c r="M5" s="2714"/>
      <c r="N5" s="2714"/>
      <c r="O5" s="2714"/>
      <c r="P5" s="3735"/>
      <c r="Q5" s="3685"/>
      <c r="R5" s="3663"/>
      <c r="S5" s="3664"/>
      <c r="T5" s="3663"/>
      <c r="U5" s="3664"/>
      <c r="V5" s="3691"/>
      <c r="W5" s="3691"/>
      <c r="X5" s="1353"/>
      <c r="Y5" s="3663"/>
      <c r="Z5" s="3664"/>
      <c r="AA5" s="3657"/>
      <c r="AB5" s="3657"/>
      <c r="AC5" s="3657"/>
    </row>
    <row r="6" spans="1:30" ht="15.75" thickBot="1">
      <c r="A6" s="360"/>
      <c r="B6" s="361"/>
      <c r="C6" s="3669" t="s">
        <v>1677</v>
      </c>
      <c r="D6" s="3670"/>
      <c r="E6" s="3672" t="s">
        <v>1677</v>
      </c>
      <c r="F6" s="3673"/>
      <c r="G6" s="3669" t="s">
        <v>1677</v>
      </c>
      <c r="H6" s="3670"/>
      <c r="I6" s="3669" t="s">
        <v>1677</v>
      </c>
      <c r="J6" s="3670"/>
      <c r="K6" s="559" t="s">
        <v>1678</v>
      </c>
      <c r="L6" s="2713"/>
      <c r="M6" s="2714"/>
      <c r="N6" s="2714"/>
      <c r="O6" s="2714"/>
      <c r="P6" s="3736"/>
      <c r="Q6" s="3687"/>
      <c r="R6" s="3663"/>
      <c r="S6" s="3664"/>
      <c r="T6" s="3688"/>
      <c r="U6" s="3689"/>
      <c r="V6" s="3691"/>
      <c r="W6" s="3691"/>
      <c r="X6" s="1353"/>
      <c r="Y6" s="3688"/>
      <c r="Z6" s="3689"/>
      <c r="AA6" s="3658"/>
      <c r="AB6" s="3658"/>
      <c r="AC6" s="3658"/>
    </row>
    <row r="7" spans="1:30" s="108" customFormat="1" ht="15.75" thickBot="1">
      <c r="A7" s="362" t="s">
        <v>1679</v>
      </c>
      <c r="B7" s="363"/>
      <c r="C7" s="364">
        <f>'数据-取费表'!B2</f>
        <v>45107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59" t="s">
        <v>1680</v>
      </c>
      <c r="Q7" s="3693"/>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9" t="s">
        <v>1683</v>
      </c>
      <c r="Q8" s="3660"/>
      <c r="R8" s="701" t="s">
        <v>14</v>
      </c>
      <c r="S8" s="702">
        <f t="shared" si="0"/>
        <v>0</v>
      </c>
      <c r="T8" s="701" t="s">
        <v>14</v>
      </c>
      <c r="U8" s="702">
        <f t="shared" si="1"/>
        <v>0</v>
      </c>
      <c r="V8" s="701" t="s">
        <v>14</v>
      </c>
      <c r="W8" s="702">
        <f t="shared" si="2"/>
        <v>0</v>
      </c>
      <c r="X8" s="703"/>
      <c r="Y8" s="3659" t="s">
        <v>1683</v>
      </c>
      <c r="Z8" s="3660"/>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03" t="s">
        <v>1686</v>
      </c>
      <c r="Q9" s="1341"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143</v>
      </c>
      <c r="G10" s="414"/>
      <c r="H10" s="127">
        <f>ROUND(100/'数据-取费表'!G16,0)</f>
        <v>143</v>
      </c>
      <c r="I10" s="414"/>
      <c r="J10" s="127">
        <f>ROUND(100/'数据-取费表'!G16,0)</f>
        <v>143</v>
      </c>
      <c r="K10" s="620"/>
      <c r="L10" s="2717"/>
      <c r="M10" s="2718"/>
      <c r="N10" s="2718"/>
      <c r="O10" s="2771"/>
      <c r="P10" s="3703"/>
      <c r="Q10" s="1341" t="str">
        <f t="shared" si="6"/>
        <v>土地使用年限（年）</v>
      </c>
      <c r="R10" s="701" t="s">
        <v>14</v>
      </c>
      <c r="S10" s="702">
        <f t="shared" si="0"/>
        <v>143</v>
      </c>
      <c r="T10" s="701" t="s">
        <v>14</v>
      </c>
      <c r="U10" s="702">
        <f t="shared" si="1"/>
        <v>143</v>
      </c>
      <c r="V10" s="701" t="s">
        <v>14</v>
      </c>
      <c r="W10" s="702">
        <f t="shared" si="2"/>
        <v>143</v>
      </c>
      <c r="X10" s="703"/>
      <c r="Y10" s="3624"/>
      <c r="Z10" s="52" t="str">
        <f t="shared" si="7"/>
        <v>土地使用年限（年）</v>
      </c>
      <c r="AA10" s="704">
        <f t="shared" si="3"/>
        <v>0.69930069930069927</v>
      </c>
      <c r="AB10" s="704">
        <f t="shared" si="4"/>
        <v>0.69930069930069927</v>
      </c>
      <c r="AC10" s="704">
        <f t="shared" si="5"/>
        <v>0.69930069930069927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3"/>
      <c r="Q11" s="1341"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3"/>
      <c r="Q12" s="1341" t="str">
        <f t="shared" si="6"/>
        <v>配建</v>
      </c>
      <c r="R12" s="701" t="s">
        <v>14</v>
      </c>
      <c r="S12" s="702">
        <f t="shared" si="0"/>
        <v>100</v>
      </c>
      <c r="T12" s="701" t="s">
        <v>14</v>
      </c>
      <c r="U12" s="702">
        <f t="shared" si="1"/>
        <v>100</v>
      </c>
      <c r="V12" s="701" t="s">
        <v>14</v>
      </c>
      <c r="W12" s="702">
        <f t="shared" si="2"/>
        <v>100</v>
      </c>
      <c r="X12" s="703"/>
      <c r="Y12" s="3624"/>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3"/>
      <c r="Q13" s="1341">
        <f t="shared" si="6"/>
        <v>111</v>
      </c>
      <c r="R13" s="701" t="s">
        <v>14</v>
      </c>
      <c r="S13" s="702">
        <f t="shared" si="0"/>
        <v>100</v>
      </c>
      <c r="T13" s="701" t="s">
        <v>14</v>
      </c>
      <c r="U13" s="702">
        <f t="shared" si="1"/>
        <v>100</v>
      </c>
      <c r="V13" s="701" t="s">
        <v>14</v>
      </c>
      <c r="W13" s="702">
        <f t="shared" si="2"/>
        <v>100</v>
      </c>
      <c r="X13" s="703"/>
      <c r="Y13" s="3624"/>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3"/>
      <c r="Q14" s="1341">
        <f t="shared" si="6"/>
        <v>111</v>
      </c>
      <c r="R14" s="701" t="s">
        <v>14</v>
      </c>
      <c r="S14" s="702">
        <f t="shared" si="0"/>
        <v>100</v>
      </c>
      <c r="T14" s="701" t="s">
        <v>14</v>
      </c>
      <c r="U14" s="702">
        <f t="shared" si="1"/>
        <v>100</v>
      </c>
      <c r="V14" s="701" t="s">
        <v>14</v>
      </c>
      <c r="W14" s="702">
        <f t="shared" si="2"/>
        <v>100</v>
      </c>
      <c r="X14" s="703"/>
      <c r="Y14" s="3624"/>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6" t="s">
        <v>1691</v>
      </c>
      <c r="Q15" s="1350" t="str">
        <f t="shared" si="6"/>
        <v>居住社区成熟度</v>
      </c>
      <c r="R15" s="705" t="s">
        <v>14</v>
      </c>
      <c r="S15" s="706">
        <f t="shared" si="0"/>
        <v>100</v>
      </c>
      <c r="T15" s="705" t="s">
        <v>14</v>
      </c>
      <c r="U15" s="706">
        <f t="shared" si="1"/>
        <v>100</v>
      </c>
      <c r="V15" s="705" t="s">
        <v>14</v>
      </c>
      <c r="W15" s="706">
        <f t="shared" si="2"/>
        <v>100</v>
      </c>
      <c r="X15" s="1353"/>
      <c r="Y15" s="3696"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97"/>
      <c r="Q16" s="1350"/>
      <c r="R16" s="705"/>
      <c r="S16" s="706"/>
      <c r="T16" s="705"/>
      <c r="U16" s="706"/>
      <c r="V16" s="705"/>
      <c r="W16" s="706"/>
      <c r="X16" s="1353"/>
      <c r="Y16" s="3697"/>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7"/>
      <c r="Q17" s="1350" t="str">
        <f>B17</f>
        <v>商业繁华度</v>
      </c>
      <c r="R17" s="705" t="s">
        <v>14</v>
      </c>
      <c r="S17" s="706">
        <f>F17</f>
        <v>100</v>
      </c>
      <c r="T17" s="705" t="s">
        <v>14</v>
      </c>
      <c r="U17" s="706">
        <f>H17</f>
        <v>100</v>
      </c>
      <c r="V17" s="705" t="s">
        <v>14</v>
      </c>
      <c r="W17" s="706">
        <f>J17</f>
        <v>100</v>
      </c>
      <c r="X17" s="1353"/>
      <c r="Y17" s="3697"/>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97"/>
      <c r="Q18" s="1350"/>
      <c r="R18" s="705"/>
      <c r="S18" s="706"/>
      <c r="T18" s="705"/>
      <c r="U18" s="706"/>
      <c r="V18" s="705"/>
      <c r="W18" s="706"/>
      <c r="X18" s="1353"/>
      <c r="Y18" s="3697"/>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7"/>
      <c r="Q19" s="1350" t="str">
        <f>B19</f>
        <v>办公集聚程度</v>
      </c>
      <c r="R19" s="705" t="s">
        <v>14</v>
      </c>
      <c r="S19" s="706">
        <f>F19</f>
        <v>100</v>
      </c>
      <c r="T19" s="705" t="s">
        <v>14</v>
      </c>
      <c r="U19" s="706">
        <f>H19</f>
        <v>100</v>
      </c>
      <c r="V19" s="705" t="s">
        <v>14</v>
      </c>
      <c r="W19" s="706">
        <f>J19</f>
        <v>100</v>
      </c>
      <c r="X19" s="1353"/>
      <c r="Y19" s="3697"/>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97"/>
      <c r="Q20" s="1350"/>
      <c r="R20" s="705"/>
      <c r="S20" s="706"/>
      <c r="T20" s="705"/>
      <c r="U20" s="706"/>
      <c r="V20" s="705"/>
      <c r="W20" s="706"/>
      <c r="X20" s="1353"/>
      <c r="Y20" s="3697"/>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7"/>
      <c r="Q21" s="1350" t="str">
        <f>B21</f>
        <v>交通便捷度</v>
      </c>
      <c r="R21" s="705" t="s">
        <v>14</v>
      </c>
      <c r="S21" s="706">
        <f>F21</f>
        <v>100</v>
      </c>
      <c r="T21" s="705" t="s">
        <v>14</v>
      </c>
      <c r="U21" s="706">
        <f>H21</f>
        <v>100</v>
      </c>
      <c r="V21" s="705" t="s">
        <v>14</v>
      </c>
      <c r="W21" s="706">
        <f>J21</f>
        <v>100</v>
      </c>
      <c r="X21" s="1353"/>
      <c r="Y21" s="3697"/>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97"/>
      <c r="Q22" s="1350"/>
      <c r="R22" s="705"/>
      <c r="S22" s="706"/>
      <c r="T22" s="705"/>
      <c r="U22" s="706"/>
      <c r="V22" s="705"/>
      <c r="W22" s="706"/>
      <c r="X22" s="1353"/>
      <c r="Y22" s="3697"/>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7"/>
      <c r="Q23" s="1350" t="str">
        <f t="shared" ref="Q23:Q37" si="8">B23</f>
        <v>区域土地利用方向</v>
      </c>
      <c r="R23" s="705" t="s">
        <v>14</v>
      </c>
      <c r="S23" s="706">
        <f>F23</f>
        <v>100</v>
      </c>
      <c r="T23" s="705" t="s">
        <v>14</v>
      </c>
      <c r="U23" s="706">
        <f>H23</f>
        <v>100</v>
      </c>
      <c r="V23" s="705" t="s">
        <v>14</v>
      </c>
      <c r="W23" s="706">
        <f>J23</f>
        <v>100</v>
      </c>
      <c r="X23" s="1353"/>
      <c r="Y23" s="3697"/>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40"/>
      <c r="L24" s="2720"/>
      <c r="M24" s="2714"/>
      <c r="N24" s="2714"/>
      <c r="O24" s="2772"/>
      <c r="P24" s="3697"/>
      <c r="Q24" s="1350"/>
      <c r="R24" s="705"/>
      <c r="S24" s="706"/>
      <c r="T24" s="705"/>
      <c r="U24" s="706"/>
      <c r="V24" s="705"/>
      <c r="W24" s="706"/>
      <c r="X24" s="1353"/>
      <c r="Y24" s="3697"/>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7"/>
      <c r="Q25" s="1350" t="str">
        <f t="shared" si="8"/>
        <v>自然及人文环境状况</v>
      </c>
      <c r="R25" s="705" t="s">
        <v>14</v>
      </c>
      <c r="S25" s="706">
        <f>F25</f>
        <v>100</v>
      </c>
      <c r="T25" s="705" t="s">
        <v>14</v>
      </c>
      <c r="U25" s="706">
        <f>H25</f>
        <v>100</v>
      </c>
      <c r="V25" s="705" t="s">
        <v>14</v>
      </c>
      <c r="W25" s="706">
        <f>J25</f>
        <v>100</v>
      </c>
      <c r="X25" s="1353"/>
      <c r="Y25" s="3697"/>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97"/>
      <c r="Q26" s="1350"/>
      <c r="R26" s="705"/>
      <c r="S26" s="706"/>
      <c r="T26" s="705"/>
      <c r="U26" s="706"/>
      <c r="V26" s="705"/>
      <c r="W26" s="706"/>
      <c r="X26" s="1353"/>
      <c r="Y26" s="3697"/>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7"/>
      <c r="Q27" s="1341" t="str">
        <f t="shared" si="8"/>
        <v>公共配套设施</v>
      </c>
      <c r="R27" s="701" t="s">
        <v>14</v>
      </c>
      <c r="S27" s="702">
        <f>F27</f>
        <v>100</v>
      </c>
      <c r="T27" s="701" t="s">
        <v>14</v>
      </c>
      <c r="U27" s="702">
        <f>H27</f>
        <v>100</v>
      </c>
      <c r="V27" s="701" t="s">
        <v>14</v>
      </c>
      <c r="W27" s="702">
        <f>J27</f>
        <v>100</v>
      </c>
      <c r="X27" s="703"/>
      <c r="Y27" s="3697"/>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97"/>
      <c r="Q28" s="1341"/>
      <c r="R28" s="701"/>
      <c r="S28" s="702"/>
      <c r="T28" s="701"/>
      <c r="U28" s="702"/>
      <c r="V28" s="701"/>
      <c r="W28" s="702"/>
      <c r="X28" s="703"/>
      <c r="Y28" s="3697"/>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7"/>
      <c r="Q29" s="1341" t="str">
        <f t="shared" ref="Q29" si="9">B29</f>
        <v>基础设施水平</v>
      </c>
      <c r="R29" s="701" t="s">
        <v>14</v>
      </c>
      <c r="S29" s="702">
        <f>F29</f>
        <v>100</v>
      </c>
      <c r="T29" s="701" t="s">
        <v>14</v>
      </c>
      <c r="U29" s="702">
        <f>H29</f>
        <v>100</v>
      </c>
      <c r="V29" s="701" t="s">
        <v>14</v>
      </c>
      <c r="W29" s="702">
        <f>J29</f>
        <v>100</v>
      </c>
      <c r="X29" s="703"/>
      <c r="Y29" s="3697"/>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97"/>
      <c r="Q30" s="1341"/>
      <c r="R30" s="701"/>
      <c r="S30" s="702"/>
      <c r="T30" s="701"/>
      <c r="U30" s="702"/>
      <c r="V30" s="701"/>
      <c r="W30" s="702"/>
      <c r="X30" s="703"/>
      <c r="Y30" s="3697"/>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7"/>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697"/>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7"/>
      <c r="Q32" s="1350" t="str">
        <f t="shared" si="8"/>
        <v>毗邻道路的类型与等级</v>
      </c>
      <c r="R32" s="705" t="s">
        <v>14</v>
      </c>
      <c r="S32" s="706">
        <f t="shared" si="10"/>
        <v>100</v>
      </c>
      <c r="T32" s="705" t="s">
        <v>14</v>
      </c>
      <c r="U32" s="706">
        <f t="shared" si="11"/>
        <v>100</v>
      </c>
      <c r="V32" s="705" t="s">
        <v>14</v>
      </c>
      <c r="W32" s="706">
        <f t="shared" si="12"/>
        <v>100</v>
      </c>
      <c r="X32" s="1353"/>
      <c r="Y32" s="3697"/>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97"/>
      <c r="Q33" s="1350"/>
      <c r="R33" s="705"/>
      <c r="S33" s="706"/>
      <c r="T33" s="705"/>
      <c r="U33" s="706"/>
      <c r="V33" s="705"/>
      <c r="W33" s="706"/>
      <c r="X33" s="1353"/>
      <c r="Y33" s="3697"/>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7"/>
      <c r="Q34" s="1350" t="str">
        <f t="shared" si="8"/>
        <v>土地级别</v>
      </c>
      <c r="R34" s="705" t="s">
        <v>14</v>
      </c>
      <c r="S34" s="706">
        <f t="shared" si="10"/>
        <v>100</v>
      </c>
      <c r="T34" s="705" t="s">
        <v>14</v>
      </c>
      <c r="U34" s="706">
        <f t="shared" si="11"/>
        <v>100</v>
      </c>
      <c r="V34" s="705" t="s">
        <v>14</v>
      </c>
      <c r="W34" s="706">
        <f t="shared" si="12"/>
        <v>100</v>
      </c>
      <c r="X34" s="1353"/>
      <c r="Y34" s="3697"/>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7"/>
      <c r="Q35" s="1350">
        <f t="shared" si="8"/>
        <v>111</v>
      </c>
      <c r="R35" s="705" t="s">
        <v>14</v>
      </c>
      <c r="S35" s="706">
        <f t="shared" si="10"/>
        <v>100</v>
      </c>
      <c r="T35" s="705" t="s">
        <v>14</v>
      </c>
      <c r="U35" s="706">
        <f t="shared" si="11"/>
        <v>100</v>
      </c>
      <c r="V35" s="705" t="s">
        <v>14</v>
      </c>
      <c r="W35" s="706">
        <f t="shared" si="12"/>
        <v>100</v>
      </c>
      <c r="X35" s="1353"/>
      <c r="Y35" s="3697"/>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0" t="s">
        <v>1696</v>
      </c>
      <c r="Q36" s="1350">
        <f t="shared" si="8"/>
        <v>111</v>
      </c>
      <c r="R36" s="705" t="s">
        <v>14</v>
      </c>
      <c r="S36" s="706">
        <f t="shared" si="10"/>
        <v>100</v>
      </c>
      <c r="T36" s="705" t="s">
        <v>14</v>
      </c>
      <c r="U36" s="706">
        <f t="shared" si="11"/>
        <v>100</v>
      </c>
      <c r="V36" s="705" t="s">
        <v>14</v>
      </c>
      <c r="W36" s="706">
        <f t="shared" si="12"/>
        <v>100</v>
      </c>
      <c r="X36" s="1353"/>
      <c r="Y36" s="3701"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1"/>
      <c r="Q37" s="1350">
        <f t="shared" si="8"/>
        <v>111</v>
      </c>
      <c r="R37" s="708" t="s">
        <v>14</v>
      </c>
      <c r="S37" s="709">
        <f t="shared" si="10"/>
        <v>100</v>
      </c>
      <c r="T37" s="708" t="s">
        <v>14</v>
      </c>
      <c r="U37" s="709">
        <f t="shared" si="11"/>
        <v>100</v>
      </c>
      <c r="V37" s="708" t="s">
        <v>14</v>
      </c>
      <c r="W37" s="709">
        <f t="shared" si="12"/>
        <v>100</v>
      </c>
      <c r="X37" s="710"/>
      <c r="Y37" s="3701"/>
      <c r="Z37" s="711">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1"/>
      <c r="Q38" s="1350" t="str">
        <f>B38</f>
        <v>宗地面积</v>
      </c>
      <c r="R38" s="705" t="s">
        <v>14</v>
      </c>
      <c r="S38" s="706" t="e">
        <f t="shared" si="10"/>
        <v>#N/A</v>
      </c>
      <c r="T38" s="705" t="s">
        <v>14</v>
      </c>
      <c r="U38" s="706" t="e">
        <f t="shared" si="11"/>
        <v>#N/A</v>
      </c>
      <c r="V38" s="705" t="s">
        <v>14</v>
      </c>
      <c r="W38" s="706" t="e">
        <f t="shared" si="12"/>
        <v>#N/A</v>
      </c>
      <c r="X38" s="1353"/>
      <c r="Y38" s="3701"/>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1"/>
      <c r="Q39" s="1350" t="str">
        <f t="shared" ref="Q39:Q45" si="14">B39</f>
        <v>宗地形状</v>
      </c>
      <c r="R39" s="705" t="s">
        <v>14</v>
      </c>
      <c r="S39" s="706">
        <f t="shared" si="10"/>
        <v>100</v>
      </c>
      <c r="T39" s="705" t="s">
        <v>14</v>
      </c>
      <c r="U39" s="706">
        <f t="shared" si="11"/>
        <v>100</v>
      </c>
      <c r="V39" s="705" t="s">
        <v>14</v>
      </c>
      <c r="W39" s="706">
        <f t="shared" si="12"/>
        <v>100</v>
      </c>
      <c r="X39" s="1353"/>
      <c r="Y39" s="3701"/>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1"/>
      <c r="Q40" s="1350" t="str">
        <f t="shared" si="14"/>
        <v>临街宽度及深度</v>
      </c>
      <c r="R40" s="705" t="s">
        <v>14</v>
      </c>
      <c r="S40" s="706">
        <f t="shared" si="10"/>
        <v>100</v>
      </c>
      <c r="T40" s="705" t="s">
        <v>14</v>
      </c>
      <c r="U40" s="706">
        <f t="shared" si="11"/>
        <v>100</v>
      </c>
      <c r="V40" s="705" t="s">
        <v>14</v>
      </c>
      <c r="W40" s="706">
        <f t="shared" si="12"/>
        <v>100</v>
      </c>
      <c r="X40" s="1353"/>
      <c r="Y40" s="3701"/>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1"/>
      <c r="Q41" s="1350" t="str">
        <f t="shared" si="14"/>
        <v>宗地开发程度</v>
      </c>
      <c r="R41" s="701" t="s">
        <v>14</v>
      </c>
      <c r="S41" s="702">
        <f t="shared" si="10"/>
        <v>100</v>
      </c>
      <c r="T41" s="701" t="s">
        <v>14</v>
      </c>
      <c r="U41" s="702">
        <f t="shared" si="11"/>
        <v>100</v>
      </c>
      <c r="V41" s="701" t="s">
        <v>14</v>
      </c>
      <c r="W41" s="702">
        <f t="shared" si="12"/>
        <v>100</v>
      </c>
      <c r="X41" s="703"/>
      <c r="Y41" s="3701"/>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1" t="s">
        <v>1696</v>
      </c>
      <c r="Q42" s="1350" t="str">
        <f t="shared" si="14"/>
        <v>工程地质条件</v>
      </c>
      <c r="R42" s="705" t="s">
        <v>14</v>
      </c>
      <c r="S42" s="706">
        <f t="shared" si="10"/>
        <v>100</v>
      </c>
      <c r="T42" s="705" t="s">
        <v>14</v>
      </c>
      <c r="U42" s="706">
        <f t="shared" si="11"/>
        <v>100</v>
      </c>
      <c r="V42" s="705" t="s">
        <v>14</v>
      </c>
      <c r="W42" s="706">
        <f t="shared" si="12"/>
        <v>100</v>
      </c>
      <c r="X42" s="1353"/>
      <c r="Y42" s="3701"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1"/>
      <c r="Q43" s="1350">
        <f t="shared" si="14"/>
        <v>111</v>
      </c>
      <c r="R43" s="705" t="s">
        <v>14</v>
      </c>
      <c r="S43" s="706">
        <f t="shared" si="10"/>
        <v>100</v>
      </c>
      <c r="T43" s="705" t="s">
        <v>14</v>
      </c>
      <c r="U43" s="706">
        <f t="shared" si="11"/>
        <v>100</v>
      </c>
      <c r="V43" s="705" t="s">
        <v>14</v>
      </c>
      <c r="W43" s="706">
        <f t="shared" si="12"/>
        <v>100</v>
      </c>
      <c r="X43" s="1353"/>
      <c r="Y43" s="3701"/>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1"/>
      <c r="Q44" s="1350">
        <f t="shared" si="14"/>
        <v>111</v>
      </c>
      <c r="R44" s="705" t="s">
        <v>14</v>
      </c>
      <c r="S44" s="706">
        <f t="shared" si="10"/>
        <v>100</v>
      </c>
      <c r="T44" s="705" t="s">
        <v>14</v>
      </c>
      <c r="U44" s="706">
        <f t="shared" si="11"/>
        <v>100</v>
      </c>
      <c r="V44" s="705" t="s">
        <v>14</v>
      </c>
      <c r="W44" s="706">
        <f t="shared" si="12"/>
        <v>100</v>
      </c>
      <c r="X44" s="1353"/>
      <c r="Y44" s="3701"/>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1"/>
      <c r="Q45" s="1350">
        <f t="shared" si="14"/>
        <v>111</v>
      </c>
      <c r="R45" s="708" t="s">
        <v>14</v>
      </c>
      <c r="S45" s="709">
        <f t="shared" si="10"/>
        <v>100</v>
      </c>
      <c r="T45" s="708" t="s">
        <v>14</v>
      </c>
      <c r="U45" s="709">
        <f t="shared" si="11"/>
        <v>100</v>
      </c>
      <c r="V45" s="708" t="s">
        <v>14</v>
      </c>
      <c r="W45" s="709">
        <f t="shared" si="12"/>
        <v>100</v>
      </c>
      <c r="X45" s="710"/>
      <c r="Y45" s="3701"/>
      <c r="Z45" s="711">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4"/>
      <c r="L46" s="2722"/>
      <c r="M46" s="2723"/>
      <c r="N46" s="2714"/>
      <c r="O46" s="2723"/>
      <c r="P46" s="3703" t="str">
        <f>A46</f>
        <v>成交单价</v>
      </c>
      <c r="Q46" s="3703"/>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703" t="str">
        <f>A47</f>
        <v>比较价值（元/平方米）</v>
      </c>
      <c r="Q47" s="3703"/>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37" t="str">
        <f>A48</f>
        <v>估价对象XX用房的比较价值（楼面单价，元/平方米）</v>
      </c>
      <c r="Q48" s="3738"/>
      <c r="R48" s="3743" t="e">
        <f>ROUND(IF(D47="简单平均",AVERAGE(R47:W47),R47*F47+T47*H47+V47*J47),0)</f>
        <v>#DIV/0!</v>
      </c>
      <c r="S48" s="3743"/>
      <c r="T48" s="3743"/>
      <c r="U48" s="3743"/>
      <c r="V48" s="3743"/>
      <c r="W48" s="3743"/>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678" t="s">
        <v>1887</v>
      </c>
      <c r="H55" s="3744"/>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107.22</v>
      </c>
      <c r="F56" s="886" t="e">
        <f t="shared" ref="F56:F64" si="15">ROUND(B56*E56/10000,0)</f>
        <v>#DIV/0!</v>
      </c>
      <c r="G56" s="3674"/>
      <c r="H56" s="3703"/>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107.22</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2023-2</v>
      </c>
      <c r="D69" s="1180" t="str">
        <f>YEAR(D67)&amp;"-"&amp;ROUNDUP(MONTH(D67)/3,0)</f>
        <v>2023-1</v>
      </c>
      <c r="E69" s="1180" t="str">
        <f t="shared" ref="E69:O69" si="19">YEAR(E67)&amp;"-"&amp;ROUNDUP(MONTH(E67)/3,0)</f>
        <v>2022-4</v>
      </c>
      <c r="F69" s="1180" t="str">
        <f t="shared" si="19"/>
        <v>2022-3</v>
      </c>
      <c r="G69" s="1180" t="str">
        <f t="shared" si="19"/>
        <v>2022-2</v>
      </c>
      <c r="H69" s="1180" t="str">
        <f t="shared" si="19"/>
        <v>2022-1</v>
      </c>
      <c r="I69" s="1180" t="str">
        <f t="shared" si="19"/>
        <v>2021-4</v>
      </c>
      <c r="J69" s="1180" t="str">
        <f t="shared" si="19"/>
        <v>2021-3</v>
      </c>
      <c r="K69" s="1180" t="str">
        <f t="shared" si="19"/>
        <v>2021-2</v>
      </c>
      <c r="L69" s="1180" t="str">
        <f t="shared" si="19"/>
        <v>2021-1</v>
      </c>
      <c r="M69" s="1180" t="str">
        <f t="shared" si="19"/>
        <v>2020-4</v>
      </c>
      <c r="N69" s="1180" t="str">
        <f t="shared" si="19"/>
        <v>2020-3</v>
      </c>
      <c r="O69" s="1180"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1"/>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733" t="s">
        <v>1775</v>
      </c>
      <c r="Q4" s="3734"/>
      <c r="R4" s="3730" t="s">
        <v>1771</v>
      </c>
      <c r="S4" s="3731"/>
      <c r="T4" s="3730" t="s">
        <v>1772</v>
      </c>
      <c r="U4" s="3731"/>
      <c r="V4" s="3691" t="s">
        <v>1773</v>
      </c>
      <c r="W4" s="3691"/>
      <c r="X4" s="1353"/>
      <c r="Y4" s="3730" t="s">
        <v>1775</v>
      </c>
      <c r="Z4" s="3731"/>
      <c r="AA4" s="3729" t="s">
        <v>1771</v>
      </c>
      <c r="AB4" s="3657" t="s">
        <v>1772</v>
      </c>
      <c r="AC4" s="3729" t="s">
        <v>1773</v>
      </c>
    </row>
    <row r="5" spans="1:29" ht="15">
      <c r="A5" s="358"/>
      <c r="B5" s="359"/>
      <c r="C5" s="3667" t="s">
        <v>1673</v>
      </c>
      <c r="D5" s="3668"/>
      <c r="E5" s="3732" t="s">
        <v>1674</v>
      </c>
      <c r="F5" s="3666"/>
      <c r="G5" s="3667" t="s">
        <v>1675</v>
      </c>
      <c r="H5" s="3668"/>
      <c r="I5" s="3667" t="s">
        <v>1676</v>
      </c>
      <c r="J5" s="3668"/>
      <c r="K5" s="559"/>
      <c r="L5" s="2713"/>
      <c r="M5" s="2714"/>
      <c r="N5" s="2714"/>
      <c r="O5" s="2714"/>
      <c r="P5" s="3735"/>
      <c r="Q5" s="3685"/>
      <c r="R5" s="3663"/>
      <c r="S5" s="3664"/>
      <c r="T5" s="3663"/>
      <c r="U5" s="3664"/>
      <c r="V5" s="3691"/>
      <c r="W5" s="3691"/>
      <c r="X5" s="1353"/>
      <c r="Y5" s="3663"/>
      <c r="Z5" s="3664"/>
      <c r="AA5" s="3657"/>
      <c r="AB5" s="3657"/>
      <c r="AC5" s="3657"/>
    </row>
    <row r="6" spans="1:29" ht="15.75" thickBot="1">
      <c r="A6" s="360"/>
      <c r="B6" s="361"/>
      <c r="C6" s="3745" t="s">
        <v>1919</v>
      </c>
      <c r="D6" s="3746"/>
      <c r="E6" s="3747" t="s">
        <v>1919</v>
      </c>
      <c r="F6" s="3748"/>
      <c r="G6" s="3745" t="s">
        <v>1919</v>
      </c>
      <c r="H6" s="3746"/>
      <c r="I6" s="3745" t="s">
        <v>1919</v>
      </c>
      <c r="J6" s="3746"/>
      <c r="K6" s="559" t="s">
        <v>1678</v>
      </c>
      <c r="L6" s="2713"/>
      <c r="M6" s="2714"/>
      <c r="N6" s="2714"/>
      <c r="O6" s="2714"/>
      <c r="P6" s="3736"/>
      <c r="Q6" s="3687"/>
      <c r="R6" s="3663"/>
      <c r="S6" s="3664"/>
      <c r="T6" s="3688"/>
      <c r="U6" s="3689"/>
      <c r="V6" s="3691"/>
      <c r="W6" s="3691"/>
      <c r="X6" s="1353"/>
      <c r="Y6" s="3688"/>
      <c r="Z6" s="3689"/>
      <c r="AA6" s="3658"/>
      <c r="AB6" s="3658"/>
      <c r="AC6" s="3658"/>
    </row>
    <row r="7" spans="1:29" s="108" customFormat="1" ht="15.75" thickBot="1">
      <c r="A7" s="362" t="s">
        <v>1679</v>
      </c>
      <c r="B7" s="363"/>
      <c r="C7" s="364">
        <f>'数据-取费表'!B2</f>
        <v>45107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59" t="s">
        <v>1680</v>
      </c>
      <c r="Q7" s="3693"/>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9" t="s">
        <v>1683</v>
      </c>
      <c r="Q8" s="3660"/>
      <c r="R8" s="701" t="s">
        <v>14</v>
      </c>
      <c r="S8" s="702">
        <f t="shared" si="0"/>
        <v>0</v>
      </c>
      <c r="T8" s="701" t="s">
        <v>14</v>
      </c>
      <c r="U8" s="702">
        <f t="shared" si="1"/>
        <v>0</v>
      </c>
      <c r="V8" s="701" t="s">
        <v>14</v>
      </c>
      <c r="W8" s="702">
        <f t="shared" si="2"/>
        <v>0</v>
      </c>
      <c r="X8" s="703"/>
      <c r="Y8" s="3659" t="s">
        <v>1683</v>
      </c>
      <c r="Z8" s="3660"/>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03" t="s">
        <v>1686</v>
      </c>
      <c r="Q9" s="1341"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143</v>
      </c>
      <c r="G10" s="383"/>
      <c r="H10" s="127">
        <f>ROUND(100/'数据-取费表'!G16,0)</f>
        <v>143</v>
      </c>
      <c r="I10" s="383"/>
      <c r="J10" s="127">
        <f>ROUND(100/'数据-取费表'!G16,0)</f>
        <v>143</v>
      </c>
      <c r="K10" s="620"/>
      <c r="L10" s="2717"/>
      <c r="M10" s="2718"/>
      <c r="N10" s="2718"/>
      <c r="O10" s="2771"/>
      <c r="P10" s="3703"/>
      <c r="Q10" s="1341" t="str">
        <f t="shared" si="6"/>
        <v>土地使用年限（年）</v>
      </c>
      <c r="R10" s="701" t="s">
        <v>14</v>
      </c>
      <c r="S10" s="702">
        <f t="shared" si="0"/>
        <v>143</v>
      </c>
      <c r="T10" s="701" t="s">
        <v>14</v>
      </c>
      <c r="U10" s="702">
        <f t="shared" si="1"/>
        <v>143</v>
      </c>
      <c r="V10" s="701" t="s">
        <v>14</v>
      </c>
      <c r="W10" s="702">
        <f t="shared" si="2"/>
        <v>143</v>
      </c>
      <c r="X10" s="703"/>
      <c r="Y10" s="3624"/>
      <c r="Z10" s="52" t="str">
        <f t="shared" si="7"/>
        <v>土地使用年限（年）</v>
      </c>
      <c r="AA10" s="704">
        <f t="shared" si="3"/>
        <v>0.69930069930069927</v>
      </c>
      <c r="AB10" s="704">
        <f t="shared" si="4"/>
        <v>0.69930069930069927</v>
      </c>
      <c r="AC10" s="704">
        <f t="shared" si="5"/>
        <v>0.69930069930069927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3"/>
      <c r="Q11" s="1341"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3"/>
      <c r="Q12" s="1341">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3"/>
      <c r="Q13" s="1341">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3"/>
      <c r="Q14" s="1341">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6" t="s">
        <v>1691</v>
      </c>
      <c r="Q15" s="1350" t="str">
        <f t="shared" si="6"/>
        <v>产业集聚程度</v>
      </c>
      <c r="R15" s="705" t="s">
        <v>14</v>
      </c>
      <c r="S15" s="706">
        <f t="shared" si="0"/>
        <v>100</v>
      </c>
      <c r="T15" s="705" t="s">
        <v>14</v>
      </c>
      <c r="U15" s="706">
        <f t="shared" si="1"/>
        <v>100</v>
      </c>
      <c r="V15" s="705" t="s">
        <v>14</v>
      </c>
      <c r="W15" s="706">
        <f t="shared" si="2"/>
        <v>100</v>
      </c>
      <c r="X15" s="1353"/>
      <c r="Y15" s="3696"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97"/>
      <c r="Q16" s="1350"/>
      <c r="R16" s="705"/>
      <c r="S16" s="706"/>
      <c r="T16" s="705"/>
      <c r="U16" s="706"/>
      <c r="V16" s="705"/>
      <c r="W16" s="706"/>
      <c r="X16" s="1353"/>
      <c r="Y16" s="3697"/>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7"/>
      <c r="Q17" s="1350" t="str">
        <f>B17</f>
        <v>交通便捷度</v>
      </c>
      <c r="R17" s="705" t="s">
        <v>14</v>
      </c>
      <c r="S17" s="706">
        <f>F17</f>
        <v>100</v>
      </c>
      <c r="T17" s="705" t="s">
        <v>14</v>
      </c>
      <c r="U17" s="706">
        <f>H17</f>
        <v>100</v>
      </c>
      <c r="V17" s="705" t="s">
        <v>14</v>
      </c>
      <c r="W17" s="706">
        <f>J17</f>
        <v>100</v>
      </c>
      <c r="X17" s="1353"/>
      <c r="Y17" s="3697"/>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97"/>
      <c r="Q18" s="1350"/>
      <c r="R18" s="705"/>
      <c r="S18" s="706"/>
      <c r="T18" s="705"/>
      <c r="U18" s="706"/>
      <c r="V18" s="705"/>
      <c r="W18" s="706"/>
      <c r="X18" s="1353"/>
      <c r="Y18" s="3697"/>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7"/>
      <c r="Q19" s="1350" t="str">
        <f t="shared" ref="Q19:Q33" si="8">B19</f>
        <v>区域土地利用方向</v>
      </c>
      <c r="R19" s="705" t="s">
        <v>14</v>
      </c>
      <c r="S19" s="706">
        <f>F19</f>
        <v>100</v>
      </c>
      <c r="T19" s="705" t="s">
        <v>14</v>
      </c>
      <c r="U19" s="706">
        <f>H19</f>
        <v>100</v>
      </c>
      <c r="V19" s="705" t="s">
        <v>14</v>
      </c>
      <c r="W19" s="706">
        <f>J19</f>
        <v>100</v>
      </c>
      <c r="X19" s="1353"/>
      <c r="Y19" s="3697"/>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40"/>
      <c r="L20" s="2720"/>
      <c r="M20" s="2714"/>
      <c r="N20" s="2714"/>
      <c r="O20" s="2772"/>
      <c r="P20" s="3697"/>
      <c r="Q20" s="1350"/>
      <c r="R20" s="705"/>
      <c r="S20" s="706"/>
      <c r="T20" s="705"/>
      <c r="U20" s="706"/>
      <c r="V20" s="705"/>
      <c r="W20" s="706"/>
      <c r="X20" s="1353"/>
      <c r="Y20" s="3697"/>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7"/>
      <c r="Q21" s="1350" t="str">
        <f t="shared" si="8"/>
        <v>环境状况</v>
      </c>
      <c r="R21" s="705" t="s">
        <v>14</v>
      </c>
      <c r="S21" s="706">
        <f>F21</f>
        <v>100</v>
      </c>
      <c r="T21" s="705" t="s">
        <v>14</v>
      </c>
      <c r="U21" s="706">
        <f>H21</f>
        <v>100</v>
      </c>
      <c r="V21" s="705" t="s">
        <v>14</v>
      </c>
      <c r="W21" s="706">
        <f>J21</f>
        <v>100</v>
      </c>
      <c r="X21" s="1353"/>
      <c r="Y21" s="3697"/>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97"/>
      <c r="Q22" s="1350"/>
      <c r="R22" s="705"/>
      <c r="S22" s="706"/>
      <c r="T22" s="705"/>
      <c r="U22" s="706"/>
      <c r="V22" s="705"/>
      <c r="W22" s="706"/>
      <c r="X22" s="1353"/>
      <c r="Y22" s="3697"/>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7"/>
      <c r="Q23" s="1341" t="str">
        <f t="shared" si="8"/>
        <v>公共配套设施</v>
      </c>
      <c r="R23" s="701" t="s">
        <v>14</v>
      </c>
      <c r="S23" s="702">
        <f>F23</f>
        <v>100</v>
      </c>
      <c r="T23" s="701" t="s">
        <v>14</v>
      </c>
      <c r="U23" s="702">
        <f>H23</f>
        <v>100</v>
      </c>
      <c r="V23" s="701" t="s">
        <v>14</v>
      </c>
      <c r="W23" s="702">
        <f>J23</f>
        <v>100</v>
      </c>
      <c r="X23" s="703"/>
      <c r="Y23" s="3697"/>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97"/>
      <c r="Q24" s="1341"/>
      <c r="R24" s="701"/>
      <c r="S24" s="702"/>
      <c r="T24" s="701"/>
      <c r="U24" s="702"/>
      <c r="V24" s="701"/>
      <c r="W24" s="702"/>
      <c r="X24" s="703"/>
      <c r="Y24" s="3697"/>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7"/>
      <c r="Q25" s="1341" t="str">
        <f t="shared" ref="Q25" si="9">B25</f>
        <v>基础设施水平</v>
      </c>
      <c r="R25" s="701" t="s">
        <v>14</v>
      </c>
      <c r="S25" s="702">
        <f>F25</f>
        <v>100</v>
      </c>
      <c r="T25" s="701" t="s">
        <v>14</v>
      </c>
      <c r="U25" s="702">
        <f>H25</f>
        <v>100</v>
      </c>
      <c r="V25" s="701" t="s">
        <v>14</v>
      </c>
      <c r="W25" s="702">
        <f>J25</f>
        <v>100</v>
      </c>
      <c r="X25" s="703"/>
      <c r="Y25" s="3697"/>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97"/>
      <c r="Q26" s="1341"/>
      <c r="R26" s="701"/>
      <c r="S26" s="702"/>
      <c r="T26" s="701"/>
      <c r="U26" s="702"/>
      <c r="V26" s="701"/>
      <c r="W26" s="702"/>
      <c r="X26" s="703"/>
      <c r="Y26" s="369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7"/>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697"/>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7"/>
      <c r="Q28" s="1350" t="str">
        <f t="shared" si="8"/>
        <v>毗邻道路的类型与等级</v>
      </c>
      <c r="R28" s="705" t="s">
        <v>14</v>
      </c>
      <c r="S28" s="706">
        <f t="shared" si="10"/>
        <v>100</v>
      </c>
      <c r="T28" s="705" t="s">
        <v>14</v>
      </c>
      <c r="U28" s="706">
        <f t="shared" si="11"/>
        <v>100</v>
      </c>
      <c r="V28" s="705" t="s">
        <v>14</v>
      </c>
      <c r="W28" s="706">
        <f t="shared" si="12"/>
        <v>100</v>
      </c>
      <c r="X28" s="1353"/>
      <c r="Y28" s="3697"/>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97"/>
      <c r="Q29" s="1350"/>
      <c r="R29" s="705"/>
      <c r="S29" s="706"/>
      <c r="T29" s="705"/>
      <c r="U29" s="706"/>
      <c r="V29" s="705"/>
      <c r="W29" s="706"/>
      <c r="X29" s="1353"/>
      <c r="Y29" s="3697"/>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7"/>
      <c r="Q30" s="1350" t="str">
        <f t="shared" si="8"/>
        <v>土地级别</v>
      </c>
      <c r="R30" s="705" t="s">
        <v>14</v>
      </c>
      <c r="S30" s="706">
        <f t="shared" si="10"/>
        <v>100</v>
      </c>
      <c r="T30" s="705" t="s">
        <v>14</v>
      </c>
      <c r="U30" s="706">
        <f t="shared" si="11"/>
        <v>100</v>
      </c>
      <c r="V30" s="705" t="s">
        <v>14</v>
      </c>
      <c r="W30" s="706">
        <f t="shared" si="12"/>
        <v>100</v>
      </c>
      <c r="X30" s="1353"/>
      <c r="Y30" s="3697"/>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7"/>
      <c r="Q31" s="1350">
        <f t="shared" si="8"/>
        <v>111</v>
      </c>
      <c r="R31" s="705" t="s">
        <v>14</v>
      </c>
      <c r="S31" s="706">
        <f t="shared" si="10"/>
        <v>100</v>
      </c>
      <c r="T31" s="705" t="s">
        <v>14</v>
      </c>
      <c r="U31" s="706">
        <f t="shared" si="11"/>
        <v>100</v>
      </c>
      <c r="V31" s="705" t="s">
        <v>14</v>
      </c>
      <c r="W31" s="706">
        <f t="shared" si="12"/>
        <v>100</v>
      </c>
      <c r="X31" s="1353"/>
      <c r="Y31" s="3697"/>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0" t="s">
        <v>1696</v>
      </c>
      <c r="Q32" s="1350">
        <f t="shared" si="8"/>
        <v>111</v>
      </c>
      <c r="R32" s="705" t="s">
        <v>14</v>
      </c>
      <c r="S32" s="706">
        <f t="shared" si="10"/>
        <v>100</v>
      </c>
      <c r="T32" s="705" t="s">
        <v>14</v>
      </c>
      <c r="U32" s="706">
        <f t="shared" si="11"/>
        <v>100</v>
      </c>
      <c r="V32" s="705" t="s">
        <v>14</v>
      </c>
      <c r="W32" s="706">
        <f t="shared" si="12"/>
        <v>100</v>
      </c>
      <c r="X32" s="1353"/>
      <c r="Y32" s="3701"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1"/>
      <c r="Q33" s="1350">
        <f t="shared" si="8"/>
        <v>111</v>
      </c>
      <c r="R33" s="708" t="s">
        <v>14</v>
      </c>
      <c r="S33" s="709">
        <f t="shared" si="10"/>
        <v>100</v>
      </c>
      <c r="T33" s="708" t="s">
        <v>14</v>
      </c>
      <c r="U33" s="709">
        <f t="shared" si="11"/>
        <v>100</v>
      </c>
      <c r="V33" s="708" t="s">
        <v>14</v>
      </c>
      <c r="W33" s="709">
        <f t="shared" si="12"/>
        <v>100</v>
      </c>
      <c r="X33" s="710"/>
      <c r="Y33" s="3701"/>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1"/>
      <c r="Q34" s="1350" t="str">
        <f>B34</f>
        <v>宗地面积</v>
      </c>
      <c r="R34" s="705" t="s">
        <v>14</v>
      </c>
      <c r="S34" s="706" t="e">
        <f t="shared" si="10"/>
        <v>#N/A</v>
      </c>
      <c r="T34" s="705" t="s">
        <v>14</v>
      </c>
      <c r="U34" s="706" t="e">
        <f t="shared" si="11"/>
        <v>#N/A</v>
      </c>
      <c r="V34" s="705" t="s">
        <v>14</v>
      </c>
      <c r="W34" s="706" t="e">
        <f t="shared" si="12"/>
        <v>#N/A</v>
      </c>
      <c r="X34" s="1353"/>
      <c r="Y34" s="3701"/>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1"/>
      <c r="Q35" s="1350" t="str">
        <f t="shared" ref="Q35:Q40" si="14">B35</f>
        <v>宗地形状</v>
      </c>
      <c r="R35" s="705" t="s">
        <v>14</v>
      </c>
      <c r="S35" s="706">
        <f t="shared" si="10"/>
        <v>100</v>
      </c>
      <c r="T35" s="705" t="s">
        <v>14</v>
      </c>
      <c r="U35" s="706">
        <f t="shared" si="11"/>
        <v>100</v>
      </c>
      <c r="V35" s="705" t="s">
        <v>14</v>
      </c>
      <c r="W35" s="706">
        <f t="shared" si="12"/>
        <v>100</v>
      </c>
      <c r="X35" s="1353"/>
      <c r="Y35" s="3701"/>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1"/>
      <c r="Q36" s="1350" t="str">
        <f t="shared" si="14"/>
        <v>宗地开发程度</v>
      </c>
      <c r="R36" s="701" t="s">
        <v>14</v>
      </c>
      <c r="S36" s="702">
        <f t="shared" si="10"/>
        <v>100</v>
      </c>
      <c r="T36" s="701" t="s">
        <v>14</v>
      </c>
      <c r="U36" s="702">
        <f t="shared" si="11"/>
        <v>100</v>
      </c>
      <c r="V36" s="701" t="s">
        <v>14</v>
      </c>
      <c r="W36" s="702">
        <f t="shared" si="12"/>
        <v>100</v>
      </c>
      <c r="X36" s="703"/>
      <c r="Y36" s="3701"/>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1" t="s">
        <v>1696</v>
      </c>
      <c r="Q37" s="1350" t="str">
        <f t="shared" si="14"/>
        <v>工程地质条件</v>
      </c>
      <c r="R37" s="705" t="s">
        <v>14</v>
      </c>
      <c r="S37" s="706">
        <f t="shared" si="10"/>
        <v>100</v>
      </c>
      <c r="T37" s="705" t="s">
        <v>14</v>
      </c>
      <c r="U37" s="706">
        <f t="shared" si="11"/>
        <v>100</v>
      </c>
      <c r="V37" s="705" t="s">
        <v>14</v>
      </c>
      <c r="W37" s="706">
        <f t="shared" si="12"/>
        <v>100</v>
      </c>
      <c r="X37" s="1353"/>
      <c r="Y37" s="3701"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1"/>
      <c r="Q38" s="1350">
        <f t="shared" si="14"/>
        <v>111</v>
      </c>
      <c r="R38" s="705" t="s">
        <v>14</v>
      </c>
      <c r="S38" s="706">
        <f t="shared" si="10"/>
        <v>100</v>
      </c>
      <c r="T38" s="705" t="s">
        <v>14</v>
      </c>
      <c r="U38" s="706">
        <f t="shared" si="11"/>
        <v>100</v>
      </c>
      <c r="V38" s="705" t="s">
        <v>14</v>
      </c>
      <c r="W38" s="706">
        <f t="shared" si="12"/>
        <v>100</v>
      </c>
      <c r="X38" s="1353"/>
      <c r="Y38" s="3701"/>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1"/>
      <c r="Q39" s="1350">
        <f t="shared" si="14"/>
        <v>111</v>
      </c>
      <c r="R39" s="705" t="s">
        <v>14</v>
      </c>
      <c r="S39" s="706">
        <f t="shared" si="10"/>
        <v>100</v>
      </c>
      <c r="T39" s="705" t="s">
        <v>14</v>
      </c>
      <c r="U39" s="706">
        <f t="shared" si="11"/>
        <v>100</v>
      </c>
      <c r="V39" s="705" t="s">
        <v>14</v>
      </c>
      <c r="W39" s="706">
        <f t="shared" si="12"/>
        <v>100</v>
      </c>
      <c r="X39" s="1353"/>
      <c r="Y39" s="3701"/>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1"/>
      <c r="Q40" s="1350">
        <f t="shared" si="14"/>
        <v>111</v>
      </c>
      <c r="R40" s="708" t="s">
        <v>14</v>
      </c>
      <c r="S40" s="709">
        <f t="shared" si="10"/>
        <v>100</v>
      </c>
      <c r="T40" s="708" t="s">
        <v>14</v>
      </c>
      <c r="U40" s="709">
        <f t="shared" si="11"/>
        <v>100</v>
      </c>
      <c r="V40" s="708" t="s">
        <v>14</v>
      </c>
      <c r="W40" s="709">
        <f t="shared" si="12"/>
        <v>100</v>
      </c>
      <c r="X40" s="710"/>
      <c r="Y40" s="3701"/>
      <c r="Z40" s="711">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4"/>
      <c r="L41" s="2722"/>
      <c r="M41" s="2714"/>
      <c r="N41" s="2714"/>
      <c r="O41" s="2723"/>
      <c r="P41" s="3703" t="str">
        <f>A41</f>
        <v>成交单价</v>
      </c>
      <c r="Q41" s="3703"/>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703" t="str">
        <f>A42</f>
        <v>比较价值（元/平方米）</v>
      </c>
      <c r="Q42" s="3703"/>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37" t="str">
        <f>A43</f>
        <v>估价对象XX用房的比较价值（楼面单价，元/平方米）</v>
      </c>
      <c r="Q43" s="3738"/>
      <c r="R43" s="3743" t="e">
        <f>ROUND(IF(D42="简单平均",AVERAGE(R42:W42),R42*F42+T42*H42+V42*J42),0)</f>
        <v>#DIV/0!</v>
      </c>
      <c r="S43" s="3743"/>
      <c r="T43" s="3743"/>
      <c r="U43" s="3743"/>
      <c r="V43" s="3743"/>
      <c r="W43" s="3743"/>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78" t="s">
        <v>1887</v>
      </c>
      <c r="H50" s="3744"/>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107.22</v>
      </c>
      <c r="F51" s="639" t="e">
        <f t="shared" ref="F51:F60" si="15">ROUND(B51*E51/10000,0)</f>
        <v>#DIV/0!</v>
      </c>
      <c r="G51" s="3674"/>
      <c r="H51" s="3703"/>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11.01</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2023-2</v>
      </c>
      <c r="D65" s="1180" t="str">
        <f t="shared" ref="D65:O65" si="19">YEAR(D63)&amp;"-"&amp;ROUNDUP(MONTH(D63)/3,0)</f>
        <v>2023-1</v>
      </c>
      <c r="E65" s="1180" t="str">
        <f t="shared" si="19"/>
        <v>2022-4</v>
      </c>
      <c r="F65" s="1180" t="str">
        <f t="shared" si="19"/>
        <v>2022-3</v>
      </c>
      <c r="G65" s="1180" t="str">
        <f t="shared" si="19"/>
        <v>2022-2</v>
      </c>
      <c r="H65" s="1180" t="str">
        <f t="shared" si="19"/>
        <v>2022-1</v>
      </c>
      <c r="I65" s="1180" t="str">
        <f t="shared" si="19"/>
        <v>2021-4</v>
      </c>
      <c r="J65" s="1180" t="str">
        <f t="shared" si="19"/>
        <v>2021-3</v>
      </c>
      <c r="K65" s="1180" t="str">
        <f t="shared" si="19"/>
        <v>2021-2</v>
      </c>
      <c r="L65" s="1180" t="str">
        <f t="shared" si="19"/>
        <v>2021-1</v>
      </c>
      <c r="M65" s="1180" t="str">
        <f t="shared" si="19"/>
        <v>2020-4</v>
      </c>
      <c r="N65" s="1180" t="str">
        <f t="shared" si="19"/>
        <v>2020-3</v>
      </c>
      <c r="O65" s="1180"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E1" zoomScale="90" zoomScaleNormal="90" workbookViewId="0">
      <pane ySplit="24" topLeftCell="A25" activePane="bottomLeft" state="frozen"/>
      <selection activeCell="F39" sqref="F39:F48"/>
      <selection pane="bottomLeft" activeCell="R34" sqref="R3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ht="38.25">
      <c r="A2" s="984"/>
      <c r="B2" s="651" t="s">
        <v>2086</v>
      </c>
      <c r="C2" s="652" t="str">
        <f t="shared" ref="C2:L2" si="0">C3&amp;"(含)"&amp;"-"&amp;D3</f>
        <v>0(含)-300</v>
      </c>
      <c r="D2" s="653" t="str">
        <f t="shared" si="0"/>
        <v>300(含)-500</v>
      </c>
      <c r="E2" s="653" t="str">
        <f t="shared" si="0"/>
        <v>500(含)-800</v>
      </c>
      <c r="F2" s="653" t="str">
        <f t="shared" si="0"/>
        <v>800(含)-4000</v>
      </c>
      <c r="G2" s="653" t="str">
        <f t="shared" si="0"/>
        <v>4000(含)-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300</v>
      </c>
      <c r="E3" s="658">
        <v>500</v>
      </c>
      <c r="F3" s="1303">
        <v>800</v>
      </c>
      <c r="G3" s="1303">
        <v>4000</v>
      </c>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98</v>
      </c>
      <c r="D4" s="990">
        <v>100</v>
      </c>
      <c r="E4" s="990">
        <v>98</v>
      </c>
      <c r="F4" s="1307">
        <v>96</v>
      </c>
      <c r="G4" s="1307">
        <v>94</v>
      </c>
      <c r="H4" s="1307"/>
      <c r="I4" s="1307"/>
      <c r="J4" s="1307"/>
      <c r="K4" s="1307"/>
      <c r="L4" s="1307"/>
      <c r="M4" s="1308"/>
      <c r="N4" s="1308"/>
      <c r="O4" s="1307"/>
      <c r="P4" s="1307"/>
      <c r="Q4" s="1307"/>
      <c r="R4" s="1307"/>
      <c r="S4" s="1309"/>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4" t="s">
        <v>2087</v>
      </c>
      <c r="C5" s="995"/>
      <c r="D5" s="996"/>
      <c r="E5" s="996"/>
      <c r="F5" s="1310"/>
      <c r="G5" s="1310"/>
      <c r="H5" s="1310"/>
      <c r="I5" s="1310"/>
      <c r="J5" s="1310"/>
      <c r="K5" s="1310"/>
      <c r="L5" s="1311"/>
      <c r="M5" s="1312"/>
      <c r="N5" s="1312"/>
      <c r="O5" s="1310"/>
      <c r="P5" s="1310"/>
      <c r="Q5" s="1310"/>
      <c r="R5" s="1310"/>
      <c r="S5" s="1313"/>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5" t="s">
        <v>2088</v>
      </c>
      <c r="C7" s="904"/>
      <c r="D7" s="898"/>
      <c r="E7" s="898"/>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5" t="s">
        <v>2089</v>
      </c>
      <c r="C9" s="904"/>
      <c r="D9" s="898"/>
      <c r="E9" s="898"/>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4"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4"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4"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3459" t="s">
        <v>3407</v>
      </c>
      <c r="D17" s="3460" t="s">
        <v>3408</v>
      </c>
      <c r="E17" s="3460" t="s">
        <v>3409</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3461">
        <v>100</v>
      </c>
      <c r="D18" s="3462">
        <v>97</v>
      </c>
      <c r="E18" s="3462">
        <v>94</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6"/>
      <c r="AS18" s="726"/>
    </row>
    <row r="19" spans="1:45">
      <c r="A19" s="129"/>
      <c r="B19" s="159"/>
      <c r="C19" s="159"/>
      <c r="D19" s="2148" t="s">
        <v>2095</v>
      </c>
      <c r="E19" s="1338"/>
      <c r="F19" s="1338"/>
      <c r="G19" s="1338"/>
      <c r="H19" s="1057"/>
      <c r="I19" s="159"/>
      <c r="J19" s="159"/>
      <c r="K19" s="159"/>
      <c r="L19" s="159"/>
      <c r="M19" s="159"/>
      <c r="N19" s="159"/>
      <c r="O19" s="159"/>
      <c r="P19" s="159"/>
      <c r="Q19" s="159"/>
      <c r="R19" s="718"/>
      <c r="S19" s="129"/>
    </row>
    <row r="20" spans="1:45" ht="16.5" thickBot="1">
      <c r="A20" s="662" t="s">
        <v>2096</v>
      </c>
      <c r="B20" s="294">
        <f ca="1">IF(D20="——",S22,S22-F20)</f>
        <v>3098</v>
      </c>
      <c r="C20" s="159"/>
      <c r="D20" s="2149" t="s">
        <v>43</v>
      </c>
      <c r="E20" s="1339"/>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f ca="1">ROUND(B20*10000/B22,0)</f>
        <v>36379</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851.59</v>
      </c>
      <c r="C22" s="3749" t="s">
        <v>27</v>
      </c>
      <c r="D22" s="3750"/>
      <c r="E22" s="3750"/>
      <c r="F22" s="3750"/>
      <c r="G22" s="3750"/>
      <c r="H22" s="3750"/>
      <c r="I22" s="3750"/>
      <c r="J22" s="3750"/>
      <c r="K22" s="3750"/>
      <c r="L22" s="3750"/>
      <c r="M22" s="3750"/>
      <c r="N22" s="3750"/>
      <c r="O22" s="3750"/>
      <c r="P22" s="3750"/>
      <c r="Q22" s="3751"/>
      <c r="R22" s="663">
        <f ca="1">ROUND(S22*10000/B22,0)</f>
        <v>36379</v>
      </c>
      <c r="S22" s="21">
        <f ca="1">SUM(S24:S10000)</f>
        <v>3098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3460</v>
      </c>
      <c r="B24" s="665">
        <v>107.22</v>
      </c>
      <c r="C24" s="2808">
        <v>1</v>
      </c>
      <c r="D24" s="2809"/>
      <c r="E24" s="2808">
        <v>1</v>
      </c>
      <c r="F24" s="2809"/>
      <c r="G24" s="2808">
        <v>1</v>
      </c>
      <c r="H24" s="2809"/>
      <c r="I24" s="2808">
        <v>1</v>
      </c>
      <c r="J24" s="2809"/>
      <c r="K24" s="2808">
        <v>1</v>
      </c>
      <c r="L24" s="2809"/>
      <c r="M24" s="2808">
        <v>1</v>
      </c>
      <c r="N24" s="2809"/>
      <c r="O24" s="2808">
        <v>1</v>
      </c>
      <c r="P24" s="2809" t="s">
        <v>3408</v>
      </c>
      <c r="Q24" s="2808">
        <v>1</v>
      </c>
      <c r="R24" s="668">
        <f ca="1">结果表!G20</f>
        <v>36019</v>
      </c>
      <c r="S24" s="666">
        <f t="shared" ref="S24:S54" ca="1" si="11">ROUND(R24*B24/10000,0)</f>
        <v>386</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3461</v>
      </c>
      <c r="B25" s="54">
        <v>106.15</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3408</v>
      </c>
      <c r="Q25" s="21">
        <f>(SUMIF($17:$17,P25,$18:$18)-SUMIF($17:$17,$P$24,$18:$18)+100)/100</f>
        <v>1</v>
      </c>
      <c r="R25" s="663">
        <f ca="1">IF(B25="",0,ROUND($R$24*C25*E25*G25*I25*K25*M25*O25*Q25,0))</f>
        <v>36019</v>
      </c>
      <c r="S25" s="316">
        <f t="shared" ca="1" si="11"/>
        <v>382</v>
      </c>
    </row>
    <row r="26" spans="1:45">
      <c r="A26" s="150" t="s">
        <v>3462</v>
      </c>
      <c r="B26" s="54">
        <v>107.22</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t="s">
        <v>3408</v>
      </c>
      <c r="Q26" s="21">
        <f t="shared" ref="Q26:Q89" si="19">(SUMIF($17:$17,P26,$18:$18)-SUMIF($17:$17,$P$24,$18:$18)+100)/100</f>
        <v>1</v>
      </c>
      <c r="R26" s="663">
        <f t="shared" ref="R26:R89" ca="1" si="20">IF(B26="",0,ROUND($R$24*C26*E26*G26*I26*K26*M26*O26*Q26,0))</f>
        <v>36019</v>
      </c>
      <c r="S26" s="316">
        <f t="shared" ca="1" si="11"/>
        <v>386</v>
      </c>
    </row>
    <row r="27" spans="1:45">
      <c r="A27" s="150" t="s">
        <v>3463</v>
      </c>
      <c r="B27" s="54">
        <v>83.75</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t="s">
        <v>3408</v>
      </c>
      <c r="Q27" s="21">
        <f t="shared" si="19"/>
        <v>1</v>
      </c>
      <c r="R27" s="663">
        <f t="shared" ca="1" si="20"/>
        <v>36019</v>
      </c>
      <c r="S27" s="316">
        <f t="shared" ca="1" si="11"/>
        <v>302</v>
      </c>
    </row>
    <row r="28" spans="1:45">
      <c r="A28" s="150" t="s">
        <v>3464</v>
      </c>
      <c r="B28" s="54">
        <v>83.75</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t="s">
        <v>3408</v>
      </c>
      <c r="Q28" s="21">
        <f t="shared" si="19"/>
        <v>1</v>
      </c>
      <c r="R28" s="663">
        <f t="shared" ca="1" si="20"/>
        <v>36019</v>
      </c>
      <c r="S28" s="316">
        <f t="shared" ca="1" si="11"/>
        <v>302</v>
      </c>
    </row>
    <row r="29" spans="1:45">
      <c r="A29" s="150" t="s">
        <v>3465</v>
      </c>
      <c r="B29" s="54">
        <v>83.75</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t="s">
        <v>3408</v>
      </c>
      <c r="Q29" s="21">
        <f t="shared" si="19"/>
        <v>1</v>
      </c>
      <c r="R29" s="663">
        <f t="shared" ca="1" si="20"/>
        <v>36019</v>
      </c>
      <c r="S29" s="316">
        <f t="shared" ca="1" si="11"/>
        <v>302</v>
      </c>
    </row>
    <row r="30" spans="1:45">
      <c r="A30" s="150" t="s">
        <v>3466</v>
      </c>
      <c r="B30" s="54">
        <v>83.75</v>
      </c>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t="s">
        <v>3407</v>
      </c>
      <c r="Q30" s="21">
        <f t="shared" si="19"/>
        <v>1.03</v>
      </c>
      <c r="R30" s="663">
        <f t="shared" ca="1" si="20"/>
        <v>37100</v>
      </c>
      <c r="S30" s="316">
        <f t="shared" ca="1" si="11"/>
        <v>311</v>
      </c>
    </row>
    <row r="31" spans="1:45">
      <c r="A31" s="150" t="s">
        <v>3467</v>
      </c>
      <c r="B31" s="54">
        <v>106.15</v>
      </c>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t="s">
        <v>3407</v>
      </c>
      <c r="Q31" s="21">
        <f t="shared" si="19"/>
        <v>1.03</v>
      </c>
      <c r="R31" s="663">
        <f t="shared" ca="1" si="20"/>
        <v>37100</v>
      </c>
      <c r="S31" s="316">
        <f t="shared" ca="1" si="11"/>
        <v>394</v>
      </c>
    </row>
    <row r="32" spans="1:45">
      <c r="A32" s="150" t="s">
        <v>3468</v>
      </c>
      <c r="B32" s="54">
        <v>89.85</v>
      </c>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t="s">
        <v>3407</v>
      </c>
      <c r="Q32" s="21">
        <f t="shared" si="19"/>
        <v>1.03</v>
      </c>
      <c r="R32" s="663">
        <f t="shared" ca="1" si="20"/>
        <v>37100</v>
      </c>
      <c r="S32" s="316">
        <f t="shared" ca="1" si="11"/>
        <v>333</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0.03</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0.03</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0.03</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0.03</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0.03</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0.03</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0.03</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0.03</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0.03</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0.03</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0.03</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0.03</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0.03</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0.03</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0.03</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0.03</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0.03</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0.03</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0.03</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0.03</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0.03</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0.03</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0.03</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0.03</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0.03</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0.03</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0.03</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0.03</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0.03</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0.03</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0.03</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0.03</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0.03</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0.03</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0.03</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0.03</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0.03</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0.03</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0.03</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0.03</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0.03</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0.03</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0.03</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0.03</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0.03</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0.03</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0.03</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0.03</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0.03</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0.03</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0.03</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0.03</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0.03</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0.03</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0.03</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0.03</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0.03</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0.03</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0.03</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0.03</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0.03</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0.03</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0.03</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0.03</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0.03</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0.03</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0.03</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0.03</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0.03</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0.03</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0.03</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0.03</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0.03</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0.03</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0.03</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0.03</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0.03</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0.03</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0.03</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0.03</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0.03</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0.03</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0.03</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0.03</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0.03</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0.03</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0.03</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0.03</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0.03</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0.03</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0.03</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0.03</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0.03</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0.03</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0.03</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0.03</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0.03</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0.03</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0.03</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0.03</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0.03</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0.03</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0.03</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0.03</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0.03</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0.03</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0.03</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0.03</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0.03</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0.03</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0.03</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0.03</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0.03</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0.03</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0.03</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0.03</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0.03</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0.03</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0.03</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0.03</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0.03</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0.03</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0.03</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0.03</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0.03</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0.03</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0.03</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0.03</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0.03</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0.03</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0.03</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0.03</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0.03</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0.03</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0.03</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0.03</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0.03</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0.03</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0.03</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0.03</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0.03</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0.03</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0.03</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0.03</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0.03</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0.03</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0.03</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0.03</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0.03</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0.03</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0.03</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0.03</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0.03</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0.03</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0.03</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0.03</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0.03</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0.03</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0.03</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0.03</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0.03</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0.03</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0.03</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0.03</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0.03</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0.03</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0.03</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0.03</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0.03</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0.03</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0.03</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0.03</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0.03</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0.03</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0.03</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0.03</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0.03</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0.03</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0.03</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0.03</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0.03</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0.03</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0.03</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0.03</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0.03</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0.03</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0.03</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0.03</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0.03</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0.03</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0.03</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0.03</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0.03</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0.03</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0.03</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0.03</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0.03</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0.03</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0.03</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0.03</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0.03</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0.03</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0.03</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0.03</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0.03</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0.03</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0.03</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0.03</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0.03</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0.03</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0.03</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0.03</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0.03</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0.03</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0.03</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0.03</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0.03</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0.03</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0.03</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0.03</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0.03</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0.03</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0.03</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0.03</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0.03</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0.03</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0.03</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0.03</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0.03</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0.03</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0.03</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0.03</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0.03</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0.03</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0.03</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0.03</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0.03</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0.03</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0.03</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0.03</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0.03</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0.03</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0.03</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0.03</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0.03</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0.03</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0.03</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0.03</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0.03</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0.03</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0.03</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0.03</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0.03</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0.03</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0.03</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0.03</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0.03</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0.03</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0.03</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0.03</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0.03</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0.03</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0.03</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0.03</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0.03</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0.03</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0.03</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0.03</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0.03</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0.03</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0.03</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0.03</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0.03</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0.03</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0.03</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0.03</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0.03</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0.03</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0.03</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0.03</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0.03</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0.03</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0.03</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0.03</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0.03</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0.03</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0.03</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0.03</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0.03</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0.03</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0.03</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0.03</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0.03</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0.03</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0.03</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0.03</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0.03</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0.03</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0.03</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0.03</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0.03</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0.03</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0.03</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0.03</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0.03</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0.03</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0.03</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0.03</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0.03</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0.03</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0.03</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0.03</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0.03</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0.03</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0.03</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0.03</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0.03</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0.03</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0.03</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0.03</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0.03</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0.03</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0.03</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0.03</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0.03</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0.03</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0.03</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0.03</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0.03</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0.03</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0.03</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0.03</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0.03</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0.03</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0.03</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0.03</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0.03</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0.03</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0.03</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0.03</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0.03</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0.03</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0.03</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0.03</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0.03</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0.03</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0.03</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0.03</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0.03</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0.03</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0.03</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0.03</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0.03</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0.03</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0.03</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0.03</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0.03</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0.03</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0.03</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0.03</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0.03</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0.03</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0.03</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0.03</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0.03</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0.03</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0.03</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0.03</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0.03</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0.03</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0.03</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0.03</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0.03</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0.03</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0.03</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0.03</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0.03</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0.03</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0.03</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0.03</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0.03</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0.03</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0.03</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0.03</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0.03</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0.03</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0.03</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0.03</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0.03</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0.03</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0.03</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0.03</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0.03</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0.03</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0.03</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0.03</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0.03</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0.03</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0.03</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0.03</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0.03</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0.03</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0.03</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0.03</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0.03</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0.03</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0.03</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0.03</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0.03</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0.03</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0.03</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0.03</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0.03</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0.03</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0.03</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0.03</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0.03</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0.03</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0.03</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0.03</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0.03</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0.03</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0.03</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0.03</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0.03</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0.03</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0.03</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0.03</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0.03</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0.03</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0.03</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0.03</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0.03</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0.03</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0.03</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0.03</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0.03</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0.03</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0.03</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0.03</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0.03</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0.03</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0.03</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0.03</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0.03</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0.03</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0.03</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0.03</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0.03</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0.03</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0.03</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0.03</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0.03</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0.03</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0.03</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0.03</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0.03</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0.03</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0.03</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0.03</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0.03</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0.03</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0.03</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0.03</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0.03</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0.03</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0.03</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0.03</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0.03</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0.03</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0.03</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0.03</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0.03</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0.03</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0.03</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0.03</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0.03</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0.03</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0.03</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0.03</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0.03</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0.03</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0.03</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0.03</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0.03</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0.03</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0.03</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0.03</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0.03</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0.03</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0.03</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0.03</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107.22</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107.22</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Normal="80" zoomScaleSheetLayoutView="100" workbookViewId="0">
      <selection activeCell="G19" sqref="G19"/>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107.22</v>
      </c>
      <c r="E1" s="1993"/>
      <c r="F1" s="1993"/>
      <c r="G1" s="1993"/>
      <c r="H1" s="1993"/>
      <c r="I1" s="1993"/>
      <c r="J1" s="1993"/>
      <c r="K1" s="1117"/>
      <c r="L1" s="1994" t="s">
        <v>1928</v>
      </c>
      <c r="M1" s="863">
        <f>SUMPRODUCT((区片价!B5:B9=I2)*(区片价!C3:G3=E2)*(区片价!C5:G9))</f>
        <v>0</v>
      </c>
      <c r="N1" s="866">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t="s">
        <v>21</v>
      </c>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4">
        <f>SUMPRODUCT((区片价!B10:B29=I2)*(区片价!C3:G3=E2)*(区片价!C10:G29))</f>
        <v>0</v>
      </c>
      <c r="N2" s="866">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t="s">
        <v>3432</v>
      </c>
      <c r="F3" s="2002" t="s">
        <v>3433</v>
      </c>
      <c r="G3" s="752">
        <f>IF(F3="宗地容积率",'数据-汇总表'!I4,IF(F3="估价对象容积率",'数据-汇总表'!I6,'数据-汇总表'!I7))</f>
        <v>2.5</v>
      </c>
      <c r="H3" s="170" t="s">
        <v>1943</v>
      </c>
      <c r="I3" s="775">
        <v>1</v>
      </c>
      <c r="J3" s="2000" t="s">
        <v>1944</v>
      </c>
      <c r="K3" s="1117"/>
      <c r="L3" s="2001" t="s">
        <v>1945</v>
      </c>
      <c r="M3" s="864">
        <f>SUMPRODUCT((区片价!B30:B54=I2)*(区片价!C3:G3=E2)*(区片价!C30:G54))</f>
        <v>0</v>
      </c>
      <c r="N3" s="866">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62"/>
      <c r="B4" s="3763"/>
      <c r="C4" s="3763"/>
      <c r="D4" s="3764"/>
      <c r="E4" s="3764"/>
      <c r="F4" s="3764"/>
      <c r="G4" s="3764"/>
      <c r="H4" s="3764"/>
      <c r="I4" s="3764"/>
      <c r="J4" s="3765"/>
      <c r="K4" s="1117"/>
      <c r="L4" s="2001" t="s">
        <v>1946</v>
      </c>
      <c r="M4" s="864">
        <f>SUMPRODUCT((区片价!B55:B86=I2)*(区片价!C3:G3=E2)*(区片价!C55:G86))</f>
        <v>0</v>
      </c>
      <c r="N4" s="866">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3" t="e">
        <f>ROUND(IF(E2="商业",C6*C7*C17+C20,(IF(E2="住宅",C6*C13*C17+C20,IF(E2="办公",C6*C12*C17+C20,C6+C20)))),0)</f>
        <v>#DIV/0!</v>
      </c>
      <c r="D5" s="1337" t="e">
        <f>ROUND(C6*C17+C20,0)</f>
        <v>#DIV/0!</v>
      </c>
      <c r="E5" s="1337"/>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2"/>
      <c r="L6" s="2001" t="s">
        <v>1951</v>
      </c>
      <c r="M6" s="864">
        <f>SUMPRODUCT((区片价!B127:B189=I2)*(区片价!C3:G3=E2)*(区片价!C127:G189))</f>
        <v>0</v>
      </c>
      <c r="N6" s="866">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3242</v>
      </c>
      <c r="B7" s="2019" t="s">
        <v>1952</v>
      </c>
      <c r="C7" s="755">
        <f>IF(C8="不临65条商业街",1,ROUND(1+(1.6*E8+1.2*E9+0.8*E10+0.4*E11)*C9,4))</f>
        <v>1</v>
      </c>
      <c r="D7" s="2020" t="s">
        <v>1953</v>
      </c>
      <c r="E7" s="776"/>
      <c r="F7" s="2021"/>
      <c r="G7" s="2022"/>
      <c r="H7" s="2022"/>
      <c r="I7" s="2022"/>
      <c r="J7" s="2023"/>
      <c r="K7" s="1382"/>
      <c r="L7" s="2001" t="s">
        <v>1954</v>
      </c>
      <c r="M7" s="864">
        <f>SUMPRODUCT((区片价!B190:B233=I2)*(区片价!C3:G3=E2)*(区片价!C190:G233))</f>
        <v>0</v>
      </c>
      <c r="N7" s="866">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2.5</v>
      </c>
      <c r="AA7" s="1214"/>
      <c r="AB7" s="1214"/>
      <c r="AC7" s="1215"/>
      <c r="AD7" s="1216"/>
      <c r="AE7" s="1216"/>
      <c r="AF7" s="1216"/>
      <c r="AG7" s="1216"/>
      <c r="AH7" s="1216"/>
      <c r="AI7" s="1216"/>
      <c r="AJ7" s="1217"/>
    </row>
    <row r="8" spans="1:36" ht="25.5">
      <c r="A8" s="3297"/>
      <c r="B8" s="170" t="s">
        <v>1957</v>
      </c>
      <c r="C8" s="2024" t="s">
        <v>3438</v>
      </c>
      <c r="D8" s="756" t="s">
        <v>112</v>
      </c>
      <c r="E8" s="757" t="e">
        <f>ROUND(C11/E7,4)</f>
        <v>#DIV/0!</v>
      </c>
      <c r="F8" s="2025" t="s">
        <v>1958</v>
      </c>
      <c r="G8" s="2026"/>
      <c r="H8" s="2026"/>
      <c r="I8" s="2026"/>
      <c r="J8" s="2027"/>
      <c r="K8" s="1117"/>
      <c r="L8" s="2001" t="s">
        <v>1959</v>
      </c>
      <c r="M8" s="864">
        <f>SUMPRODUCT((区片价!B234:B276=I2)*(区片价!C3:G3=E2)*(区片价!C234:G276))</f>
        <v>0</v>
      </c>
      <c r="N8" s="866">
        <f>SUMPRODUCT((因素修正幅度!B234:B276=I2)*(因素修正幅度!C3:G3=E2)*(因素修正幅度!C234:G276))</f>
        <v>0</v>
      </c>
      <c r="O8" s="1117"/>
      <c r="P8" s="1117"/>
      <c r="Q8" s="1117"/>
      <c r="R8" s="1210">
        <v>7</v>
      </c>
      <c r="S8" s="1211"/>
      <c r="T8" s="3359" t="e">
        <f t="shared" si="0"/>
        <v>#DIV/0!</v>
      </c>
      <c r="U8" s="1211"/>
      <c r="V8" s="3359" t="e">
        <f t="shared" si="1"/>
        <v>#DIV/0!</v>
      </c>
      <c r="W8" s="3759" t="s">
        <v>1960</v>
      </c>
      <c r="X8" s="376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8">
        <f>SUMIF(修正!C71:C138,C8,修正!E71:E138)</f>
        <v>0</v>
      </c>
      <c r="D9" s="171" t="s">
        <v>113</v>
      </c>
      <c r="E9" s="171" t="e">
        <f>ROUND(C11/E7,4)</f>
        <v>#DIV/0!</v>
      </c>
      <c r="F9" s="2025" t="s">
        <v>1974</v>
      </c>
      <c r="G9" s="2026"/>
      <c r="H9" s="2026"/>
      <c r="I9" s="2026"/>
      <c r="J9" s="2027"/>
      <c r="K9" s="1117"/>
      <c r="L9" s="2001" t="s">
        <v>1975</v>
      </c>
      <c r="M9" s="864">
        <f>SUMPRODUCT((区片价!B277:B326=I2)*(区片价!C3:G3=E2)*(区片价!C277:G326))</f>
        <v>0</v>
      </c>
      <c r="N9" s="866">
        <f>SUMPRODUCT((因素修正幅度!B277:B326=I2)*(因素修正幅度!C3:G3=E2)*(因素修正幅度!C277:G326))</f>
        <v>0</v>
      </c>
      <c r="O9" s="1117"/>
      <c r="P9" s="1117"/>
      <c r="Q9" s="1117"/>
      <c r="R9" s="1210">
        <v>8</v>
      </c>
      <c r="S9" s="1211"/>
      <c r="T9" s="3359" t="e">
        <f t="shared" si="0"/>
        <v>#DIV/0!</v>
      </c>
      <c r="U9" s="1211"/>
      <c r="V9" s="3359" t="e">
        <f t="shared" si="1"/>
        <v>#DIV/0!</v>
      </c>
      <c r="W9" s="3761"/>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4">
        <f>SUMPRODUCT((区片价!B327:B357=I2)*(区片价!C3:G3=E2)*(区片价!C327:G357))</f>
        <v>0</v>
      </c>
      <c r="N10" s="866">
        <f>SUMPRODUCT((因素修正幅度!B327:B357=I2)*(因素修正幅度!C3:G3=E2)*(因素修正幅度!C327:G357))</f>
        <v>0</v>
      </c>
      <c r="O10" s="1117"/>
      <c r="P10" s="1117"/>
      <c r="Q10" s="1117"/>
      <c r="R10" s="1210">
        <v>9</v>
      </c>
      <c r="S10" s="1211"/>
      <c r="T10" s="3359" t="e">
        <f t="shared" si="0"/>
        <v>#DIV/0!</v>
      </c>
      <c r="U10" s="1211"/>
      <c r="V10" s="3359" t="e">
        <f t="shared" si="1"/>
        <v>#DIV/0!</v>
      </c>
      <c r="W10" s="376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7"/>
      <c r="L11" s="2001" t="s">
        <v>1981</v>
      </c>
      <c r="M11" s="864">
        <f>SUMPRODUCT((区片价!B358:B377=I2)*(区片价!C3:G3=E2)*(区片价!C358:G377))</f>
        <v>0</v>
      </c>
      <c r="N11" s="866">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v>1</v>
      </c>
      <c r="D12" s="3305" t="s">
        <v>3245</v>
      </c>
      <c r="E12" s="3306" t="s">
        <v>3246</v>
      </c>
      <c r="F12" s="3307"/>
      <c r="G12" s="3308"/>
      <c r="H12" s="3308"/>
      <c r="I12" s="3308"/>
      <c r="J12" s="3309"/>
      <c r="K12" s="1117"/>
      <c r="L12" s="2037" t="s">
        <v>1984</v>
      </c>
      <c r="M12" s="865">
        <f>SUMPRODUCT((区片价!B378:B384=I2)*(区片价!C3:G3=E2)*(区片价!C378:G384))</f>
        <v>0</v>
      </c>
      <c r="N12" s="866">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5">
        <f>ROUND(C16*D16*E16*F16*G16*H16*I16*J16,4)</f>
        <v>1</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t="s">
        <v>3383</v>
      </c>
      <c r="D15" s="2042" t="s">
        <v>3383</v>
      </c>
      <c r="E15" s="2043" t="s">
        <v>3439</v>
      </c>
      <c r="F15" s="3311" t="s">
        <v>3249</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v>1</v>
      </c>
      <c r="D16" s="3316">
        <v>1</v>
      </c>
      <c r="E16" s="3316">
        <v>1</v>
      </c>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0.93120000000000003</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66" t="s">
        <v>3259</v>
      </c>
      <c r="B20" s="167" t="s">
        <v>1994</v>
      </c>
      <c r="C20" s="3323" t="e">
        <f>ROUND(IF(F21="与级别开发程度一致",0,(G21-E21)/C21),0)</f>
        <v>#DIV/0!</v>
      </c>
      <c r="D20" s="3339" t="s">
        <v>1998</v>
      </c>
      <c r="E20" s="3340"/>
      <c r="F20" s="3772" t="s">
        <v>1995</v>
      </c>
      <c r="G20" s="3773"/>
      <c r="H20" s="3324" t="s">
        <v>3384</v>
      </c>
      <c r="I20" s="3324" t="s">
        <v>3385</v>
      </c>
      <c r="J20" s="3325" t="s">
        <v>3386</v>
      </c>
      <c r="K20" s="2045" t="s">
        <v>3387</v>
      </c>
      <c r="L20" s="2045" t="s">
        <v>3388</v>
      </c>
      <c r="M20" s="2045" t="s">
        <v>3434</v>
      </c>
      <c r="N20" s="2045" t="s">
        <v>43</v>
      </c>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67"/>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t="s">
        <v>3435</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052" t="s">
        <v>2002</v>
      </c>
      <c r="E23" s="761">
        <v>44197</v>
      </c>
      <c r="F23" s="2052" t="s">
        <v>2003</v>
      </c>
      <c r="G23" s="762">
        <f>'数据-取费表'!B2</f>
        <v>45107</v>
      </c>
      <c r="H23" s="3341" t="s">
        <v>3260</v>
      </c>
      <c r="I23" s="3342" t="str">
        <f>IF(H23="季度增幅（自定义）",SUMIF(N25:N28,E2,O25:O28),"")</f>
        <v/>
      </c>
      <c r="J23" s="3444" t="s">
        <v>3440</v>
      </c>
      <c r="K23" s="1123"/>
      <c r="L23" s="2053" t="s">
        <v>2004</v>
      </c>
      <c r="M23" s="1326">
        <f>ROUND(SUMIF(地价!B2:G2,E2,地价!B16:G16),0)</f>
        <v>350</v>
      </c>
      <c r="N23" s="2054" t="s">
        <v>2005</v>
      </c>
      <c r="O23" s="763">
        <f>ROUNDDOWN(DATEDIF(E23,G23,"M")/3,0)</f>
        <v>9</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4">
        <f>ROUND(POWER(1+G24,J24-I24)*(POWER(1+G24,I24)-1)/(POWER(1+G24,J24)-1),4)</f>
        <v>0.71989999999999998</v>
      </c>
      <c r="D24" s="2058" t="s">
        <v>2007</v>
      </c>
      <c r="E24" s="1333">
        <f>存贷款利率!E23/100</f>
        <v>4.3499999999999997E-2</v>
      </c>
      <c r="F24" s="2058" t="s">
        <v>1999</v>
      </c>
      <c r="G24" s="768">
        <f>SUMIF(M30:Q30,E2,M33:Q33)</f>
        <v>5.5E-2</v>
      </c>
      <c r="H24" s="2058" t="s">
        <v>2008</v>
      </c>
      <c r="I24" s="769">
        <f>SUMIF('数据-取费表'!C6:C15,E2,'数据-取费表'!F6:F15)/COUNTIF('数据-取费表'!C6:C15,E2)</f>
        <v>20.73</v>
      </c>
      <c r="J24" s="770">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3339</v>
      </c>
      <c r="C25" s="771">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3261</v>
      </c>
      <c r="D26" s="1350">
        <f>IF(E26=G26,F26,IF(G3&lt;10,ROUND(F26+(H26-F26)*(G3-E26)/(G26-E26),4),"——"))</f>
        <v>0</v>
      </c>
      <c r="E26" s="752">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3262</v>
      </c>
      <c r="J26" s="772"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60">
        <f>SUMIF(A47:A101,E2,B47:B101)</f>
        <v>1.0337000000000001</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5"/>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6"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f>'数据-汇总表'!F19</f>
        <v>107.22</v>
      </c>
      <c r="E33" s="773" t="e">
        <f>ROUND(C33*D33/10000,0)</f>
        <v>#DIV/0!</v>
      </c>
      <c r="F33" s="3344" t="s">
        <v>3264</v>
      </c>
      <c r="G33" s="2097"/>
      <c r="H33" s="2097"/>
      <c r="I33" s="2097"/>
      <c r="J33" s="2098"/>
      <c r="K33" s="1117"/>
      <c r="L33" s="3347" t="s">
        <v>3267</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7"/>
      <c r="L34" s="3347" t="s">
        <v>3268</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3269</v>
      </c>
      <c r="L36" s="3445">
        <f ca="1">'数据-取费表'!B40</f>
        <v>3.5499999999999997E-2</v>
      </c>
      <c r="M36" s="3356">
        <f ca="1">ROUND($L$36*(1+M31),3)</f>
        <v>4.3999999999999997E-2</v>
      </c>
      <c r="N36" s="3356">
        <f ca="1">ROUND($L$36*(1+N31),3)</f>
        <v>4.2999999999999997E-2</v>
      </c>
      <c r="O36" s="3356">
        <f ca="1">ROUND($L$36*(1+O31),3)</f>
        <v>4.1000000000000002E-2</v>
      </c>
      <c r="P36" s="3356">
        <f ca="1">ROUND($L$36*(1+P31),3)</f>
        <v>3.9E-2</v>
      </c>
      <c r="Q36" s="3356">
        <f ca="1">ROUND($L$36*(1+Q31),3)</f>
        <v>4.1000000000000002E-2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70"/>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3270</v>
      </c>
      <c r="L37" s="3355">
        <f ca="1">L36+K38</f>
        <v>4.0499999999999994E-2</v>
      </c>
      <c r="M37" s="3356">
        <f ca="1">ROUND($L$37*(1+M31),3)</f>
        <v>5.0999999999999997E-2</v>
      </c>
      <c r="N37" s="3356">
        <f t="shared" ref="N37:Q37" ca="1" si="3">ROUND($L$37*(1+N31),3)</f>
        <v>4.9000000000000002E-2</v>
      </c>
      <c r="O37" s="3356">
        <f t="shared" ca="1" si="3"/>
        <v>4.7E-2</v>
      </c>
      <c r="P37" s="3356">
        <f t="shared" ca="1" si="3"/>
        <v>4.4999999999999998E-2</v>
      </c>
      <c r="Q37" s="3356">
        <f t="shared" ca="1" si="3"/>
        <v>4.7E-2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71"/>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71"/>
      <c r="B39" s="2039" t="s">
        <v>3263</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41"/>
      <c r="E48" s="742"/>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3"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4">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5"/>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3273</v>
      </c>
      <c r="B52" s="2132">
        <f>估价对象房地状况!C19</f>
        <v>0</v>
      </c>
      <c r="C52" s="2042"/>
      <c r="D52" s="1063">
        <f t="shared" si="7"/>
        <v>0</v>
      </c>
      <c r="E52" s="745"/>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5"/>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5"/>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5"/>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5"/>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5"/>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6"/>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1.0337000000000001</v>
      </c>
      <c r="C59" s="741"/>
      <c r="D59" s="741"/>
      <c r="E59" s="742"/>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3"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t="s">
        <v>3436</v>
      </c>
      <c r="D61" s="1063">
        <f t="shared" ref="D61:D69" si="12">SUMIF($J$60:$N$60,C61,J61:N61)</f>
        <v>0</v>
      </c>
      <c r="E61" s="744">
        <f>ROUND(SUM(D61:D69),4)</f>
        <v>3.3700000000000001E-2</v>
      </c>
      <c r="F61" s="1812">
        <f>IF(E2="办公",SUMIF(L1:L12,G2,N1:N12),"——")</f>
        <v>0</v>
      </c>
      <c r="G61" s="1061">
        <v>1.5100000000000001E-2</v>
      </c>
      <c r="H61" s="1064">
        <f t="shared" ref="H61:H69" si="13">IFERROR(ROUNDDOWN($F$61*I61/2,4),"——")</f>
        <v>0</v>
      </c>
      <c r="I61" s="3365">
        <v>0.25</v>
      </c>
      <c r="J61" s="1062">
        <f t="shared" ref="J61:J69" si="14">K61+$G61</f>
        <v>3.0200000000000001E-2</v>
      </c>
      <c r="K61" s="1062">
        <f t="shared" ref="K61:K69" si="15">$L61+$G61</f>
        <v>1.5100000000000001E-2</v>
      </c>
      <c r="L61" s="1062">
        <v>0</v>
      </c>
      <c r="M61" s="1062">
        <f t="shared" ref="M61:N69" si="16">L61-$G61</f>
        <v>-1.5100000000000001E-2</v>
      </c>
      <c r="N61" s="1062">
        <f t="shared" si="16"/>
        <v>-3.0200000000000001E-2</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3428</v>
      </c>
      <c r="D62" s="1063">
        <f t="shared" si="12"/>
        <v>1.5699999999999999E-2</v>
      </c>
      <c r="E62" s="745"/>
      <c r="F62" s="1812"/>
      <c r="G62" s="1061">
        <v>1.5699999999999999E-2</v>
      </c>
      <c r="H62" s="1064">
        <f t="shared" si="13"/>
        <v>0</v>
      </c>
      <c r="I62" s="3365">
        <v>0.26</v>
      </c>
      <c r="J62" s="1062">
        <f t="shared" si="14"/>
        <v>3.1399999999999997E-2</v>
      </c>
      <c r="K62" s="1062">
        <f t="shared" si="15"/>
        <v>1.5699999999999999E-2</v>
      </c>
      <c r="L62" s="1062">
        <v>0</v>
      </c>
      <c r="M62" s="1062">
        <f t="shared" si="16"/>
        <v>-1.5699999999999999E-2</v>
      </c>
      <c r="N62" s="1062">
        <f t="shared" si="16"/>
        <v>-3.1399999999999997E-2</v>
      </c>
      <c r="AA62" s="1118"/>
      <c r="AB62" s="1118"/>
      <c r="AC62" s="1118"/>
      <c r="AD62" s="1118"/>
      <c r="AE62" s="1118"/>
      <c r="AF62" s="1118"/>
      <c r="AG62" s="1118"/>
      <c r="AH62" s="1118"/>
      <c r="AI62" s="1118"/>
      <c r="AJ62" s="1118"/>
      <c r="AK62" s="1118"/>
    </row>
    <row r="63" spans="1:37" s="1117" customFormat="1" ht="36">
      <c r="A63" s="3367" t="s">
        <v>3273</v>
      </c>
      <c r="B63" s="2132">
        <f>估价对象房地状况!C19</f>
        <v>0</v>
      </c>
      <c r="C63" s="2042" t="s">
        <v>3428</v>
      </c>
      <c r="D63" s="1063">
        <f t="shared" si="12"/>
        <v>6.6E-3</v>
      </c>
      <c r="E63" s="745"/>
      <c r="F63" s="1812"/>
      <c r="G63" s="1061">
        <v>6.6E-3</v>
      </c>
      <c r="H63" s="1064">
        <f t="shared" si="13"/>
        <v>0</v>
      </c>
      <c r="I63" s="3365">
        <v>0.11</v>
      </c>
      <c r="J63" s="1062">
        <f t="shared" si="14"/>
        <v>1.32E-2</v>
      </c>
      <c r="K63" s="1062">
        <f t="shared" si="15"/>
        <v>6.6E-3</v>
      </c>
      <c r="L63" s="1062">
        <v>0</v>
      </c>
      <c r="M63" s="1062">
        <f t="shared" si="16"/>
        <v>-6.6E-3</v>
      </c>
      <c r="N63" s="1062">
        <f t="shared" si="16"/>
        <v>-1.32E-2</v>
      </c>
      <c r="AA63" s="1118"/>
      <c r="AB63" s="1118"/>
      <c r="AC63" s="1118"/>
      <c r="AD63" s="1118"/>
      <c r="AE63" s="1118"/>
      <c r="AF63" s="1118"/>
      <c r="AG63" s="1118"/>
      <c r="AH63" s="1118"/>
      <c r="AI63" s="1118"/>
      <c r="AJ63" s="1118"/>
      <c r="AK63" s="1118"/>
    </row>
    <row r="64" spans="1:37" s="1117" customFormat="1" ht="36.75">
      <c r="A64" s="2128" t="s">
        <v>2054</v>
      </c>
      <c r="B64" s="2133" t="s">
        <v>2055</v>
      </c>
      <c r="C64" s="2042" t="s">
        <v>3428</v>
      </c>
      <c r="D64" s="1063">
        <f t="shared" si="12"/>
        <v>3.0000000000000001E-3</v>
      </c>
      <c r="E64" s="745"/>
      <c r="F64" s="1812"/>
      <c r="G64" s="1061">
        <v>3.0000000000000001E-3</v>
      </c>
      <c r="H64" s="1064">
        <f t="shared" si="13"/>
        <v>0</v>
      </c>
      <c r="I64" s="3365">
        <v>0.05</v>
      </c>
      <c r="J64" s="1062">
        <f t="shared" si="14"/>
        <v>6.0000000000000001E-3</v>
      </c>
      <c r="K64" s="1062">
        <f t="shared" si="15"/>
        <v>3.0000000000000001E-3</v>
      </c>
      <c r="L64" s="1062">
        <v>0</v>
      </c>
      <c r="M64" s="1062">
        <f t="shared" si="16"/>
        <v>-3.0000000000000001E-3</v>
      </c>
      <c r="N64" s="1062">
        <f t="shared" si="16"/>
        <v>-6.0000000000000001E-3</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3437</v>
      </c>
      <c r="D65" s="1063">
        <f t="shared" si="12"/>
        <v>-3.0000000000000001E-3</v>
      </c>
      <c r="E65" s="745"/>
      <c r="F65" s="1812"/>
      <c r="G65" s="1061">
        <v>3.0000000000000001E-3</v>
      </c>
      <c r="H65" s="1064">
        <f t="shared" si="13"/>
        <v>0</v>
      </c>
      <c r="I65" s="3365">
        <v>0.05</v>
      </c>
      <c r="J65" s="1062">
        <f t="shared" si="14"/>
        <v>6.0000000000000001E-3</v>
      </c>
      <c r="K65" s="1062">
        <f t="shared" si="15"/>
        <v>3.0000000000000001E-3</v>
      </c>
      <c r="L65" s="1062">
        <v>0</v>
      </c>
      <c r="M65" s="1062">
        <f t="shared" si="16"/>
        <v>-3.0000000000000001E-3</v>
      </c>
      <c r="N65" s="1062">
        <f t="shared" si="16"/>
        <v>-6.0000000000000001E-3</v>
      </c>
      <c r="AA65" s="1118"/>
      <c r="AB65" s="1118"/>
      <c r="AC65" s="1118"/>
      <c r="AD65" s="1118"/>
      <c r="AE65" s="1118"/>
      <c r="AF65" s="1118"/>
      <c r="AG65" s="1118"/>
      <c r="AH65" s="1118"/>
      <c r="AI65" s="1118"/>
      <c r="AJ65" s="1118"/>
      <c r="AK65" s="1118"/>
    </row>
    <row r="66" spans="1:37" s="1117" customFormat="1" ht="24">
      <c r="A66" s="2128" t="s">
        <v>2057</v>
      </c>
      <c r="B66" s="2134" t="s">
        <v>2058</v>
      </c>
      <c r="C66" s="2042" t="s">
        <v>3428</v>
      </c>
      <c r="D66" s="1063">
        <f t="shared" si="12"/>
        <v>3.5999999999999999E-3</v>
      </c>
      <c r="E66" s="745"/>
      <c r="F66" s="1812"/>
      <c r="G66" s="1061">
        <v>3.5999999999999999E-3</v>
      </c>
      <c r="H66" s="1064">
        <f t="shared" si="13"/>
        <v>0</v>
      </c>
      <c r="I66" s="3365">
        <v>0.06</v>
      </c>
      <c r="J66" s="1062">
        <f t="shared" si="14"/>
        <v>7.1999999999999998E-3</v>
      </c>
      <c r="K66" s="1062">
        <f t="shared" si="15"/>
        <v>3.5999999999999999E-3</v>
      </c>
      <c r="L66" s="1062">
        <v>0</v>
      </c>
      <c r="M66" s="1062">
        <f t="shared" si="16"/>
        <v>-3.5999999999999999E-3</v>
      </c>
      <c r="N66" s="1062">
        <f t="shared" si="16"/>
        <v>-7.1999999999999998E-3</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3428</v>
      </c>
      <c r="D67" s="1063">
        <f t="shared" si="12"/>
        <v>3.5999999999999999E-3</v>
      </c>
      <c r="E67" s="745"/>
      <c r="F67" s="1812"/>
      <c r="G67" s="1061">
        <v>3.5999999999999999E-3</v>
      </c>
      <c r="H67" s="1064">
        <f t="shared" si="13"/>
        <v>0</v>
      </c>
      <c r="I67" s="3365">
        <v>0.06</v>
      </c>
      <c r="J67" s="1062">
        <f t="shared" si="14"/>
        <v>7.1999999999999998E-3</v>
      </c>
      <c r="K67" s="1062">
        <f t="shared" si="15"/>
        <v>3.5999999999999999E-3</v>
      </c>
      <c r="L67" s="1062">
        <v>0</v>
      </c>
      <c r="M67" s="1062">
        <f t="shared" si="16"/>
        <v>-3.5999999999999999E-3</v>
      </c>
      <c r="N67" s="1062">
        <f t="shared" si="16"/>
        <v>-7.1999999999999998E-3</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3436</v>
      </c>
      <c r="D68" s="1063">
        <f t="shared" si="12"/>
        <v>0</v>
      </c>
      <c r="E68" s="745"/>
      <c r="F68" s="1812"/>
      <c r="G68" s="1061">
        <v>5.4000000000000003E-3</v>
      </c>
      <c r="H68" s="1064">
        <f t="shared" si="13"/>
        <v>0</v>
      </c>
      <c r="I68" s="3365">
        <v>0.09</v>
      </c>
      <c r="J68" s="1062">
        <f t="shared" si="14"/>
        <v>1.0800000000000001E-2</v>
      </c>
      <c r="K68" s="1062">
        <f t="shared" si="15"/>
        <v>5.4000000000000003E-3</v>
      </c>
      <c r="L68" s="1062">
        <v>0</v>
      </c>
      <c r="M68" s="1062">
        <f t="shared" si="16"/>
        <v>-5.4000000000000003E-3</v>
      </c>
      <c r="N68" s="1062">
        <f t="shared" si="16"/>
        <v>-1.0800000000000001E-2</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3428</v>
      </c>
      <c r="D69" s="1063">
        <f t="shared" si="12"/>
        <v>4.1999999999999997E-3</v>
      </c>
      <c r="E69" s="746"/>
      <c r="F69" s="1812"/>
      <c r="G69" s="1061">
        <v>4.1999999999999997E-3</v>
      </c>
      <c r="H69" s="1064">
        <f t="shared" si="13"/>
        <v>0</v>
      </c>
      <c r="I69" s="3366">
        <v>7.0000000000000007E-2</v>
      </c>
      <c r="J69" s="1062">
        <f t="shared" si="14"/>
        <v>8.3999999999999995E-3</v>
      </c>
      <c r="K69" s="1062">
        <f t="shared" si="15"/>
        <v>4.1999999999999997E-3</v>
      </c>
      <c r="L69" s="1062">
        <v>0</v>
      </c>
      <c r="M69" s="1062">
        <f t="shared" si="16"/>
        <v>-4.1999999999999997E-3</v>
      </c>
      <c r="N69" s="1062">
        <f t="shared" si="16"/>
        <v>-8.3999999999999995E-3</v>
      </c>
      <c r="AA69" s="1118"/>
      <c r="AB69" s="1118"/>
      <c r="AC69" s="1118"/>
      <c r="AD69" s="1118"/>
      <c r="AE69" s="1118"/>
      <c r="AF69" s="1118"/>
      <c r="AG69" s="1118"/>
      <c r="AH69" s="1118"/>
      <c r="AI69" s="1118"/>
      <c r="AJ69" s="1118"/>
      <c r="AK69" s="1118"/>
    </row>
    <row r="70" spans="1:37" s="1117" customFormat="1" ht="15">
      <c r="A70" s="2124" t="s">
        <v>2065</v>
      </c>
      <c r="B70" s="2125">
        <f>1+E72</f>
        <v>1</v>
      </c>
      <c r="C70" s="741"/>
      <c r="D70" s="741"/>
      <c r="E70" s="742"/>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3"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4">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7"/>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3273</v>
      </c>
      <c r="B74" s="2132">
        <f>估价对象房地状况!C19</f>
        <v>0</v>
      </c>
      <c r="C74" s="2042"/>
      <c r="D74" s="1063">
        <f t="shared" si="17"/>
        <v>0</v>
      </c>
      <c r="E74" s="747"/>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7"/>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7"/>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7"/>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7"/>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7"/>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8"/>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41"/>
      <c r="D81" s="741"/>
      <c r="E81" s="742"/>
      <c r="F81" s="2127"/>
      <c r="G81" s="3"/>
      <c r="H81" s="3"/>
      <c r="I81" s="3"/>
      <c r="J81" s="4"/>
      <c r="K81" s="4"/>
      <c r="L81" s="4"/>
      <c r="M81" s="4"/>
      <c r="N81" s="4"/>
      <c r="Z81" s="1996"/>
      <c r="AA81" s="2051"/>
      <c r="AG81" s="1119"/>
      <c r="AK81" s="2051"/>
    </row>
    <row r="82" spans="1:37" ht="24.75">
      <c r="A82" s="2128" t="s">
        <v>2044</v>
      </c>
      <c r="B82" s="1349"/>
      <c r="C82" s="1349" t="s">
        <v>2046</v>
      </c>
      <c r="D82" s="1349" t="s">
        <v>2047</v>
      </c>
      <c r="E82" s="743"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4">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7"/>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3274</v>
      </c>
      <c r="B85" s="2132">
        <f>估价对象房地状况!G17</f>
        <v>0</v>
      </c>
      <c r="C85" s="2042"/>
      <c r="D85" s="1063">
        <f t="shared" si="22"/>
        <v>0</v>
      </c>
      <c r="E85" s="747"/>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7"/>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7"/>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7"/>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7"/>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8"/>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3277</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3278</v>
      </c>
      <c r="B96" s="3383" t="s">
        <v>3289</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3279</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3280</v>
      </c>
      <c r="B98" s="3384" t="s">
        <v>3290</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3281</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3282</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3283</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8" t="s">
        <v>3298</v>
      </c>
      <c r="B103" s="3768"/>
      <c r="C103" s="3768"/>
      <c r="D103" s="3768"/>
      <c r="E103" s="3768"/>
      <c r="F103" s="3768"/>
      <c r="G103" s="3768"/>
      <c r="H103" s="3768"/>
      <c r="I103" s="3768"/>
      <c r="J103" s="3768"/>
      <c r="K103" s="3388"/>
      <c r="L103" s="3388"/>
      <c r="M103" s="3388"/>
      <c r="N103" s="3388"/>
    </row>
    <row r="104" spans="1:14">
      <c r="A104" s="3769" t="s">
        <v>3299</v>
      </c>
      <c r="B104" s="3769" t="s">
        <v>3300</v>
      </c>
      <c r="C104" s="3389" t="s">
        <v>3301</v>
      </c>
      <c r="D104" s="3390"/>
      <c r="E104" s="3390"/>
      <c r="F104" s="3390"/>
      <c r="G104" s="3390"/>
      <c r="H104" s="3390"/>
      <c r="I104" s="3390"/>
      <c r="J104" s="3391"/>
      <c r="K104" s="3392"/>
      <c r="L104" s="3392"/>
      <c r="M104" s="3392"/>
      <c r="N104" s="3392"/>
    </row>
    <row r="105" spans="1:14">
      <c r="A105" s="3769"/>
      <c r="B105" s="3769"/>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55"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6"/>
      <c r="B111" s="3393" t="s">
        <v>3272</v>
      </c>
      <c r="C111" s="3394">
        <f>$I$3</f>
        <v>1</v>
      </c>
      <c r="D111" s="3394">
        <f t="shared" ref="D111:M111" si="32">$I$3</f>
        <v>1</v>
      </c>
      <c r="E111" s="3394">
        <f t="shared" si="32"/>
        <v>1</v>
      </c>
      <c r="F111" s="3394">
        <f t="shared" si="32"/>
        <v>1</v>
      </c>
      <c r="G111" s="3394">
        <f t="shared" si="32"/>
        <v>1</v>
      </c>
      <c r="H111" s="3394">
        <f t="shared" si="32"/>
        <v>1</v>
      </c>
      <c r="I111" s="3394">
        <f t="shared" si="32"/>
        <v>1</v>
      </c>
      <c r="J111" s="3394">
        <f t="shared" si="32"/>
        <v>1</v>
      </c>
      <c r="K111" s="3394">
        <f t="shared" si="32"/>
        <v>1</v>
      </c>
      <c r="L111" s="3394">
        <f t="shared" si="32"/>
        <v>1</v>
      </c>
      <c r="M111" s="3394">
        <f t="shared" si="32"/>
        <v>1</v>
      </c>
      <c r="N111" s="3394">
        <f>$I$3</f>
        <v>1</v>
      </c>
    </row>
    <row r="112" spans="1:14">
      <c r="A112" s="3757"/>
      <c r="B112" s="3393">
        <v>6</v>
      </c>
      <c r="C112" s="3386">
        <f>(-0.5556*(C111^2)-0.2719*C111+8944)*(10^(-4))</f>
        <v>0.89431725000000006</v>
      </c>
      <c r="D112" s="3386">
        <f>(-0.5556*(D111^2)-0.2719*D111+8944)*(10^(-4))</f>
        <v>0.89431725000000006</v>
      </c>
      <c r="E112" s="3386">
        <f>(-0.7912*(E111^2)-11.3794*E111+8482)*(10^(-4))</f>
        <v>0.84698294000000007</v>
      </c>
      <c r="F112" s="3386">
        <f t="shared" ref="F112:I112" si="33">(-0.7912*(F111^2)-11.3794*F111+8482)*(10^(-4))</f>
        <v>0.84698294000000007</v>
      </c>
      <c r="G112" s="3386">
        <f t="shared" si="33"/>
        <v>0.84698294000000007</v>
      </c>
      <c r="H112" s="3386">
        <f t="shared" si="33"/>
        <v>0.84698294000000007</v>
      </c>
      <c r="I112" s="3386">
        <f t="shared" si="33"/>
        <v>0.84698294000000007</v>
      </c>
      <c r="J112" s="3386">
        <f>(-0.989*(J111^2)-63.78*J111+7771)*(10^(-4))</f>
        <v>0.77062310000000001</v>
      </c>
      <c r="K112" s="3386">
        <f t="shared" ref="K112:N112" si="34">(-0.989*(K111^2)-63.78*K111+7771)*(10^(-4))</f>
        <v>0.77062310000000001</v>
      </c>
      <c r="L112" s="3386">
        <f t="shared" si="34"/>
        <v>0.77062310000000001</v>
      </c>
      <c r="M112" s="3386">
        <f t="shared" si="34"/>
        <v>0.77062310000000001</v>
      </c>
      <c r="N112" s="3386">
        <f t="shared" si="34"/>
        <v>0.77062310000000001</v>
      </c>
    </row>
    <row r="113" spans="1:14">
      <c r="A113" s="3758" t="s">
        <v>3315</v>
      </c>
      <c r="B113" s="3758"/>
      <c r="C113" s="3758"/>
      <c r="D113" s="3758"/>
      <c r="E113" s="3758"/>
      <c r="F113" s="3758"/>
      <c r="G113" s="3758"/>
      <c r="H113" s="3758"/>
      <c r="I113" s="3758"/>
      <c r="J113" s="375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2.5</v>
      </c>
      <c r="C116" s="3398" t="s">
        <v>3317</v>
      </c>
      <c r="D116" s="3399">
        <f>SUMPRODUCT((A118:A122=F116)*(B117:M117=H116)*B118:M122)</f>
        <v>0</v>
      </c>
      <c r="E116" s="1998" t="s">
        <v>3318</v>
      </c>
      <c r="F116" s="3400" t="str">
        <f>E2</f>
        <v>办公</v>
      </c>
      <c r="G116" s="1998" t="s">
        <v>3319</v>
      </c>
      <c r="H116" s="3400">
        <f>G2</f>
        <v>0</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5">I118</f>
        <v>0.80359999999999998</v>
      </c>
      <c r="K118" s="3386">
        <f t="shared" si="35"/>
        <v>0.80359999999999998</v>
      </c>
      <c r="L118" s="3386">
        <f t="shared" si="35"/>
        <v>0.80359999999999998</v>
      </c>
      <c r="M118" s="3409">
        <f t="shared" si="35"/>
        <v>0.80359999999999998</v>
      </c>
      <c r="N118" s="3396"/>
    </row>
    <row r="119" spans="1:14">
      <c r="A119" s="3408" t="s">
        <v>3333</v>
      </c>
      <c r="B119" s="3386">
        <f>ROUND(0.993-0.0112*B116,4)</f>
        <v>0.96499999999999997</v>
      </c>
      <c r="C119" s="3386">
        <f>B119</f>
        <v>0.96499999999999997</v>
      </c>
      <c r="D119" s="3386">
        <f>ROUND(0.9415-0.0142*B116,4)</f>
        <v>0.90600000000000003</v>
      </c>
      <c r="E119" s="3386">
        <f t="shared" ref="E119:H120" si="36">D119</f>
        <v>0.90600000000000003</v>
      </c>
      <c r="F119" s="3386">
        <f t="shared" si="36"/>
        <v>0.90600000000000003</v>
      </c>
      <c r="G119" s="3386">
        <f t="shared" si="36"/>
        <v>0.90600000000000003</v>
      </c>
      <c r="H119" s="3386">
        <f t="shared" si="36"/>
        <v>0.90600000000000003</v>
      </c>
      <c r="I119" s="3386">
        <f>ROUND(0.838-0.0182*B116,4)</f>
        <v>0.79249999999999998</v>
      </c>
      <c r="J119" s="3386">
        <f t="shared" si="35"/>
        <v>0.79249999999999998</v>
      </c>
      <c r="K119" s="3386">
        <f t="shared" si="35"/>
        <v>0.79249999999999998</v>
      </c>
      <c r="L119" s="3386">
        <f t="shared" si="35"/>
        <v>0.79249999999999998</v>
      </c>
      <c r="M119" s="3409">
        <f t="shared" si="35"/>
        <v>0.79249999999999998</v>
      </c>
      <c r="N119" s="3396"/>
    </row>
    <row r="120" spans="1:14">
      <c r="A120" s="3408" t="s">
        <v>3334</v>
      </c>
      <c r="B120" s="3386">
        <f>ROUND(0.9448-0.0115*B116,4)</f>
        <v>0.91610000000000003</v>
      </c>
      <c r="C120" s="3386">
        <f>B120</f>
        <v>0.91610000000000003</v>
      </c>
      <c r="D120" s="3386">
        <f>ROUND(0.937-0.0145*B116,4)</f>
        <v>0.90080000000000005</v>
      </c>
      <c r="E120" s="3386">
        <f t="shared" si="36"/>
        <v>0.90080000000000005</v>
      </c>
      <c r="F120" s="3386">
        <f t="shared" si="36"/>
        <v>0.90080000000000005</v>
      </c>
      <c r="G120" s="3386">
        <f t="shared" si="36"/>
        <v>0.90080000000000005</v>
      </c>
      <c r="H120" s="3386">
        <f t="shared" si="36"/>
        <v>0.90080000000000005</v>
      </c>
      <c r="I120" s="3386">
        <f>ROUND(0.7965-0.0185*B116,4)</f>
        <v>0.75029999999999997</v>
      </c>
      <c r="J120" s="3386">
        <f t="shared" si="35"/>
        <v>0.75029999999999997</v>
      </c>
      <c r="K120" s="3386">
        <f t="shared" si="35"/>
        <v>0.75029999999999997</v>
      </c>
      <c r="L120" s="3386">
        <f t="shared" si="35"/>
        <v>0.75029999999999997</v>
      </c>
      <c r="M120" s="3409">
        <f t="shared" si="35"/>
        <v>0.75029999999999997</v>
      </c>
      <c r="N120" s="3396"/>
    </row>
    <row r="121" spans="1:14" ht="13.5" thickBot="1">
      <c r="A121" s="3410" t="s">
        <v>3335</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5"/>
        <v>0.54300000000000004</v>
      </c>
      <c r="K121" s="3411">
        <f t="shared" si="35"/>
        <v>0.54300000000000004</v>
      </c>
      <c r="L121" s="3411">
        <f t="shared" si="35"/>
        <v>0.54300000000000004</v>
      </c>
      <c r="M121" s="3412">
        <f t="shared" si="35"/>
        <v>0.54300000000000004</v>
      </c>
      <c r="N121" s="3396"/>
    </row>
    <row r="122" spans="1:14">
      <c r="A122" s="3413" t="s">
        <v>2615</v>
      </c>
      <c r="B122" s="3386">
        <f>ROUND(0.9404-0.0106*B116,4)</f>
        <v>0.91390000000000005</v>
      </c>
      <c r="C122" s="3386">
        <f>B122</f>
        <v>0.91390000000000005</v>
      </c>
      <c r="D122" s="3386">
        <f>ROUND(0.8955-0.0135*B116,4)</f>
        <v>0.86180000000000001</v>
      </c>
      <c r="E122" s="3386">
        <f t="shared" ref="E122:H122" si="37">D122</f>
        <v>0.86180000000000001</v>
      </c>
      <c r="F122" s="3386">
        <f t="shared" si="37"/>
        <v>0.86180000000000001</v>
      </c>
      <c r="G122" s="3386">
        <f t="shared" si="37"/>
        <v>0.86180000000000001</v>
      </c>
      <c r="H122" s="3386">
        <f t="shared" si="37"/>
        <v>0.86180000000000001</v>
      </c>
      <c r="I122" s="3386">
        <f>ROUND(0.7632-0.0166*B116,4)</f>
        <v>0.72170000000000001</v>
      </c>
      <c r="J122" s="3386">
        <f t="shared" si="35"/>
        <v>0.72170000000000001</v>
      </c>
      <c r="K122" s="3386">
        <f t="shared" si="35"/>
        <v>0.72170000000000001</v>
      </c>
      <c r="L122" s="3386">
        <f t="shared" si="35"/>
        <v>0.72170000000000001</v>
      </c>
      <c r="M122" s="3409">
        <f t="shared" si="35"/>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81" t="s">
        <v>2610</v>
      </c>
      <c r="B20" s="3774" t="s">
        <v>2631</v>
      </c>
      <c r="C20" s="3101" t="s">
        <v>2442</v>
      </c>
      <c r="D20" s="3102"/>
      <c r="E20" s="3103">
        <v>1</v>
      </c>
      <c r="F20" s="3104" t="s">
        <v>2443</v>
      </c>
      <c r="G20" s="3104"/>
    </row>
    <row r="21" spans="1:13" ht="19.5" customHeight="1">
      <c r="A21" s="3782"/>
      <c r="B21" s="3775"/>
      <c r="C21" s="3105" t="s">
        <v>2444</v>
      </c>
      <c r="D21" s="3106"/>
      <c r="E21" s="3107">
        <v>1</v>
      </c>
      <c r="F21" s="3104" t="s">
        <v>2445</v>
      </c>
      <c r="G21" s="3104"/>
    </row>
    <row r="22" spans="1:13" ht="19.5" customHeight="1">
      <c r="A22" s="3782"/>
      <c r="B22" s="3775"/>
      <c r="C22" s="3105" t="s">
        <v>2446</v>
      </c>
      <c r="D22" s="3106"/>
      <c r="E22" s="3107">
        <v>0.9</v>
      </c>
      <c r="F22" s="3104" t="s">
        <v>2447</v>
      </c>
      <c r="G22" s="3104"/>
    </row>
    <row r="23" spans="1:13" ht="19.5" customHeight="1">
      <c r="A23" s="3782"/>
      <c r="B23" s="3775"/>
      <c r="C23" s="3105" t="s">
        <v>2448</v>
      </c>
      <c r="D23" s="3106"/>
      <c r="E23" s="3107">
        <v>0.9</v>
      </c>
      <c r="F23" s="3104" t="s">
        <v>2449</v>
      </c>
      <c r="G23" s="3104"/>
    </row>
    <row r="24" spans="1:13" ht="19.5" customHeight="1">
      <c r="A24" s="3782"/>
      <c r="B24" s="3775"/>
      <c r="C24" s="3105" t="s">
        <v>2450</v>
      </c>
      <c r="D24" s="3106"/>
      <c r="E24" s="3107">
        <v>0.8</v>
      </c>
      <c r="F24" s="3104" t="s">
        <v>2451</v>
      </c>
      <c r="G24" s="3104"/>
    </row>
    <row r="25" spans="1:13" ht="19.5" customHeight="1" thickBot="1">
      <c r="A25" s="3783"/>
      <c r="B25" s="3776"/>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7" t="s">
        <v>2634</v>
      </c>
      <c r="B27" s="3774" t="s">
        <v>2615</v>
      </c>
      <c r="C27" s="3101" t="s">
        <v>2455</v>
      </c>
      <c r="D27" s="3102"/>
      <c r="E27" s="3103">
        <v>1</v>
      </c>
      <c r="F27" s="3104" t="s">
        <v>2456</v>
      </c>
      <c r="G27" s="3104"/>
    </row>
    <row r="28" spans="1:13" ht="19.5" customHeight="1">
      <c r="A28" s="3778"/>
      <c r="B28" s="3775"/>
      <c r="C28" s="3105" t="s">
        <v>2457</v>
      </c>
      <c r="D28" s="3106"/>
      <c r="E28" s="3107">
        <v>1</v>
      </c>
      <c r="F28" s="3104" t="s">
        <v>2458</v>
      </c>
      <c r="G28" s="3104"/>
    </row>
    <row r="29" spans="1:13" ht="19.5" customHeight="1">
      <c r="A29" s="3778"/>
      <c r="B29" s="3775"/>
      <c r="C29" s="3105" t="s">
        <v>2459</v>
      </c>
      <c r="D29" s="3106"/>
      <c r="E29" s="3107">
        <v>0.8</v>
      </c>
      <c r="F29" s="3104" t="s">
        <v>2460</v>
      </c>
      <c r="G29" s="3104"/>
    </row>
    <row r="30" spans="1:13" ht="19.5" customHeight="1">
      <c r="A30" s="3778"/>
      <c r="B30" s="3775"/>
      <c r="C30" s="3105" t="s">
        <v>2461</v>
      </c>
      <c r="D30" s="3106"/>
      <c r="E30" s="3107">
        <v>0.8</v>
      </c>
      <c r="F30" s="3104" t="s">
        <v>2462</v>
      </c>
      <c r="G30" s="3104"/>
    </row>
    <row r="31" spans="1:13" ht="19.5" customHeight="1">
      <c r="A31" s="3778"/>
      <c r="B31" s="3775"/>
      <c r="C31" s="3105" t="s">
        <v>2463</v>
      </c>
      <c r="D31" s="3106"/>
      <c r="E31" s="3107">
        <v>0.8</v>
      </c>
      <c r="F31" s="3104" t="s">
        <v>2464</v>
      </c>
      <c r="G31" s="3104"/>
    </row>
    <row r="32" spans="1:13" ht="19.5" customHeight="1">
      <c r="A32" s="3778"/>
      <c r="B32" s="3775"/>
      <c r="C32" s="3105" t="s">
        <v>2465</v>
      </c>
      <c r="D32" s="3106"/>
      <c r="E32" s="3107">
        <v>0.7</v>
      </c>
      <c r="F32" s="3104" t="s">
        <v>2466</v>
      </c>
      <c r="G32" s="3104"/>
    </row>
    <row r="33" spans="1:7" ht="19.5" customHeight="1">
      <c r="A33" s="3778"/>
      <c r="B33" s="3775"/>
      <c r="C33" s="3105" t="s">
        <v>2467</v>
      </c>
      <c r="D33" s="3106"/>
      <c r="E33" s="3107">
        <v>0.8</v>
      </c>
      <c r="F33" s="3104" t="s">
        <v>2468</v>
      </c>
      <c r="G33" s="3104"/>
    </row>
    <row r="34" spans="1:7" ht="19.5" customHeight="1">
      <c r="A34" s="3778"/>
      <c r="B34" s="3775"/>
      <c r="C34" s="3105" t="s">
        <v>2469</v>
      </c>
      <c r="D34" s="3106"/>
      <c r="E34" s="3107">
        <v>0.6</v>
      </c>
      <c r="F34" s="3104" t="s">
        <v>2470</v>
      </c>
      <c r="G34" s="3104"/>
    </row>
    <row r="35" spans="1:7" ht="19.5" customHeight="1">
      <c r="A35" s="3778"/>
      <c r="B35" s="3775"/>
      <c r="C35" s="3105" t="s">
        <v>2471</v>
      </c>
      <c r="D35" s="3106"/>
      <c r="E35" s="3107">
        <v>0.2</v>
      </c>
      <c r="F35" s="3104" t="s">
        <v>2472</v>
      </c>
      <c r="G35" s="3104"/>
    </row>
    <row r="36" spans="1:7" ht="19.5" customHeight="1">
      <c r="A36" s="3778"/>
      <c r="B36" s="3775"/>
      <c r="C36" s="3105" t="s">
        <v>2473</v>
      </c>
      <c r="D36" s="3106"/>
      <c r="E36" s="3107">
        <v>0.2</v>
      </c>
      <c r="F36" s="3104" t="s">
        <v>2474</v>
      </c>
      <c r="G36" s="3104"/>
    </row>
    <row r="37" spans="1:7" ht="19.5" customHeight="1">
      <c r="A37" s="3778"/>
      <c r="B37" s="3780" t="s">
        <v>2635</v>
      </c>
      <c r="C37" s="3105" t="s">
        <v>2475</v>
      </c>
      <c r="D37" s="3106"/>
      <c r="E37" s="3107">
        <v>0.6</v>
      </c>
      <c r="F37" s="3104" t="s">
        <v>2476</v>
      </c>
      <c r="G37" s="3104"/>
    </row>
    <row r="38" spans="1:7" ht="19.5" customHeight="1">
      <c r="A38" s="3778"/>
      <c r="B38" s="3775"/>
      <c r="C38" s="3105" t="s">
        <v>2477</v>
      </c>
      <c r="D38" s="3106"/>
      <c r="E38" s="3107">
        <v>0.6</v>
      </c>
      <c r="F38" s="3104" t="s">
        <v>2478</v>
      </c>
      <c r="G38" s="3104"/>
    </row>
    <row r="39" spans="1:7" ht="19.5" customHeight="1" thickBot="1">
      <c r="A39" s="3779"/>
      <c r="B39" s="3776"/>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81" t="s">
        <v>2613</v>
      </c>
      <c r="B41" s="3774" t="s">
        <v>2637</v>
      </c>
      <c r="C41" s="3101" t="s">
        <v>2482</v>
      </c>
      <c r="D41" s="3102"/>
      <c r="E41" s="3103">
        <v>1</v>
      </c>
      <c r="F41" s="3104" t="s">
        <v>2483</v>
      </c>
      <c r="G41" s="3104"/>
    </row>
    <row r="42" spans="1:7" ht="19.5" customHeight="1">
      <c r="A42" s="3782"/>
      <c r="B42" s="3775"/>
      <c r="C42" s="3105" t="s">
        <v>2484</v>
      </c>
      <c r="D42" s="3106"/>
      <c r="E42" s="3107">
        <v>1</v>
      </c>
      <c r="F42" s="3104" t="s">
        <v>2485</v>
      </c>
      <c r="G42" s="3104"/>
    </row>
    <row r="43" spans="1:7" ht="19.5" customHeight="1">
      <c r="A43" s="3782"/>
      <c r="B43" s="3784"/>
      <c r="C43" s="3105" t="s">
        <v>2486</v>
      </c>
      <c r="D43" s="3106"/>
      <c r="E43" s="3107">
        <v>1.5</v>
      </c>
      <c r="F43" s="3104" t="s">
        <v>2487</v>
      </c>
      <c r="G43" s="3104"/>
    </row>
    <row r="44" spans="1:7" ht="19.5" customHeight="1">
      <c r="A44" s="3782"/>
      <c r="B44" s="3116" t="s">
        <v>2638</v>
      </c>
      <c r="C44" s="3105" t="s">
        <v>2639</v>
      </c>
      <c r="D44" s="3106"/>
      <c r="E44" s="3107">
        <v>2</v>
      </c>
      <c r="F44" s="3104" t="s">
        <v>2488</v>
      </c>
      <c r="G44" s="3104"/>
    </row>
    <row r="45" spans="1:7" ht="19.5" customHeight="1">
      <c r="A45" s="3782"/>
      <c r="B45" s="3780" t="s">
        <v>2640</v>
      </c>
      <c r="C45" s="3105" t="s">
        <v>2489</v>
      </c>
      <c r="D45" s="3106"/>
      <c r="E45" s="3107">
        <v>1</v>
      </c>
      <c r="F45" s="3104" t="s">
        <v>2490</v>
      </c>
      <c r="G45" s="3104"/>
    </row>
    <row r="46" spans="1:7" ht="19.5" customHeight="1">
      <c r="A46" s="3782"/>
      <c r="B46" s="3775"/>
      <c r="C46" s="3105" t="s">
        <v>2491</v>
      </c>
      <c r="D46" s="3106"/>
      <c r="E46" s="3107">
        <v>1</v>
      </c>
      <c r="F46" s="3104" t="s">
        <v>2492</v>
      </c>
      <c r="G46" s="3104"/>
    </row>
    <row r="47" spans="1:7" ht="19.5" customHeight="1">
      <c r="A47" s="3782"/>
      <c r="B47" s="3775"/>
      <c r="C47" s="3105" t="s">
        <v>2493</v>
      </c>
      <c r="D47" s="3106"/>
      <c r="E47" s="3107">
        <v>1</v>
      </c>
      <c r="F47" s="3104" t="s">
        <v>2494</v>
      </c>
      <c r="G47" s="3104"/>
    </row>
    <row r="48" spans="1:7" ht="19.5" customHeight="1">
      <c r="A48" s="3782"/>
      <c r="B48" s="3775"/>
      <c r="C48" s="3105" t="s">
        <v>2495</v>
      </c>
      <c r="D48" s="3106"/>
      <c r="E48" s="3107">
        <v>1</v>
      </c>
      <c r="F48" s="3104" t="s">
        <v>2496</v>
      </c>
      <c r="G48" s="3104"/>
    </row>
    <row r="49" spans="1:7" ht="19.5" customHeight="1">
      <c r="A49" s="3782"/>
      <c r="B49" s="3775"/>
      <c r="C49" s="3105" t="s">
        <v>2497</v>
      </c>
      <c r="D49" s="3106"/>
      <c r="E49" s="3107">
        <v>1</v>
      </c>
      <c r="F49" s="3104" t="s">
        <v>2498</v>
      </c>
      <c r="G49" s="3104"/>
    </row>
    <row r="50" spans="1:7" ht="19.5" customHeight="1">
      <c r="A50" s="3782"/>
      <c r="B50" s="3775"/>
      <c r="C50" s="3105" t="s">
        <v>2499</v>
      </c>
      <c r="D50" s="3106"/>
      <c r="E50" s="3107">
        <v>1</v>
      </c>
      <c r="F50" s="3104" t="s">
        <v>2500</v>
      </c>
      <c r="G50" s="3104"/>
    </row>
    <row r="51" spans="1:7" ht="19.5" customHeight="1" thickBot="1">
      <c r="A51" s="3783"/>
      <c r="B51" s="3776"/>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80" t="s">
        <v>2654</v>
      </c>
      <c r="C73" s="3090" t="s">
        <v>2655</v>
      </c>
      <c r="D73" s="3090" t="s">
        <v>2656</v>
      </c>
      <c r="E73" s="3116">
        <v>0.2</v>
      </c>
      <c r="F73" s="3116">
        <v>25</v>
      </c>
    </row>
    <row r="74" spans="1:7" ht="24">
      <c r="A74" s="3116">
        <v>2</v>
      </c>
      <c r="B74" s="3775"/>
      <c r="C74" s="3090" t="s">
        <v>2657</v>
      </c>
      <c r="D74" s="3090" t="s">
        <v>2658</v>
      </c>
      <c r="E74" s="3116">
        <v>0.2</v>
      </c>
      <c r="F74" s="3116">
        <v>25</v>
      </c>
    </row>
    <row r="75" spans="1:7" ht="24">
      <c r="A75" s="3116">
        <v>3</v>
      </c>
      <c r="B75" s="3775"/>
      <c r="C75" s="3090" t="s">
        <v>2659</v>
      </c>
      <c r="D75" s="3090" t="s">
        <v>2660</v>
      </c>
      <c r="E75" s="3116">
        <v>0.2</v>
      </c>
      <c r="F75" s="3116">
        <v>25</v>
      </c>
    </row>
    <row r="76" spans="1:7" ht="13.5">
      <c r="A76" s="3116">
        <v>4</v>
      </c>
      <c r="B76" s="3775"/>
      <c r="C76" s="3090" t="s">
        <v>2661</v>
      </c>
      <c r="D76" s="3090" t="s">
        <v>2662</v>
      </c>
      <c r="E76" s="3116">
        <v>0.15</v>
      </c>
      <c r="F76" s="3116">
        <v>20</v>
      </c>
    </row>
    <row r="77" spans="1:7" ht="24">
      <c r="A77" s="3116">
        <v>5</v>
      </c>
      <c r="B77" s="3775"/>
      <c r="C77" s="3090" t="s">
        <v>2663</v>
      </c>
      <c r="D77" s="3090" t="s">
        <v>2664</v>
      </c>
      <c r="E77" s="3116">
        <v>0.15</v>
      </c>
      <c r="F77" s="3116">
        <v>20</v>
      </c>
    </row>
    <row r="78" spans="1:7" ht="24">
      <c r="A78" s="3116">
        <v>6</v>
      </c>
      <c r="B78" s="3775"/>
      <c r="C78" s="3090" t="s">
        <v>2665</v>
      </c>
      <c r="D78" s="3090" t="s">
        <v>2666</v>
      </c>
      <c r="E78" s="3116">
        <v>0.15</v>
      </c>
      <c r="F78" s="3116">
        <v>20</v>
      </c>
    </row>
    <row r="79" spans="1:7" ht="24">
      <c r="A79" s="3116">
        <v>7</v>
      </c>
      <c r="B79" s="3775"/>
      <c r="C79" s="3090" t="s">
        <v>2667</v>
      </c>
      <c r="D79" s="3090" t="s">
        <v>2668</v>
      </c>
      <c r="E79" s="3116">
        <v>0.15</v>
      </c>
      <c r="F79" s="3116">
        <v>20</v>
      </c>
    </row>
    <row r="80" spans="1:7" ht="24">
      <c r="A80" s="3116">
        <v>8</v>
      </c>
      <c r="B80" s="3775"/>
      <c r="C80" s="3090" t="s">
        <v>2669</v>
      </c>
      <c r="D80" s="3090" t="s">
        <v>2670</v>
      </c>
      <c r="E80" s="3116">
        <v>0.1</v>
      </c>
      <c r="F80" s="3116">
        <v>15</v>
      </c>
    </row>
    <row r="81" spans="1:6" ht="24">
      <c r="A81" s="3116">
        <v>9</v>
      </c>
      <c r="B81" s="3775"/>
      <c r="C81" s="3090" t="s">
        <v>2671</v>
      </c>
      <c r="D81" s="3090" t="s">
        <v>2672</v>
      </c>
      <c r="E81" s="3116">
        <v>0.1</v>
      </c>
      <c r="F81" s="3116">
        <v>15</v>
      </c>
    </row>
    <row r="82" spans="1:6" ht="24">
      <c r="A82" s="3116">
        <v>10</v>
      </c>
      <c r="B82" s="3775"/>
      <c r="C82" s="3090" t="s">
        <v>2673</v>
      </c>
      <c r="D82" s="3090" t="s">
        <v>2674</v>
      </c>
      <c r="E82" s="3116">
        <v>0.1</v>
      </c>
      <c r="F82" s="3116">
        <v>15</v>
      </c>
    </row>
    <row r="83" spans="1:6" ht="24">
      <c r="A83" s="3116">
        <v>11</v>
      </c>
      <c r="B83" s="3775"/>
      <c r="C83" s="3090" t="s">
        <v>2675</v>
      </c>
      <c r="D83" s="3090" t="s">
        <v>2676</v>
      </c>
      <c r="E83" s="3116">
        <v>0.1</v>
      </c>
      <c r="F83" s="3116">
        <v>15</v>
      </c>
    </row>
    <row r="84" spans="1:6" ht="24">
      <c r="A84" s="3116">
        <v>12</v>
      </c>
      <c r="B84" s="3775"/>
      <c r="C84" s="3090" t="s">
        <v>2677</v>
      </c>
      <c r="D84" s="3090" t="s">
        <v>2678</v>
      </c>
      <c r="E84" s="3116">
        <v>0.1</v>
      </c>
      <c r="F84" s="3116">
        <v>15</v>
      </c>
    </row>
    <row r="85" spans="1:6" ht="13.5">
      <c r="A85" s="3116">
        <v>13</v>
      </c>
      <c r="B85" s="3775"/>
      <c r="C85" s="3090" t="s">
        <v>2679</v>
      </c>
      <c r="D85" s="3090" t="s">
        <v>2680</v>
      </c>
      <c r="E85" s="3116">
        <v>0.1</v>
      </c>
      <c r="F85" s="3116">
        <v>15</v>
      </c>
    </row>
    <row r="86" spans="1:6" ht="13.5">
      <c r="A86" s="3116">
        <v>14</v>
      </c>
      <c r="B86" s="3775"/>
      <c r="C86" s="3090" t="s">
        <v>2681</v>
      </c>
      <c r="D86" s="3090" t="s">
        <v>2682</v>
      </c>
      <c r="E86" s="3116">
        <v>0.1</v>
      </c>
      <c r="F86" s="3116">
        <v>15</v>
      </c>
    </row>
    <row r="87" spans="1:6" ht="13.5">
      <c r="A87" s="3116">
        <v>15</v>
      </c>
      <c r="B87" s="3775"/>
      <c r="C87" s="3090" t="s">
        <v>2683</v>
      </c>
      <c r="D87" s="3090" t="s">
        <v>2684</v>
      </c>
      <c r="E87" s="3116">
        <v>0.1</v>
      </c>
      <c r="F87" s="3116">
        <v>15</v>
      </c>
    </row>
    <row r="88" spans="1:6" ht="24">
      <c r="A88" s="3116">
        <v>16</v>
      </c>
      <c r="B88" s="3775"/>
      <c r="C88" s="3090" t="s">
        <v>2685</v>
      </c>
      <c r="D88" s="3090" t="s">
        <v>2686</v>
      </c>
      <c r="E88" s="3116">
        <v>0.1</v>
      </c>
      <c r="F88" s="3116">
        <v>15</v>
      </c>
    </row>
    <row r="89" spans="1:6" ht="24">
      <c r="A89" s="3116">
        <v>17</v>
      </c>
      <c r="B89" s="3784"/>
      <c r="C89" s="3090" t="s">
        <v>2687</v>
      </c>
      <c r="D89" s="3090" t="s">
        <v>2688</v>
      </c>
      <c r="E89" s="3116">
        <v>0.1</v>
      </c>
      <c r="F89" s="3116">
        <v>15</v>
      </c>
    </row>
    <row r="90" spans="1:6" ht="13.5">
      <c r="A90" s="3116">
        <v>18</v>
      </c>
      <c r="B90" s="3780" t="s">
        <v>2689</v>
      </c>
      <c r="C90" s="3090" t="s">
        <v>2690</v>
      </c>
      <c r="D90" s="3090" t="s">
        <v>2691</v>
      </c>
      <c r="E90" s="3116">
        <v>0.2</v>
      </c>
      <c r="F90" s="3116">
        <v>25</v>
      </c>
    </row>
    <row r="91" spans="1:6" ht="24">
      <c r="A91" s="3116">
        <v>19</v>
      </c>
      <c r="B91" s="3775"/>
      <c r="C91" s="3090" t="s">
        <v>2692</v>
      </c>
      <c r="D91" s="3090" t="s">
        <v>2693</v>
      </c>
      <c r="E91" s="3116">
        <v>0.2</v>
      </c>
      <c r="F91" s="3116">
        <v>25</v>
      </c>
    </row>
    <row r="92" spans="1:6" ht="13.5">
      <c r="A92" s="3116">
        <v>20</v>
      </c>
      <c r="B92" s="3775"/>
      <c r="C92" s="3090" t="s">
        <v>2694</v>
      </c>
      <c r="D92" s="3090" t="s">
        <v>2695</v>
      </c>
      <c r="E92" s="3116">
        <v>0.15</v>
      </c>
      <c r="F92" s="3116">
        <v>20</v>
      </c>
    </row>
    <row r="93" spans="1:6" ht="13.5">
      <c r="A93" s="3116">
        <v>21</v>
      </c>
      <c r="B93" s="3775"/>
      <c r="C93" s="3090" t="s">
        <v>2696</v>
      </c>
      <c r="D93" s="3090" t="s">
        <v>2697</v>
      </c>
      <c r="E93" s="3116">
        <v>0.15</v>
      </c>
      <c r="F93" s="3116">
        <v>20</v>
      </c>
    </row>
    <row r="94" spans="1:6" ht="13.5">
      <c r="A94" s="3116">
        <v>22</v>
      </c>
      <c r="B94" s="3775"/>
      <c r="C94" s="3090" t="s">
        <v>2698</v>
      </c>
      <c r="D94" s="3090" t="s">
        <v>2699</v>
      </c>
      <c r="E94" s="3116">
        <v>0.15</v>
      </c>
      <c r="F94" s="3116">
        <v>20</v>
      </c>
    </row>
    <row r="95" spans="1:6" ht="36">
      <c r="A95" s="3116">
        <v>23</v>
      </c>
      <c r="B95" s="3775"/>
      <c r="C95" s="3090" t="s">
        <v>2700</v>
      </c>
      <c r="D95" s="3090" t="s">
        <v>2701</v>
      </c>
      <c r="E95" s="3116">
        <v>0.15</v>
      </c>
      <c r="F95" s="3116">
        <v>20</v>
      </c>
    </row>
    <row r="96" spans="1:6" ht="13.5">
      <c r="A96" s="3116">
        <v>24</v>
      </c>
      <c r="B96" s="3775"/>
      <c r="C96" s="3090" t="s">
        <v>2702</v>
      </c>
      <c r="D96" s="3090" t="s">
        <v>2703</v>
      </c>
      <c r="E96" s="3116">
        <v>0.1</v>
      </c>
      <c r="F96" s="3116">
        <v>15</v>
      </c>
    </row>
    <row r="97" spans="1:6" ht="13.5">
      <c r="A97" s="3116">
        <v>25</v>
      </c>
      <c r="B97" s="3775"/>
      <c r="C97" s="3090" t="s">
        <v>2704</v>
      </c>
      <c r="D97" s="3090" t="s">
        <v>2705</v>
      </c>
      <c r="E97" s="3116">
        <v>0.1</v>
      </c>
      <c r="F97" s="3116">
        <v>15</v>
      </c>
    </row>
    <row r="98" spans="1:6" ht="24">
      <c r="A98" s="3116">
        <v>26</v>
      </c>
      <c r="B98" s="3775"/>
      <c r="C98" s="3090" t="s">
        <v>2706</v>
      </c>
      <c r="D98" s="3090" t="s">
        <v>2707</v>
      </c>
      <c r="E98" s="3116">
        <v>0.1</v>
      </c>
      <c r="F98" s="3116">
        <v>15</v>
      </c>
    </row>
    <row r="99" spans="1:6" ht="24">
      <c r="A99" s="3116">
        <v>27</v>
      </c>
      <c r="B99" s="3775"/>
      <c r="C99" s="3090" t="s">
        <v>2708</v>
      </c>
      <c r="D99" s="3090" t="s">
        <v>2709</v>
      </c>
      <c r="E99" s="3116">
        <v>0.1</v>
      </c>
      <c r="F99" s="3116">
        <v>15</v>
      </c>
    </row>
    <row r="100" spans="1:6" ht="13.5">
      <c r="A100" s="3116">
        <v>28</v>
      </c>
      <c r="B100" s="3775"/>
      <c r="C100" s="3090" t="s">
        <v>2710</v>
      </c>
      <c r="D100" s="3090" t="s">
        <v>2711</v>
      </c>
      <c r="E100" s="3116">
        <v>0.1</v>
      </c>
      <c r="F100" s="3116">
        <v>15</v>
      </c>
    </row>
    <row r="101" spans="1:6" ht="13.5">
      <c r="A101" s="3116">
        <v>29</v>
      </c>
      <c r="B101" s="3775"/>
      <c r="C101" s="3090" t="s">
        <v>2712</v>
      </c>
      <c r="D101" s="3090" t="s">
        <v>2713</v>
      </c>
      <c r="E101" s="3116">
        <v>0.1</v>
      </c>
      <c r="F101" s="3116">
        <v>15</v>
      </c>
    </row>
    <row r="102" spans="1:6" ht="13.5">
      <c r="A102" s="3116">
        <v>30</v>
      </c>
      <c r="B102" s="3775"/>
      <c r="C102" s="3090" t="s">
        <v>2714</v>
      </c>
      <c r="D102" s="3090" t="s">
        <v>2715</v>
      </c>
      <c r="E102" s="3116">
        <v>0.1</v>
      </c>
      <c r="F102" s="3116">
        <v>15</v>
      </c>
    </row>
    <row r="103" spans="1:6" ht="24">
      <c r="A103" s="3116">
        <v>31</v>
      </c>
      <c r="B103" s="3775"/>
      <c r="C103" s="3090" t="s">
        <v>2716</v>
      </c>
      <c r="D103" s="3090" t="s">
        <v>2717</v>
      </c>
      <c r="E103" s="3116">
        <v>0.1</v>
      </c>
      <c r="F103" s="3116">
        <v>15</v>
      </c>
    </row>
    <row r="104" spans="1:6" ht="24">
      <c r="A104" s="3116">
        <v>32</v>
      </c>
      <c r="B104" s="3775"/>
      <c r="C104" s="3090" t="s">
        <v>2718</v>
      </c>
      <c r="D104" s="3090" t="s">
        <v>2719</v>
      </c>
      <c r="E104" s="3116">
        <v>0.1</v>
      </c>
      <c r="F104" s="3116">
        <v>15</v>
      </c>
    </row>
    <row r="105" spans="1:6" ht="24">
      <c r="A105" s="3116">
        <v>33</v>
      </c>
      <c r="B105" s="3775"/>
      <c r="C105" s="3090" t="s">
        <v>2720</v>
      </c>
      <c r="D105" s="3090" t="s">
        <v>2721</v>
      </c>
      <c r="E105" s="3116">
        <v>0.1</v>
      </c>
      <c r="F105" s="3116">
        <v>15</v>
      </c>
    </row>
    <row r="106" spans="1:6" ht="24">
      <c r="A106" s="3116">
        <v>34</v>
      </c>
      <c r="B106" s="3784"/>
      <c r="C106" s="3090" t="s">
        <v>2722</v>
      </c>
      <c r="D106" s="3090" t="s">
        <v>2723</v>
      </c>
      <c r="E106" s="3116">
        <v>0.1</v>
      </c>
      <c r="F106" s="3116">
        <v>15</v>
      </c>
    </row>
    <row r="107" spans="1:6" ht="24">
      <c r="A107" s="3116">
        <v>35</v>
      </c>
      <c r="B107" s="3780" t="s">
        <v>2724</v>
      </c>
      <c r="C107" s="3116" t="s">
        <v>2725</v>
      </c>
      <c r="D107" s="3090" t="s">
        <v>2726</v>
      </c>
      <c r="E107" s="3116">
        <v>0.15</v>
      </c>
      <c r="F107" s="3116">
        <v>20</v>
      </c>
    </row>
    <row r="108" spans="1:6" ht="13.5">
      <c r="A108" s="3116">
        <v>36</v>
      </c>
      <c r="B108" s="3775"/>
      <c r="C108" s="3116" t="s">
        <v>2727</v>
      </c>
      <c r="D108" s="3090" t="s">
        <v>2728</v>
      </c>
      <c r="E108" s="3116">
        <v>0.15</v>
      </c>
      <c r="F108" s="3116">
        <v>20</v>
      </c>
    </row>
    <row r="109" spans="1:6" ht="13.5">
      <c r="A109" s="3116">
        <v>37</v>
      </c>
      <c r="B109" s="3775"/>
      <c r="C109" s="3116" t="s">
        <v>2729</v>
      </c>
      <c r="D109" s="3090" t="s">
        <v>2730</v>
      </c>
      <c r="E109" s="3116">
        <v>0.15</v>
      </c>
      <c r="F109" s="3116">
        <v>20</v>
      </c>
    </row>
    <row r="110" spans="1:6" ht="13.5">
      <c r="A110" s="3116">
        <v>38</v>
      </c>
      <c r="B110" s="3775"/>
      <c r="C110" s="3116" t="s">
        <v>2731</v>
      </c>
      <c r="D110" s="3090" t="s">
        <v>2732</v>
      </c>
      <c r="E110" s="3116">
        <v>0.1</v>
      </c>
      <c r="F110" s="3116">
        <v>15</v>
      </c>
    </row>
    <row r="111" spans="1:6" ht="24">
      <c r="A111" s="3116">
        <v>39</v>
      </c>
      <c r="B111" s="3775"/>
      <c r="C111" s="3116" t="s">
        <v>2733</v>
      </c>
      <c r="D111" s="3090" t="s">
        <v>2734</v>
      </c>
      <c r="E111" s="3116">
        <v>0.1</v>
      </c>
      <c r="F111" s="3116">
        <v>15</v>
      </c>
    </row>
    <row r="112" spans="1:6" ht="24">
      <c r="A112" s="3116">
        <v>40</v>
      </c>
      <c r="B112" s="3784"/>
      <c r="C112" s="3116" t="s">
        <v>2735</v>
      </c>
      <c r="D112" s="3090" t="s">
        <v>2736</v>
      </c>
      <c r="E112" s="3116">
        <v>0.1</v>
      </c>
      <c r="F112" s="3116">
        <v>15</v>
      </c>
    </row>
    <row r="113" spans="1:6" ht="13.5">
      <c r="A113" s="3116">
        <v>41</v>
      </c>
      <c r="B113" s="3785" t="s">
        <v>2737</v>
      </c>
      <c r="C113" s="3116" t="s">
        <v>2738</v>
      </c>
      <c r="D113" s="3090" t="s">
        <v>2739</v>
      </c>
      <c r="E113" s="3116">
        <v>0.1</v>
      </c>
      <c r="F113" s="3116">
        <v>15</v>
      </c>
    </row>
    <row r="114" spans="1:6" ht="13.5">
      <c r="A114" s="3116">
        <v>42</v>
      </c>
      <c r="B114" s="3785"/>
      <c r="C114" s="3116" t="s">
        <v>2740</v>
      </c>
      <c r="D114" s="3090" t="s">
        <v>2741</v>
      </c>
      <c r="E114" s="3116">
        <v>0.1</v>
      </c>
      <c r="F114" s="3116">
        <v>15</v>
      </c>
    </row>
    <row r="115" spans="1:6" ht="24">
      <c r="A115" s="3116">
        <v>43</v>
      </c>
      <c r="B115" s="3785"/>
      <c r="C115" s="3116" t="s">
        <v>2742</v>
      </c>
      <c r="D115" s="3090" t="s">
        <v>2743</v>
      </c>
      <c r="E115" s="3116">
        <v>0.1</v>
      </c>
      <c r="F115" s="3116">
        <v>15</v>
      </c>
    </row>
    <row r="116" spans="1:6" ht="13.5">
      <c r="A116" s="3116">
        <v>44</v>
      </c>
      <c r="B116" s="3780" t="s">
        <v>2744</v>
      </c>
      <c r="C116" s="3116" t="s">
        <v>2745</v>
      </c>
      <c r="D116" s="3090" t="s">
        <v>2746</v>
      </c>
      <c r="E116" s="3116">
        <v>0.1</v>
      </c>
      <c r="F116" s="3116">
        <v>15</v>
      </c>
    </row>
    <row r="117" spans="1:6" ht="24">
      <c r="A117" s="3116">
        <v>45</v>
      </c>
      <c r="B117" s="3784"/>
      <c r="C117" s="3090" t="s">
        <v>2747</v>
      </c>
      <c r="D117" s="3090" t="s">
        <v>2748</v>
      </c>
      <c r="E117" s="3116">
        <v>0.1</v>
      </c>
      <c r="F117" s="3116">
        <v>15</v>
      </c>
    </row>
    <row r="118" spans="1:6" ht="24">
      <c r="A118" s="3116">
        <v>46</v>
      </c>
      <c r="B118" s="3780" t="s">
        <v>2749</v>
      </c>
      <c r="C118" s="3116" t="s">
        <v>2750</v>
      </c>
      <c r="D118" s="3090" t="s">
        <v>2751</v>
      </c>
      <c r="E118" s="3116">
        <v>0.1</v>
      </c>
      <c r="F118" s="3116">
        <v>15</v>
      </c>
    </row>
    <row r="119" spans="1:6" ht="24">
      <c r="A119" s="3116">
        <v>47</v>
      </c>
      <c r="B119" s="3784"/>
      <c r="C119" s="3116" t="s">
        <v>2752</v>
      </c>
      <c r="D119" s="3090" t="s">
        <v>2753</v>
      </c>
      <c r="E119" s="3116">
        <v>0.1</v>
      </c>
      <c r="F119" s="3116">
        <v>15</v>
      </c>
    </row>
    <row r="120" spans="1:6" ht="13.5">
      <c r="A120" s="3116">
        <v>48</v>
      </c>
      <c r="B120" s="3780" t="s">
        <v>2754</v>
      </c>
      <c r="C120" s="3116" t="s">
        <v>2755</v>
      </c>
      <c r="D120" s="3090" t="s">
        <v>2756</v>
      </c>
      <c r="E120" s="3116">
        <v>0.1</v>
      </c>
      <c r="F120" s="3116">
        <v>15</v>
      </c>
    </row>
    <row r="121" spans="1:6" ht="13.5">
      <c r="A121" s="3116">
        <v>49</v>
      </c>
      <c r="B121" s="3784"/>
      <c r="C121" s="3116" t="s">
        <v>2757</v>
      </c>
      <c r="D121" s="3090" t="s">
        <v>2758</v>
      </c>
      <c r="E121" s="3116">
        <v>0.1</v>
      </c>
      <c r="F121" s="3116">
        <v>15</v>
      </c>
    </row>
    <row r="122" spans="1:6" ht="24">
      <c r="A122" s="3116">
        <v>50</v>
      </c>
      <c r="B122" s="3785" t="s">
        <v>2759</v>
      </c>
      <c r="C122" s="3116" t="s">
        <v>2760</v>
      </c>
      <c r="D122" s="3090" t="s">
        <v>2761</v>
      </c>
      <c r="E122" s="3116">
        <v>0.1</v>
      </c>
      <c r="F122" s="3116">
        <v>15</v>
      </c>
    </row>
    <row r="123" spans="1:6" ht="24">
      <c r="A123" s="3116">
        <v>51</v>
      </c>
      <c r="B123" s="3785"/>
      <c r="C123" s="3116" t="s">
        <v>2762</v>
      </c>
      <c r="D123" s="3090" t="s">
        <v>2763</v>
      </c>
      <c r="E123" s="3116">
        <v>0.1</v>
      </c>
      <c r="F123" s="3116">
        <v>15</v>
      </c>
    </row>
    <row r="124" spans="1:6" ht="24">
      <c r="A124" s="3116">
        <v>52</v>
      </c>
      <c r="B124" s="3785" t="s">
        <v>2764</v>
      </c>
      <c r="C124" s="3116" t="s">
        <v>2765</v>
      </c>
      <c r="D124" s="3090" t="s">
        <v>2766</v>
      </c>
      <c r="E124" s="3116">
        <v>0.1</v>
      </c>
      <c r="F124" s="3116">
        <v>15</v>
      </c>
    </row>
    <row r="125" spans="1:6" ht="24">
      <c r="A125" s="3116">
        <v>53</v>
      </c>
      <c r="B125" s="3785"/>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85" t="s">
        <v>2772</v>
      </c>
      <c r="C127" s="3116" t="s">
        <v>2773</v>
      </c>
      <c r="D127" s="3090" t="s">
        <v>2774</v>
      </c>
      <c r="E127" s="3116">
        <v>0.1</v>
      </c>
      <c r="F127" s="3116">
        <v>15</v>
      </c>
    </row>
    <row r="128" spans="1:6" ht="13.5">
      <c r="A128" s="3116">
        <v>56</v>
      </c>
      <c r="B128" s="3785"/>
      <c r="C128" s="3116" t="s">
        <v>2775</v>
      </c>
      <c r="D128" s="3090" t="s">
        <v>2776</v>
      </c>
      <c r="E128" s="3116">
        <v>0.1</v>
      </c>
      <c r="F128" s="3116">
        <v>15</v>
      </c>
    </row>
    <row r="129" spans="1:6" ht="24">
      <c r="A129" s="3116">
        <v>57</v>
      </c>
      <c r="B129" s="3785"/>
      <c r="C129" s="3116" t="s">
        <v>2777</v>
      </c>
      <c r="D129" s="3090" t="s">
        <v>2778</v>
      </c>
      <c r="E129" s="3116">
        <v>0.1</v>
      </c>
      <c r="F129" s="3116">
        <v>15</v>
      </c>
    </row>
    <row r="130" spans="1:6" ht="24">
      <c r="A130" s="3116">
        <v>58</v>
      </c>
      <c r="B130" s="3785" t="s">
        <v>2779</v>
      </c>
      <c r="C130" s="3116" t="s">
        <v>2780</v>
      </c>
      <c r="D130" s="3090" t="s">
        <v>2781</v>
      </c>
      <c r="E130" s="3116">
        <v>0.1</v>
      </c>
      <c r="F130" s="3116">
        <v>15</v>
      </c>
    </row>
    <row r="131" spans="1:6" ht="13.5">
      <c r="A131" s="3116">
        <v>59</v>
      </c>
      <c r="B131" s="3785"/>
      <c r="C131" s="3116" t="s">
        <v>2782</v>
      </c>
      <c r="D131" s="3090" t="s">
        <v>2783</v>
      </c>
      <c r="E131" s="3116">
        <v>0.1</v>
      </c>
      <c r="F131" s="3116">
        <v>15</v>
      </c>
    </row>
    <row r="132" spans="1:6" ht="13.5">
      <c r="A132" s="3116">
        <v>60</v>
      </c>
      <c r="B132" s="3780" t="s">
        <v>2784</v>
      </c>
      <c r="C132" s="3116" t="s">
        <v>2785</v>
      </c>
      <c r="D132" s="3090" t="s">
        <v>2786</v>
      </c>
      <c r="E132" s="3116">
        <v>0.1</v>
      </c>
      <c r="F132" s="3116">
        <v>15</v>
      </c>
    </row>
    <row r="133" spans="1:6" ht="13.5">
      <c r="A133" s="3116">
        <v>61</v>
      </c>
      <c r="B133" s="3784"/>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85" t="s">
        <v>2792</v>
      </c>
      <c r="C135" s="3116" t="s">
        <v>2793</v>
      </c>
      <c r="D135" s="3090" t="s">
        <v>2794</v>
      </c>
      <c r="E135" s="3116">
        <v>0.1</v>
      </c>
      <c r="F135" s="3116">
        <v>15</v>
      </c>
    </row>
    <row r="136" spans="1:6" ht="13.5">
      <c r="A136" s="3116">
        <v>64</v>
      </c>
      <c r="B136" s="3785"/>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27878</v>
      </c>
      <c r="C2" s="2" t="s">
        <v>106</v>
      </c>
      <c r="D2" s="199"/>
      <c r="E2" s="199"/>
      <c r="F2" s="199"/>
      <c r="G2" s="199"/>
    </row>
    <row r="3" spans="1:7" s="200" customFormat="1" ht="18" customHeight="1" thickBot="1">
      <c r="A3" s="203" t="s">
        <v>58</v>
      </c>
      <c r="B3" s="204">
        <f ca="1">ROUND(B2*10000/'数据-汇总表'!E3,0)</f>
        <v>2600075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107.22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107.22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5"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2">
        <f ca="1">ROUND(SUM(C23:C25),0)</f>
        <v>1504</v>
      </c>
      <c r="D22" s="235">
        <f ca="1">C26</f>
        <v>6.9999999999999999E-4</v>
      </c>
      <c r="E22" s="236" t="s">
        <v>99</v>
      </c>
      <c r="F22" s="237">
        <f ca="1">'数据-取费表'!B40</f>
        <v>3.5499999999999997E-2</v>
      </c>
      <c r="G22" s="1065" t="str">
        <f>IF('数据-取费表'!B22&lt;=1,"单利计息","复利计息")</f>
        <v>复利计息</v>
      </c>
    </row>
    <row r="23" spans="1:7" s="214" customFormat="1" ht="13.5" customHeight="1">
      <c r="A23" s="780" t="s">
        <v>349</v>
      </c>
      <c r="B23" s="215" t="s">
        <v>423</v>
      </c>
      <c r="C23" s="1103">
        <f ca="1">ROUND(IF('数据-取费表'!B22&lt;=1,C5*F22*'数据-取费表'!B23,C5*(POWER((1+F22),'数据-取费表'!B23)-1)),0)</f>
        <v>1489</v>
      </c>
      <c r="D23" s="238"/>
      <c r="E23" s="238"/>
      <c r="F23" s="239"/>
      <c r="G23" s="240" t="s">
        <v>81</v>
      </c>
    </row>
    <row r="24" spans="1:7" s="214" customFormat="1" ht="13.5" customHeight="1">
      <c r="A24" s="780"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3">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48</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107.22</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5"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6.9999999999999999E-4</v>
      </c>
      <c r="D44" s="238"/>
      <c r="E44" s="238"/>
      <c r="F44" s="239"/>
      <c r="G44" s="3650"/>
    </row>
    <row r="45" spans="1:7" s="214" customFormat="1" ht="13.5" customHeight="1">
      <c r="A45" s="777" t="s">
        <v>341</v>
      </c>
      <c r="B45" s="244" t="s">
        <v>85</v>
      </c>
      <c r="C45" s="245">
        <f>C46</f>
        <v>8</v>
      </c>
      <c r="D45" s="235">
        <f>C47</f>
        <v>3.0000000000000001E-3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68</v>
      </c>
      <c r="D49" s="232"/>
      <c r="E49" s="232"/>
      <c r="F49" s="264"/>
      <c r="G49" s="234" t="s">
        <v>435</v>
      </c>
    </row>
    <row r="50" spans="1:7" s="258" customFormat="1" ht="24">
      <c r="A50" s="777" t="s">
        <v>344</v>
      </c>
      <c r="B50" s="210" t="s">
        <v>97</v>
      </c>
      <c r="C50" s="232"/>
      <c r="D50" s="232"/>
      <c r="E50" s="232"/>
      <c r="F50" s="264">
        <f>IF('数据-取费表'!B24=0,'数据-取费表'!N16,1)</f>
        <v>0.78</v>
      </c>
      <c r="G50" s="247" t="s">
        <v>98</v>
      </c>
    </row>
    <row r="51" spans="1:7" ht="16.5" customHeight="1">
      <c r="A51" s="777" t="s">
        <v>345</v>
      </c>
      <c r="B51" s="210" t="s">
        <v>105</v>
      </c>
      <c r="C51" s="232">
        <f ca="1">ROUND(C49*F50,0)</f>
        <v>53</v>
      </c>
      <c r="D51" s="232"/>
      <c r="E51" s="232"/>
      <c r="F51" s="264"/>
      <c r="G51" s="234" t="s">
        <v>37</v>
      </c>
    </row>
    <row r="52" spans="1:7" s="208" customFormat="1" ht="16.5" thickBot="1">
      <c r="A52" s="265" t="s">
        <v>38</v>
      </c>
      <c r="B52" s="266"/>
      <c r="C52" s="267">
        <f ca="1">C31+C51</f>
        <v>27878</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1"/>
      <c r="B4" s="3469" t="s">
        <v>917</v>
      </c>
      <c r="C4" s="3469"/>
      <c r="D4" s="3469"/>
      <c r="E4" s="1491"/>
    </row>
    <row r="5" spans="1:5" ht="16.5" thickTop="1">
      <c r="A5" s="1489"/>
      <c r="B5" s="3467" t="s">
        <v>909</v>
      </c>
      <c r="C5" s="1492" t="s">
        <v>910</v>
      </c>
      <c r="D5" s="850">
        <f ca="1">结果表!H101</f>
        <v>386</v>
      </c>
      <c r="E5" s="1489"/>
    </row>
    <row r="6" spans="1:5" ht="15.75">
      <c r="A6" s="1489"/>
      <c r="B6" s="3467"/>
      <c r="C6" s="1492" t="s">
        <v>911</v>
      </c>
      <c r="D6" s="850" t="str">
        <f ca="1">NUMBERSTRING(INT(D5*10000),2)&amp;"元整"</f>
        <v>叁佰捌拾陆万元整</v>
      </c>
      <c r="E6" s="1489"/>
    </row>
    <row r="7" spans="1:5" ht="15.75">
      <c r="A7" s="1489"/>
      <c r="B7" s="3472"/>
      <c r="C7" s="1493" t="s">
        <v>912</v>
      </c>
      <c r="D7" s="851">
        <f ca="1">结果表!H102</f>
        <v>36019</v>
      </c>
      <c r="E7" s="1489"/>
    </row>
    <row r="8" spans="1:5" ht="15.75">
      <c r="A8" s="1489"/>
      <c r="B8" s="3473" t="str">
        <f>结果表!E103</f>
        <v>2.估价师知悉的法定优先受偿款</v>
      </c>
      <c r="C8" s="1494" t="s">
        <v>913</v>
      </c>
      <c r="D8" s="851">
        <f>结果表!H103</f>
        <v>0</v>
      </c>
      <c r="E8" s="1489"/>
    </row>
    <row r="9" spans="1:5" ht="15.75">
      <c r="A9" s="1489"/>
      <c r="B9" s="3475"/>
      <c r="C9" s="1492" t="s">
        <v>911</v>
      </c>
      <c r="D9" s="850" t="str">
        <f>NUMBERSTRING(INT(D8*10000),2)&amp;"元整"</f>
        <v>零元整</v>
      </c>
      <c r="E9" s="1489"/>
    </row>
    <row r="10" spans="1:5" ht="15">
      <c r="A10" s="1489"/>
      <c r="B10" s="1495" t="s">
        <v>916</v>
      </c>
      <c r="C10" s="1496" t="s">
        <v>914</v>
      </c>
      <c r="D10" s="852">
        <f>结果表!H104</f>
        <v>0</v>
      </c>
      <c r="E10" s="1489"/>
    </row>
    <row r="11" spans="1:5" ht="15">
      <c r="A11" s="1489"/>
      <c r="B11" s="1495" t="s">
        <v>918</v>
      </c>
      <c r="C11" s="1496" t="s">
        <v>919</v>
      </c>
      <c r="D11" s="852">
        <f>结果表!H105</f>
        <v>0</v>
      </c>
      <c r="E11" s="1489"/>
    </row>
    <row r="12" spans="1:5" ht="15">
      <c r="A12" s="1489"/>
      <c r="B12" s="1495" t="s">
        <v>920</v>
      </c>
      <c r="C12" s="1496" t="s">
        <v>919</v>
      </c>
      <c r="D12" s="852">
        <f>结果表!H106</f>
        <v>0</v>
      </c>
      <c r="E12" s="1489"/>
    </row>
    <row r="13" spans="1:5" ht="15.75">
      <c r="A13" s="1489"/>
      <c r="B13" s="3466" t="str">
        <f>结果表!E107</f>
        <v>3.房地产抵押价值</v>
      </c>
      <c r="C13" s="1497" t="s">
        <v>910</v>
      </c>
      <c r="D13" s="853">
        <f ca="1">结果表!H107</f>
        <v>386</v>
      </c>
      <c r="E13" s="1489"/>
    </row>
    <row r="14" spans="1:5" ht="15.75">
      <c r="A14" s="1489"/>
      <c r="B14" s="3467"/>
      <c r="C14" s="1492" t="s">
        <v>911</v>
      </c>
      <c r="D14" s="850" t="str">
        <f ca="1">NUMBERSTRING(INT(D13*10000),2)&amp;"元整"</f>
        <v>叁佰捌拾陆万元整</v>
      </c>
      <c r="E14" s="1489"/>
    </row>
    <row r="15" spans="1:5" ht="15">
      <c r="A15" s="1489"/>
      <c r="B15" s="3472"/>
      <c r="C15" s="1493" t="s">
        <v>921</v>
      </c>
      <c r="D15" s="859">
        <f ca="1">结果表!H108</f>
        <v>36019</v>
      </c>
      <c r="E15" s="1489"/>
    </row>
    <row r="16" spans="1:5" ht="15">
      <c r="A16" s="1489"/>
      <c r="B16" s="3473" t="str">
        <f>结果表!E109</f>
        <v>——</v>
      </c>
      <c r="C16" s="1497" t="s">
        <v>922</v>
      </c>
      <c r="D16" s="1498" t="str">
        <f>结果表!H109</f>
        <v>——</v>
      </c>
      <c r="E16" s="1489"/>
    </row>
    <row r="17" spans="1:5" ht="15.75">
      <c r="A17" s="1489"/>
      <c r="B17" s="3474"/>
      <c r="C17" s="1492" t="s">
        <v>923</v>
      </c>
      <c r="D17" s="850" t="e">
        <f>NUMBERSTRING(INT(D16*10000),2)&amp;"元整"</f>
        <v>#VALUE!</v>
      </c>
      <c r="E17" s="1489"/>
    </row>
    <row r="18" spans="1:5" ht="15">
      <c r="A18" s="1489"/>
      <c r="B18" s="3475"/>
      <c r="C18" s="1493" t="s">
        <v>912</v>
      </c>
      <c r="D18" s="859" t="str">
        <f>结果表!H110</f>
        <v>——</v>
      </c>
      <c r="E18" s="1489"/>
    </row>
    <row r="19" spans="1:5" ht="15.75">
      <c r="A19" s="1489"/>
      <c r="B19" s="3466" t="str">
        <f>结果表!E111</f>
        <v>——</v>
      </c>
      <c r="C19" s="1497" t="s">
        <v>910</v>
      </c>
      <c r="D19" s="851" t="str">
        <f>结果表!H111</f>
        <v>——</v>
      </c>
      <c r="E19" s="1489"/>
    </row>
    <row r="20" spans="1:5" ht="15.75">
      <c r="A20" s="1489"/>
      <c r="B20" s="3467"/>
      <c r="C20" s="1492" t="s">
        <v>923</v>
      </c>
      <c r="D20" s="850" t="e">
        <f>NUMBERSTRING(INT(D19*10000),2)&amp;"元整"</f>
        <v>#VALUE!</v>
      </c>
      <c r="E20" s="1489"/>
    </row>
    <row r="21" spans="1:5" ht="15.75" thickBot="1">
      <c r="A21" s="1489"/>
      <c r="B21" s="3468"/>
      <c r="C21" s="1499" t="s">
        <v>921</v>
      </c>
      <c r="D21" s="860"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8" t="s">
        <v>2844</v>
      </c>
      <c r="B1" s="3788"/>
      <c r="C1" s="3788"/>
      <c r="D1" s="3788"/>
      <c r="E1" s="3788"/>
      <c r="F1" s="3788"/>
      <c r="G1" s="3789"/>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86"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87"/>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0" t="s">
        <v>3186</v>
      </c>
      <c r="B1" s="3790"/>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91" t="s">
        <v>3237</v>
      </c>
      <c r="B1" s="3791"/>
      <c r="C1" s="3791"/>
      <c r="D1" s="3791"/>
      <c r="E1" s="3791"/>
      <c r="F1" s="3792"/>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45107</v>
      </c>
      <c r="B1" s="3208" t="s">
        <v>2843</v>
      </c>
      <c r="C1" s="3209"/>
      <c r="D1" s="3209"/>
      <c r="E1" s="3209"/>
      <c r="F1" s="3209"/>
      <c r="G1" s="3209"/>
      <c r="H1" s="3209"/>
      <c r="I1" s="3209"/>
      <c r="J1" s="3163"/>
      <c r="K1" s="3209" t="s">
        <v>454</v>
      </c>
      <c r="L1" s="3209"/>
      <c r="M1" s="3209"/>
      <c r="N1" s="3209"/>
      <c r="O1" s="3209"/>
      <c r="P1" s="3209"/>
      <c r="Q1" s="3163"/>
      <c r="R1" s="3793" t="s">
        <v>456</v>
      </c>
      <c r="S1" s="3794"/>
      <c r="T1" s="3794"/>
      <c r="U1" s="3794"/>
      <c r="V1" s="3794"/>
      <c r="W1" s="3794"/>
      <c r="X1" s="3163"/>
      <c r="Y1" s="3793" t="s">
        <v>457</v>
      </c>
      <c r="Z1" s="3794"/>
      <c r="AA1" s="3794"/>
      <c r="AB1" s="3794"/>
      <c r="AC1" s="3794"/>
      <c r="AD1" s="3794"/>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3372</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3375</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93" t="s">
        <v>2831</v>
      </c>
      <c r="S21" s="3794"/>
      <c r="T21" s="3794"/>
      <c r="U21" s="3794"/>
      <c r="V21" s="3794"/>
      <c r="W21" s="3794"/>
      <c r="X21" s="3163"/>
      <c r="Y21" s="3793" t="s">
        <v>2832</v>
      </c>
      <c r="Z21" s="3794"/>
      <c r="AA21" s="3794"/>
      <c r="AB21" s="3794"/>
      <c r="AC21" s="3794"/>
      <c r="AD21" s="3794"/>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3372</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3375</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0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45107</v>
      </c>
      <c r="D1" s="1300" t="s">
        <v>603</v>
      </c>
      <c r="E1" s="1295">
        <f>'数据-取费表'!B22</f>
        <v>2</v>
      </c>
      <c r="F1" s="1300" t="s">
        <v>604</v>
      </c>
      <c r="G1" s="1296">
        <f ca="1">INDIRECT("d"&amp;$K$1)/100</f>
        <v>3.5499999999999997E-2</v>
      </c>
      <c r="H1" s="1300" t="s">
        <v>634</v>
      </c>
      <c r="I1" s="1296">
        <f ca="1">F4/100</f>
        <v>1.4999999999999999E-2</v>
      </c>
      <c r="J1" s="1301">
        <f>IF(C1&gt;C13,0,MATCH(C1,C$13:C$110,-1))+IF(SUMIF(C13:C110,C1,D13:D110)=0,13,12)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3.55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3.55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3.55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3.55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45097</v>
      </c>
      <c r="D13" s="2820">
        <v>3.55</v>
      </c>
      <c r="E13" s="2820">
        <f>D13</f>
        <v>3.55</v>
      </c>
      <c r="F13" s="2820">
        <f>D13</f>
        <v>3.55</v>
      </c>
      <c r="G13" s="2820">
        <f>D13</f>
        <v>3.55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44795</v>
      </c>
      <c r="D14" s="2815">
        <v>3.65</v>
      </c>
      <c r="E14" s="2815">
        <v>3.65</v>
      </c>
      <c r="F14" s="2815">
        <v>3.65</v>
      </c>
      <c r="G14" s="2815">
        <v>3.65</v>
      </c>
      <c r="H14" s="2815">
        <v>4.3</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44701</v>
      </c>
      <c r="D15" s="2815">
        <v>3.7</v>
      </c>
      <c r="E15" s="2815">
        <f>D15</f>
        <v>3.7</v>
      </c>
      <c r="F15" s="2815">
        <f>D15</f>
        <v>3.7</v>
      </c>
      <c r="G15" s="2815">
        <f>D15</f>
        <v>3.7</v>
      </c>
      <c r="H15" s="2815">
        <v>4.45</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44581</v>
      </c>
      <c r="D16" s="2815">
        <v>3.7</v>
      </c>
      <c r="E16" s="2815">
        <f>D16</f>
        <v>3.7</v>
      </c>
      <c r="F16" s="2815">
        <f>D16</f>
        <v>3.7</v>
      </c>
      <c r="G16" s="2815">
        <f>D16</f>
        <v>3.7</v>
      </c>
      <c r="H16" s="2815">
        <v>4.5999999999999996</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5"/>
      <c r="C17" s="2816">
        <v>44550</v>
      </c>
      <c r="D17" s="2815">
        <v>3.8</v>
      </c>
      <c r="E17" s="2815">
        <f>D17</f>
        <v>3.8</v>
      </c>
      <c r="F17" s="2815">
        <f>D17</f>
        <v>3.8</v>
      </c>
      <c r="G17" s="2815">
        <f>D17</f>
        <v>3.8</v>
      </c>
      <c r="H17" s="2815">
        <v>4.6500000000000004</v>
      </c>
      <c r="I17" s="2815"/>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43941</v>
      </c>
      <c r="D18" s="2815">
        <v>3.85</v>
      </c>
      <c r="E18" s="2815">
        <v>3.85</v>
      </c>
      <c r="F18" s="2815">
        <v>3.85</v>
      </c>
      <c r="G18" s="2815">
        <v>3.85</v>
      </c>
      <c r="H18" s="2815">
        <v>4.6500000000000004</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43881</v>
      </c>
      <c r="D19" s="2815">
        <v>4.05</v>
      </c>
      <c r="E19" s="2815">
        <v>4.05</v>
      </c>
      <c r="F19" s="2815">
        <v>4.05</v>
      </c>
      <c r="G19" s="2815">
        <v>4.05</v>
      </c>
      <c r="H19" s="2815">
        <v>4.75</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43789</v>
      </c>
      <c r="D20" s="2815">
        <v>4.1500000000000004</v>
      </c>
      <c r="E20" s="2815">
        <v>4.1500000000000004</v>
      </c>
      <c r="F20" s="2815">
        <v>4.1500000000000004</v>
      </c>
      <c r="G20" s="2815">
        <v>4.1500000000000004</v>
      </c>
      <c r="H20" s="2815">
        <v>4.8</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43728</v>
      </c>
      <c r="D21" s="2815">
        <v>4.2</v>
      </c>
      <c r="E21" s="2815">
        <v>4.2</v>
      </c>
      <c r="F21" s="2815">
        <v>4.2</v>
      </c>
      <c r="G21" s="2815">
        <v>4.2</v>
      </c>
      <c r="H21" s="2815">
        <v>4.8499999999999996</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4" t="s">
        <v>2312</v>
      </c>
      <c r="C22" s="2817">
        <v>43697</v>
      </c>
      <c r="D22" s="2818">
        <v>4.25</v>
      </c>
      <c r="E22" s="2818">
        <v>4.25</v>
      </c>
      <c r="F22" s="2818">
        <v>4.25</v>
      </c>
      <c r="G22" s="2818">
        <v>4.25</v>
      </c>
      <c r="H22" s="2818">
        <v>4.8499999999999996</v>
      </c>
      <c r="I22" s="2818"/>
      <c r="J22" s="2818"/>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22"/>
      <c r="C23" s="2823">
        <v>42301</v>
      </c>
      <c r="D23" s="2824">
        <v>4.3499999999999996</v>
      </c>
      <c r="E23" s="2824">
        <v>4.3499999999999996</v>
      </c>
      <c r="F23" s="2824">
        <v>4.75</v>
      </c>
      <c r="G23" s="2824">
        <v>4.75</v>
      </c>
      <c r="H23" s="2824">
        <v>4.9000000000000004</v>
      </c>
      <c r="I23" s="2824"/>
      <c r="J23" s="282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42242</v>
      </c>
      <c r="D24" s="1288">
        <v>4.5999999999999996</v>
      </c>
      <c r="E24" s="1288">
        <v>4.5999999999999996</v>
      </c>
      <c r="F24" s="1288">
        <v>5</v>
      </c>
      <c r="G24" s="1288">
        <v>5</v>
      </c>
      <c r="H24" s="1288">
        <v>5.15</v>
      </c>
      <c r="I24" s="1288">
        <v>2.75</v>
      </c>
      <c r="J24" s="1288">
        <v>3.25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42183</v>
      </c>
      <c r="D25" s="1288">
        <v>4.8499999999999996</v>
      </c>
      <c r="E25" s="1288">
        <v>4.8499999999999996</v>
      </c>
      <c r="F25" s="1288">
        <v>5.25</v>
      </c>
      <c r="G25" s="1288">
        <v>5.25</v>
      </c>
      <c r="H25" s="1288">
        <v>5.4</v>
      </c>
      <c r="I25" s="1288">
        <v>3</v>
      </c>
      <c r="J25" s="1288">
        <v>3.5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42135</v>
      </c>
      <c r="D26" s="1288">
        <v>5.0999999999999996</v>
      </c>
      <c r="E26" s="1288">
        <v>5.0999999999999996</v>
      </c>
      <c r="F26" s="1288">
        <v>5.5</v>
      </c>
      <c r="G26" s="1288">
        <v>5.5</v>
      </c>
      <c r="H26" s="1288">
        <v>5.65</v>
      </c>
      <c r="I26" s="1288">
        <v>3.25</v>
      </c>
      <c r="J26" s="1288">
        <v>3.75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42064</v>
      </c>
      <c r="D27" s="1288">
        <v>5.35</v>
      </c>
      <c r="E27" s="1288">
        <v>5.35</v>
      </c>
      <c r="F27" s="1288">
        <v>5.75</v>
      </c>
      <c r="G27" s="1288">
        <v>5.75</v>
      </c>
      <c r="H27" s="1288">
        <v>5.9</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41965</v>
      </c>
      <c r="D28" s="1288">
        <v>5.6</v>
      </c>
      <c r="E28" s="1288">
        <v>5.6</v>
      </c>
      <c r="F28" s="1288">
        <v>6</v>
      </c>
      <c r="G28" s="1288">
        <v>6</v>
      </c>
      <c r="H28" s="1288">
        <v>6.15</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41096</v>
      </c>
      <c r="D29" s="1288">
        <v>5.6</v>
      </c>
      <c r="E29" s="1288">
        <v>6</v>
      </c>
      <c r="F29" s="1288">
        <v>6.15</v>
      </c>
      <c r="G29" s="1288">
        <v>6.4</v>
      </c>
      <c r="H29" s="1288">
        <v>6.55</v>
      </c>
      <c r="I29" s="1288">
        <v>4</v>
      </c>
      <c r="J29" s="1288">
        <v>4.5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41068</v>
      </c>
      <c r="D30" s="1288">
        <v>5.85</v>
      </c>
      <c r="E30" s="1288">
        <v>6.31</v>
      </c>
      <c r="F30" s="1288">
        <v>6.4</v>
      </c>
      <c r="G30" s="1288">
        <v>6.65</v>
      </c>
      <c r="H30" s="1288">
        <v>6.8</v>
      </c>
      <c r="I30" s="1288">
        <v>4.2</v>
      </c>
      <c r="J30" s="1288">
        <v>4.7</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40731</v>
      </c>
      <c r="D31" s="1288">
        <v>6.1</v>
      </c>
      <c r="E31" s="1288">
        <v>6.56</v>
      </c>
      <c r="F31" s="1288">
        <v>6.65</v>
      </c>
      <c r="G31" s="1288">
        <v>6.9</v>
      </c>
      <c r="H31" s="1288">
        <v>7.05</v>
      </c>
      <c r="I31" s="1288">
        <v>4.45</v>
      </c>
      <c r="J31" s="1288">
        <v>4.9000000000000004</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40639</v>
      </c>
      <c r="D32" s="1288">
        <v>5.85</v>
      </c>
      <c r="E32" s="1288">
        <v>6.31</v>
      </c>
      <c r="F32" s="1288">
        <v>6.4</v>
      </c>
      <c r="G32" s="1288">
        <v>6.65</v>
      </c>
      <c r="H32" s="1288">
        <v>6.8</v>
      </c>
      <c r="I32" s="1288">
        <v>4.2</v>
      </c>
      <c r="J32" s="1288">
        <v>4.7</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40583</v>
      </c>
      <c r="D33" s="1288">
        <v>5.6</v>
      </c>
      <c r="E33" s="1288">
        <v>6.06</v>
      </c>
      <c r="F33" s="1288">
        <v>6.1</v>
      </c>
      <c r="G33" s="1288">
        <v>6.45</v>
      </c>
      <c r="H33" s="1288">
        <v>6.6</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40538</v>
      </c>
      <c r="D34" s="1288">
        <v>5.35</v>
      </c>
      <c r="E34" s="1288">
        <v>5.81</v>
      </c>
      <c r="F34" s="1288">
        <v>5.85</v>
      </c>
      <c r="G34" s="1288">
        <v>6.22</v>
      </c>
      <c r="H34" s="1288">
        <v>6.4</v>
      </c>
      <c r="I34" s="1288">
        <v>3.75</v>
      </c>
      <c r="J34" s="1288">
        <v>4.3</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40471</v>
      </c>
      <c r="D35" s="1288">
        <v>5.0999999999999996</v>
      </c>
      <c r="E35" s="1288">
        <v>5.56</v>
      </c>
      <c r="F35" s="1288">
        <v>5.6</v>
      </c>
      <c r="G35" s="1288">
        <v>5.96</v>
      </c>
      <c r="H35" s="1288">
        <v>6.14</v>
      </c>
      <c r="I35" s="1288">
        <v>3.5</v>
      </c>
      <c r="J35" s="1288">
        <v>4.05</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39805</v>
      </c>
      <c r="D36" s="1288">
        <v>4.8600000000000003</v>
      </c>
      <c r="E36" s="1288">
        <v>5.31</v>
      </c>
      <c r="F36" s="1288">
        <v>5.4</v>
      </c>
      <c r="G36" s="1288">
        <v>5.76</v>
      </c>
      <c r="H36" s="1288">
        <v>5.94</v>
      </c>
      <c r="I36" s="1288">
        <v>3.33</v>
      </c>
      <c r="J36" s="1288">
        <v>3.87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39779</v>
      </c>
      <c r="D37" s="1288">
        <v>5.04</v>
      </c>
      <c r="E37" s="1288">
        <v>5.58</v>
      </c>
      <c r="F37" s="1288">
        <v>5.67</v>
      </c>
      <c r="G37" s="1288">
        <v>5.94</v>
      </c>
      <c r="H37" s="1288">
        <v>6.12</v>
      </c>
      <c r="I37" s="1288">
        <v>3.51</v>
      </c>
      <c r="J37" s="1288">
        <v>4.05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39751</v>
      </c>
      <c r="D38" s="1288">
        <v>6.03</v>
      </c>
      <c r="E38" s="1288">
        <v>6.66</v>
      </c>
      <c r="F38" s="1288">
        <v>6.75</v>
      </c>
      <c r="G38" s="1288">
        <v>7.02</v>
      </c>
      <c r="H38" s="1288">
        <v>7.2</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90">
        <v>39748</v>
      </c>
      <c r="D39" s="1288">
        <v>6.12</v>
      </c>
      <c r="E39" s="1288">
        <v>6.93</v>
      </c>
      <c r="F39" s="1288">
        <v>7.02</v>
      </c>
      <c r="G39" s="1288">
        <v>7.29</v>
      </c>
      <c r="H39" s="1288">
        <v>7.47</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39730</v>
      </c>
      <c r="D40" s="1288">
        <v>6.12</v>
      </c>
      <c r="E40" s="1288">
        <v>6.93</v>
      </c>
      <c r="F40" s="1288">
        <v>7.02</v>
      </c>
      <c r="G40" s="1288">
        <v>7.29</v>
      </c>
      <c r="H40" s="1288">
        <v>7.47</v>
      </c>
      <c r="I40" s="1288">
        <v>4.32</v>
      </c>
      <c r="J40" s="1288">
        <v>4.8600000000000003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39707</v>
      </c>
      <c r="D41" s="1288">
        <v>6.21</v>
      </c>
      <c r="E41" s="1288">
        <v>7.2</v>
      </c>
      <c r="F41" s="1288">
        <v>7.29</v>
      </c>
      <c r="G41" s="1288">
        <v>7.56</v>
      </c>
      <c r="H41" s="1288">
        <v>7.74</v>
      </c>
      <c r="I41" s="1288">
        <v>4.59</v>
      </c>
      <c r="J41" s="1288">
        <v>5.13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39437</v>
      </c>
      <c r="D42" s="1288">
        <v>6.57</v>
      </c>
      <c r="E42" s="1288">
        <v>7.47</v>
      </c>
      <c r="F42" s="1288">
        <v>7.56</v>
      </c>
      <c r="G42" s="1288">
        <v>7.74</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39340</v>
      </c>
      <c r="D43" s="1288">
        <v>6.48</v>
      </c>
      <c r="E43" s="1288">
        <v>7.29</v>
      </c>
      <c r="F43" s="1288">
        <v>7.47</v>
      </c>
      <c r="G43" s="1288">
        <v>7.65</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39316</v>
      </c>
      <c r="D44" s="1288">
        <v>6.21</v>
      </c>
      <c r="E44" s="1288">
        <v>7.02</v>
      </c>
      <c r="F44" s="1288">
        <v>7.2</v>
      </c>
      <c r="G44" s="1288">
        <v>7.38</v>
      </c>
      <c r="H44" s="1288">
        <v>7.56</v>
      </c>
      <c r="I44" s="1288">
        <v>4.59</v>
      </c>
      <c r="J44" s="1288">
        <v>5.04</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39284</v>
      </c>
      <c r="D45" s="1288">
        <v>6.03</v>
      </c>
      <c r="E45" s="1288">
        <v>6.84</v>
      </c>
      <c r="F45" s="1288">
        <v>7.02</v>
      </c>
      <c r="G45" s="1288">
        <v>7.2</v>
      </c>
      <c r="H45" s="1288">
        <v>7.38</v>
      </c>
      <c r="I45" s="1288">
        <v>4.5</v>
      </c>
      <c r="J45" s="1288">
        <v>4.95</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39221</v>
      </c>
      <c r="D46" s="1288">
        <v>5.85</v>
      </c>
      <c r="E46" s="1288">
        <v>6.57</v>
      </c>
      <c r="F46" s="1288">
        <v>6.75</v>
      </c>
      <c r="G46" s="1288">
        <v>6.93</v>
      </c>
      <c r="H46" s="1288">
        <v>7.2</v>
      </c>
      <c r="I46" s="1288">
        <v>4.41</v>
      </c>
      <c r="J46" s="1288">
        <v>4.8600000000000003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39159</v>
      </c>
      <c r="D47" s="1288">
        <v>5.67</v>
      </c>
      <c r="E47" s="1288">
        <v>6.39</v>
      </c>
      <c r="F47" s="1288">
        <v>6.57</v>
      </c>
      <c r="G47" s="1288">
        <v>6.75</v>
      </c>
      <c r="H47" s="1288">
        <v>7.11</v>
      </c>
      <c r="I47" s="1288">
        <v>4.32</v>
      </c>
      <c r="J47" s="1288">
        <v>4.7699999999999996</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38948</v>
      </c>
      <c r="D48" s="1288">
        <v>5.58</v>
      </c>
      <c r="E48" s="1288">
        <v>6.12</v>
      </c>
      <c r="F48" s="1288">
        <v>6.3</v>
      </c>
      <c r="G48" s="1288">
        <v>6.48</v>
      </c>
      <c r="H48" s="1288">
        <v>6.84</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38835</v>
      </c>
      <c r="D49" s="1288">
        <v>5.4</v>
      </c>
      <c r="E49" s="1288">
        <v>5.85</v>
      </c>
      <c r="F49" s="1288">
        <v>6.03</v>
      </c>
      <c r="G49" s="1288">
        <v>6.12</v>
      </c>
      <c r="H49" s="1288">
        <v>6.39</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38428</v>
      </c>
      <c r="D50" s="1288">
        <v>5.22</v>
      </c>
      <c r="E50" s="1288">
        <v>5.58</v>
      </c>
      <c r="F50" s="1288">
        <v>5.76</v>
      </c>
      <c r="G50" s="1288">
        <v>5.85</v>
      </c>
      <c r="H50" s="1288">
        <v>6.12</v>
      </c>
      <c r="I50" s="1288">
        <v>3.96</v>
      </c>
      <c r="J50" s="1288">
        <v>4.41</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38289</v>
      </c>
      <c r="D51" s="1288">
        <v>5.22</v>
      </c>
      <c r="E51" s="1288">
        <v>5.58</v>
      </c>
      <c r="F51" s="1288">
        <v>5.76</v>
      </c>
      <c r="G51" s="1288">
        <v>5.85</v>
      </c>
      <c r="H51" s="1288">
        <v>6.12</v>
      </c>
      <c r="I51" s="1288">
        <v>3.78</v>
      </c>
      <c r="J51" s="1288">
        <v>4.2300000000000004</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37308</v>
      </c>
      <c r="D52" s="1288">
        <v>5.04</v>
      </c>
      <c r="E52" s="1288">
        <v>5.31</v>
      </c>
      <c r="F52" s="1288">
        <v>5.49</v>
      </c>
      <c r="G52" s="1288">
        <v>5.58</v>
      </c>
      <c r="H52" s="1288">
        <v>5.76</v>
      </c>
      <c r="I52" s="1288">
        <v>3.6</v>
      </c>
      <c r="J52" s="1288">
        <v>4.05</v>
      </c>
      <c r="L52" s="1288"/>
      <c r="M52" s="1289"/>
      <c r="N52" s="1288"/>
      <c r="O52" s="1288"/>
      <c r="P52" s="1288"/>
      <c r="Q52" s="1288"/>
      <c r="R52" s="1288"/>
      <c r="S52" s="1288"/>
      <c r="T52" s="1288"/>
      <c r="U52" s="1288"/>
      <c r="V52" s="1288"/>
      <c r="W52" s="1288"/>
      <c r="X52" s="1288"/>
      <c r="Y52" s="1288"/>
      <c r="Z52" s="1288"/>
    </row>
    <row r="53" spans="2:26">
      <c r="B53" s="1288"/>
      <c r="C53" s="1289">
        <v>36321</v>
      </c>
      <c r="D53" s="1288">
        <v>5.58</v>
      </c>
      <c r="E53" s="1288">
        <v>5.85</v>
      </c>
      <c r="F53" s="1288">
        <v>5.94</v>
      </c>
      <c r="G53" s="1288">
        <v>6.03</v>
      </c>
      <c r="H53" s="1288">
        <v>6.21</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36136</v>
      </c>
      <c r="D54" s="1288">
        <v>6.12</v>
      </c>
      <c r="E54" s="1288">
        <v>6.39</v>
      </c>
      <c r="F54" s="1288">
        <v>6.66</v>
      </c>
      <c r="G54" s="1288">
        <v>7.2</v>
      </c>
      <c r="H54" s="1288">
        <v>7.56</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35977</v>
      </c>
      <c r="D55" s="1288">
        <v>6.57</v>
      </c>
      <c r="E55" s="1288">
        <v>6.93</v>
      </c>
      <c r="F55" s="1288">
        <v>7.11</v>
      </c>
      <c r="G55" s="1288">
        <v>7.65</v>
      </c>
      <c r="H55" s="1288">
        <v>8.01</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35879</v>
      </c>
      <c r="D56" s="1288">
        <v>7.02</v>
      </c>
      <c r="E56" s="1288">
        <v>7.92</v>
      </c>
      <c r="F56" s="1288">
        <v>9</v>
      </c>
      <c r="G56" s="1288">
        <v>9.7200000000000006</v>
      </c>
      <c r="H56" s="1288">
        <v>10.35</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35726</v>
      </c>
      <c r="D57" s="1288">
        <v>7.65</v>
      </c>
      <c r="E57" s="1288">
        <v>8.64</v>
      </c>
      <c r="F57" s="1288">
        <v>9.36</v>
      </c>
      <c r="G57" s="1288">
        <v>9.9</v>
      </c>
      <c r="H57" s="1288">
        <v>10.53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35300</v>
      </c>
      <c r="D58" s="1288">
        <v>9.18</v>
      </c>
      <c r="E58" s="1288">
        <v>10.08</v>
      </c>
      <c r="F58" s="1288">
        <v>10.98</v>
      </c>
      <c r="G58" s="1288">
        <v>11.7</v>
      </c>
      <c r="H58" s="1288">
        <v>12.42</v>
      </c>
      <c r="I58" s="1288">
        <v>0</v>
      </c>
      <c r="J58" s="1288">
        <v>0</v>
      </c>
    </row>
    <row r="59" spans="2:26">
      <c r="B59" s="1288"/>
      <c r="C59" s="1289">
        <v>35186</v>
      </c>
      <c r="D59" s="1288">
        <v>9.7200000000000006</v>
      </c>
      <c r="E59" s="1288">
        <v>10.98</v>
      </c>
      <c r="F59" s="1288">
        <v>13.14</v>
      </c>
      <c r="G59" s="1288">
        <v>14.94</v>
      </c>
      <c r="H59" s="1288">
        <v>15.12</v>
      </c>
      <c r="I59" s="1288">
        <v>0</v>
      </c>
      <c r="J59" s="1288">
        <v>0</v>
      </c>
    </row>
    <row r="60" spans="2:26">
      <c r="B60" s="1288"/>
      <c r="C60" s="1289">
        <v>34881</v>
      </c>
      <c r="D60" s="1288">
        <v>10.08</v>
      </c>
      <c r="E60" s="1288">
        <v>12.06</v>
      </c>
      <c r="F60" s="1288">
        <v>13.5</v>
      </c>
      <c r="G60" s="1288">
        <v>15.12</v>
      </c>
      <c r="H60" s="1288">
        <v>15.3</v>
      </c>
      <c r="I60" s="1288">
        <v>0</v>
      </c>
      <c r="J60" s="1288">
        <v>0</v>
      </c>
    </row>
    <row r="61" spans="2:26">
      <c r="B61" s="1288"/>
      <c r="C61" s="1289">
        <v>34700</v>
      </c>
      <c r="D61" s="1288">
        <v>9</v>
      </c>
      <c r="E61" s="1288">
        <v>10.98</v>
      </c>
      <c r="F61" s="1288">
        <v>12.96</v>
      </c>
      <c r="G61" s="1288">
        <v>14.58</v>
      </c>
      <c r="H61" s="1288">
        <v>14.76</v>
      </c>
      <c r="I61" s="1288">
        <v>0</v>
      </c>
      <c r="J61" s="1288">
        <v>0</v>
      </c>
    </row>
    <row r="62" spans="2:26">
      <c r="B62" s="1288"/>
      <c r="C62" s="1289">
        <v>34161</v>
      </c>
      <c r="D62" s="1288">
        <v>9</v>
      </c>
      <c r="E62" s="1288">
        <v>10.98</v>
      </c>
      <c r="F62" s="1288">
        <v>12.24</v>
      </c>
      <c r="G62" s="1288">
        <v>13.86</v>
      </c>
      <c r="H62" s="1288">
        <v>14.04</v>
      </c>
      <c r="I62" s="1288">
        <v>0</v>
      </c>
      <c r="J62" s="1288">
        <v>0</v>
      </c>
    </row>
    <row r="63" spans="2:26">
      <c r="B63" s="1288"/>
      <c r="C63" s="1289">
        <v>34104</v>
      </c>
      <c r="D63" s="1288">
        <v>8.82</v>
      </c>
      <c r="E63" s="1288">
        <v>9.36</v>
      </c>
      <c r="F63" s="1288">
        <v>10.8</v>
      </c>
      <c r="G63" s="1288">
        <v>12.06</v>
      </c>
      <c r="H63" s="1288">
        <v>12.24</v>
      </c>
      <c r="I63" s="1288">
        <v>0</v>
      </c>
      <c r="J63" s="1288">
        <v>0</v>
      </c>
    </row>
    <row r="64" spans="2:26">
      <c r="B64" s="1288"/>
      <c r="C64" s="1289">
        <v>33349</v>
      </c>
      <c r="D64" s="1288">
        <v>8.1</v>
      </c>
      <c r="E64" s="1288">
        <v>8.64</v>
      </c>
      <c r="F64" s="1288">
        <v>9</v>
      </c>
      <c r="G64" s="1288">
        <v>9.5399999999999991</v>
      </c>
      <c r="H64" s="1288">
        <v>9.7200000000000006</v>
      </c>
      <c r="I64" s="1288">
        <v>0</v>
      </c>
      <c r="J64" s="1288">
        <v>0</v>
      </c>
    </row>
    <row r="65" spans="2:10">
      <c r="B65" s="1288"/>
      <c r="C65" s="1289">
        <v>33318</v>
      </c>
      <c r="D65" s="1288">
        <v>9</v>
      </c>
      <c r="E65" s="1288">
        <v>10.08</v>
      </c>
      <c r="F65" s="1288">
        <v>10.8</v>
      </c>
      <c r="G65" s="1288">
        <v>11.52</v>
      </c>
      <c r="H65" s="1288">
        <v>11.88</v>
      </c>
      <c r="I65" s="1288" t="s">
        <v>633</v>
      </c>
      <c r="J65" s="1288" t="s">
        <v>633</v>
      </c>
    </row>
    <row r="66" spans="2:10">
      <c r="B66" s="1288"/>
      <c r="C66" s="1289">
        <v>33106</v>
      </c>
      <c r="D66" s="1288">
        <v>8.64</v>
      </c>
      <c r="E66" s="1288">
        <v>9.36</v>
      </c>
      <c r="F66" s="1288">
        <v>10.08</v>
      </c>
      <c r="G66" s="1288">
        <v>10.8</v>
      </c>
      <c r="H66" s="1288">
        <v>11.16</v>
      </c>
      <c r="I66" s="1288">
        <v>0</v>
      </c>
      <c r="J66" s="1288">
        <v>0</v>
      </c>
    </row>
    <row r="67" spans="2:10">
      <c r="B67" s="1288"/>
      <c r="C67" s="1289">
        <v>32540</v>
      </c>
      <c r="D67" s="1288">
        <v>11.34</v>
      </c>
      <c r="E67" s="1288">
        <v>11.34</v>
      </c>
      <c r="F67" s="1288">
        <v>12.78</v>
      </c>
      <c r="G67" s="1288">
        <v>14.4</v>
      </c>
      <c r="H67" s="1288">
        <v>19.260000000000002</v>
      </c>
      <c r="I67" s="1288">
        <v>0</v>
      </c>
      <c r="J67" s="1288">
        <v>0</v>
      </c>
    </row>
    <row r="68" spans="2:10">
      <c r="B68" s="1288"/>
      <c r="C68" s="1289"/>
      <c r="D68" s="1288"/>
      <c r="E68" s="1288"/>
      <c r="F68" s="1288"/>
      <c r="G68" s="1288"/>
      <c r="H68" s="1288"/>
      <c r="I68" s="1288"/>
      <c r="J68" s="1288"/>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40"/>
      <c r="C72" s="1240"/>
      <c r="D72" s="1240"/>
      <c r="E72" s="1240"/>
      <c r="F72" s="1240"/>
      <c r="G72" s="1240"/>
      <c r="H72" s="1240"/>
      <c r="I72" s="1240"/>
      <c r="J72" s="1240"/>
    </row>
    <row r="73" spans="2:10">
      <c r="B73" s="1240"/>
      <c r="C73" s="1240"/>
      <c r="D73" s="1240"/>
      <c r="E73" s="1240"/>
      <c r="F73" s="1240"/>
      <c r="G73" s="1240"/>
      <c r="H73" s="1240"/>
      <c r="I73" s="1240"/>
      <c r="J73"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activeCell="A2" sqref="A2:B2"/>
    </sheetView>
  </sheetViews>
  <sheetFormatPr defaultRowHeight="13.5"/>
  <cols>
    <col min="1" max="1" width="29.875" customWidth="1"/>
    <col min="2" max="9" width="12.875" customWidth="1"/>
  </cols>
  <sheetData>
    <row r="1" spans="1:9">
      <c r="A1" t="s">
        <v>3443</v>
      </c>
      <c r="B1" t="s">
        <v>3444</v>
      </c>
      <c r="C1" t="s">
        <v>3445</v>
      </c>
      <c r="D1" t="s">
        <v>3446</v>
      </c>
      <c r="E1" t="s">
        <v>3447</v>
      </c>
      <c r="F1" t="s">
        <v>3448</v>
      </c>
      <c r="G1" t="s">
        <v>3447</v>
      </c>
      <c r="H1" t="s">
        <v>3449</v>
      </c>
      <c r="I1" t="s">
        <v>3447</v>
      </c>
    </row>
    <row r="2" spans="1:9" ht="43.5" customHeight="1">
      <c r="A2" s="3463" t="s">
        <v>3450</v>
      </c>
      <c r="B2" s="3464">
        <v>107.22</v>
      </c>
      <c r="C2">
        <v>11.01</v>
      </c>
      <c r="D2">
        <f ca="1">H2-F2</f>
        <v>333</v>
      </c>
      <c r="E2">
        <f>I2-G2</f>
        <v>33837</v>
      </c>
      <c r="F2">
        <f>ROUND(G2*B2/10000,0)</f>
        <v>53</v>
      </c>
      <c r="G2">
        <f>[3]结果表!C35</f>
        <v>4923</v>
      </c>
      <c r="H2">
        <f ca="1">典型户型修正!S24</f>
        <v>386</v>
      </c>
      <c r="I2">
        <f>[3]典型户型修正!R24</f>
        <v>38760</v>
      </c>
    </row>
    <row r="3" spans="1:9" ht="43.5" customHeight="1">
      <c r="A3" s="3458" t="s">
        <v>3451</v>
      </c>
      <c r="B3">
        <v>106.15</v>
      </c>
      <c r="C3">
        <v>10.9</v>
      </c>
      <c r="D3">
        <f t="shared" ref="D3:E10" ca="1" si="0">H3-F3</f>
        <v>330</v>
      </c>
      <c r="E3">
        <f t="shared" si="0"/>
        <v>33837</v>
      </c>
      <c r="F3">
        <f t="shared" ref="F3:F10" si="1">ROUND(G3*B3/10000,0)</f>
        <v>52</v>
      </c>
      <c r="G3">
        <f>G2</f>
        <v>4923</v>
      </c>
      <c r="H3">
        <f ca="1">典型户型修正!S25</f>
        <v>382</v>
      </c>
      <c r="I3">
        <f>[3]典型户型修正!R25</f>
        <v>38760</v>
      </c>
    </row>
    <row r="4" spans="1:9" ht="43.5" customHeight="1">
      <c r="A4" s="3458" t="s">
        <v>3452</v>
      </c>
      <c r="B4">
        <v>107.22</v>
      </c>
      <c r="C4">
        <v>11.01</v>
      </c>
      <c r="D4">
        <f t="shared" ca="1" si="0"/>
        <v>333</v>
      </c>
      <c r="E4">
        <f t="shared" si="0"/>
        <v>33837</v>
      </c>
      <c r="F4">
        <f t="shared" si="1"/>
        <v>53</v>
      </c>
      <c r="G4">
        <f t="shared" ref="G4:G10" si="2">G3</f>
        <v>4923</v>
      </c>
      <c r="H4">
        <f ca="1">典型户型修正!S26</f>
        <v>386</v>
      </c>
      <c r="I4">
        <f>[3]典型户型修正!R26</f>
        <v>38760</v>
      </c>
    </row>
    <row r="5" spans="1:9" ht="43.5" customHeight="1">
      <c r="A5" s="3458" t="s">
        <v>3453</v>
      </c>
      <c r="B5">
        <v>83.75</v>
      </c>
      <c r="C5">
        <v>8.6</v>
      </c>
      <c r="D5">
        <f t="shared" ca="1" si="0"/>
        <v>261</v>
      </c>
      <c r="E5">
        <f t="shared" si="0"/>
        <v>34225</v>
      </c>
      <c r="F5">
        <f t="shared" si="1"/>
        <v>41</v>
      </c>
      <c r="G5">
        <f t="shared" si="2"/>
        <v>4923</v>
      </c>
      <c r="H5">
        <f ca="1">典型户型修正!S27</f>
        <v>302</v>
      </c>
      <c r="I5">
        <f>[3]典型户型修正!R27</f>
        <v>39148</v>
      </c>
    </row>
    <row r="6" spans="1:9" ht="43.5" customHeight="1">
      <c r="A6" s="3458" t="s">
        <v>3454</v>
      </c>
      <c r="B6">
        <v>83.75</v>
      </c>
      <c r="C6">
        <v>8.6</v>
      </c>
      <c r="D6">
        <f t="shared" ca="1" si="0"/>
        <v>261</v>
      </c>
      <c r="E6">
        <f t="shared" si="0"/>
        <v>34225</v>
      </c>
      <c r="F6">
        <f t="shared" si="1"/>
        <v>41</v>
      </c>
      <c r="G6">
        <f t="shared" si="2"/>
        <v>4923</v>
      </c>
      <c r="H6">
        <f ca="1">典型户型修正!S28</f>
        <v>302</v>
      </c>
      <c r="I6">
        <f>[3]典型户型修正!R28</f>
        <v>39148</v>
      </c>
    </row>
    <row r="7" spans="1:9" ht="43.5" customHeight="1">
      <c r="A7" s="3458" t="s">
        <v>3455</v>
      </c>
      <c r="B7">
        <v>83.75</v>
      </c>
      <c r="C7">
        <v>8.6</v>
      </c>
      <c r="D7">
        <f t="shared" ca="1" si="0"/>
        <v>261</v>
      </c>
      <c r="E7">
        <f t="shared" si="0"/>
        <v>34225</v>
      </c>
      <c r="F7">
        <f t="shared" si="1"/>
        <v>41</v>
      </c>
      <c r="G7">
        <f t="shared" si="2"/>
        <v>4923</v>
      </c>
      <c r="H7">
        <f ca="1">典型户型修正!S29</f>
        <v>302</v>
      </c>
      <c r="I7">
        <f>[3]典型户型修正!R29</f>
        <v>39148</v>
      </c>
    </row>
    <row r="8" spans="1:9" ht="43.5" customHeight="1">
      <c r="A8" s="3458" t="s">
        <v>3456</v>
      </c>
      <c r="B8">
        <v>83.75</v>
      </c>
      <c r="C8">
        <v>8.6</v>
      </c>
      <c r="D8">
        <f t="shared" ca="1" si="0"/>
        <v>270</v>
      </c>
      <c r="E8">
        <f t="shared" si="0"/>
        <v>35399</v>
      </c>
      <c r="F8">
        <f t="shared" si="1"/>
        <v>41</v>
      </c>
      <c r="G8">
        <f t="shared" si="2"/>
        <v>4923</v>
      </c>
      <c r="H8">
        <f ca="1">典型户型修正!S30</f>
        <v>311</v>
      </c>
      <c r="I8">
        <f>[3]典型户型修正!R30</f>
        <v>40322</v>
      </c>
    </row>
    <row r="9" spans="1:9" ht="43.5" customHeight="1">
      <c r="A9" s="3458" t="s">
        <v>3457</v>
      </c>
      <c r="B9">
        <v>106.15</v>
      </c>
      <c r="C9">
        <v>10.9</v>
      </c>
      <c r="D9">
        <f t="shared" ca="1" si="0"/>
        <v>342</v>
      </c>
      <c r="E9">
        <f t="shared" si="0"/>
        <v>35000</v>
      </c>
      <c r="F9">
        <f t="shared" si="1"/>
        <v>52</v>
      </c>
      <c r="G9">
        <f t="shared" si="2"/>
        <v>4923</v>
      </c>
      <c r="H9">
        <f ca="1">典型户型修正!S31</f>
        <v>394</v>
      </c>
      <c r="I9">
        <f>[3]典型户型修正!R31</f>
        <v>39923</v>
      </c>
    </row>
    <row r="10" spans="1:9" ht="43.5" customHeight="1">
      <c r="A10" s="3458" t="s">
        <v>3458</v>
      </c>
      <c r="B10">
        <v>89.85</v>
      </c>
      <c r="C10">
        <v>9.23</v>
      </c>
      <c r="D10">
        <f t="shared" ca="1" si="0"/>
        <v>289</v>
      </c>
      <c r="E10">
        <f t="shared" si="0"/>
        <v>35399</v>
      </c>
      <c r="F10">
        <f t="shared" si="1"/>
        <v>44</v>
      </c>
      <c r="G10">
        <f t="shared" si="2"/>
        <v>4923</v>
      </c>
      <c r="H10">
        <f ca="1">典型户型修正!S32</f>
        <v>333</v>
      </c>
      <c r="I10">
        <f>[3]典型户型修正!R32</f>
        <v>40322</v>
      </c>
    </row>
    <row r="11" spans="1:9">
      <c r="A11" t="s">
        <v>3459</v>
      </c>
      <c r="B11">
        <f>SUM(B2:B10)</f>
        <v>851.59</v>
      </c>
      <c r="C11">
        <f t="shared" ref="C11:D11" si="3">SUM(C2:C10)</f>
        <v>87.450000000000017</v>
      </c>
      <c r="D11">
        <f t="shared" ca="1" si="3"/>
        <v>2680</v>
      </c>
      <c r="F11">
        <f>SUM(F2:F10)</f>
        <v>418</v>
      </c>
      <c r="H11">
        <f ca="1">SUM(H2:H10)</f>
        <v>3098</v>
      </c>
      <c r="I11">
        <f>ROUND(AVERAGE(I2:I10),0)</f>
        <v>39366</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854" t="s">
        <v>925</v>
      </c>
      <c r="E3" s="854" t="s">
        <v>931</v>
      </c>
      <c r="F3" s="854" t="s">
        <v>925</v>
      </c>
      <c r="G3" s="854" t="s">
        <v>926</v>
      </c>
      <c r="H3" s="854" t="s">
        <v>925</v>
      </c>
      <c r="I3" s="854" t="s">
        <v>926</v>
      </c>
    </row>
    <row r="4" spans="1:9" ht="15">
      <c r="A4" s="1503" t="str">
        <f>项目基本情况!S2</f>
        <v>北京市房地产</v>
      </c>
      <c r="B4" s="854">
        <f>项目基本情况!C17</f>
        <v>107.22</v>
      </c>
      <c r="C4" s="854">
        <f>项目基本情况!C18</f>
        <v>11.01</v>
      </c>
      <c r="D4" s="854" t="e">
        <f ca="1">结果表!D118</f>
        <v>#DIV/0!</v>
      </c>
      <c r="E4" s="854" t="e">
        <f ca="1">结果表!E118</f>
        <v>#DIV/0!</v>
      </c>
      <c r="F4" s="854" t="e">
        <f ca="1">结果表!F118</f>
        <v>#DIV/0!</v>
      </c>
      <c r="G4" s="854" t="e">
        <f ca="1">结果表!G118</f>
        <v>#DIV/0!</v>
      </c>
      <c r="H4" s="854">
        <f ca="1">结果表!H118</f>
        <v>386</v>
      </c>
      <c r="I4" s="854">
        <f ca="1">结果表!I118</f>
        <v>36019</v>
      </c>
    </row>
    <row r="5" spans="1:9" ht="30" customHeight="1">
      <c r="A5" s="3478" t="s">
        <v>927</v>
      </c>
      <c r="B5" s="3478"/>
      <c r="C5" s="3478"/>
      <c r="D5" s="3478" t="e">
        <f ca="1">结果表!D119</f>
        <v>#DIV/0!</v>
      </c>
      <c r="E5" s="3478"/>
      <c r="F5" s="3478" t="e">
        <f ca="1">结果表!F119</f>
        <v>#DIV/0!</v>
      </c>
      <c r="G5" s="3478"/>
      <c r="H5" s="3478" t="str">
        <f ca="1">结果表!H119</f>
        <v>叁佰捌拾陆万元整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927</v>
      </c>
      <c r="B7" s="3478"/>
      <c r="C7" s="3478"/>
      <c r="D7" s="3480" t="str">
        <f>结果表!D121</f>
        <v>零元整</v>
      </c>
      <c r="E7" s="3481"/>
      <c r="F7" s="3481"/>
      <c r="G7" s="3481"/>
      <c r="H7" s="3481"/>
      <c r="I7" s="3482"/>
    </row>
    <row r="8" spans="1:9" ht="15.75">
      <c r="A8" s="3479" t="str">
        <f>结果表!A122</f>
        <v>房地产抵押价值</v>
      </c>
      <c r="B8" s="3479"/>
      <c r="C8" s="3479"/>
      <c r="D8" s="3479">
        <f ca="1">结果表!D122</f>
        <v>386</v>
      </c>
      <c r="E8" s="3479"/>
      <c r="F8" s="3479"/>
      <c r="G8" s="3479"/>
      <c r="H8" s="3479"/>
      <c r="I8" s="3479"/>
    </row>
    <row r="9" spans="1:9" ht="15">
      <c r="A9" s="3478" t="s">
        <v>927</v>
      </c>
      <c r="B9" s="3478"/>
      <c r="C9" s="3478"/>
      <c r="D9" s="3478" t="str">
        <f ca="1">结果表!D123</f>
        <v>叁佰捌拾陆万元整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927</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5" t="s">
        <v>949</v>
      </c>
      <c r="B1" s="3485"/>
      <c r="C1" s="3485"/>
      <c r="D1" s="3485"/>
    </row>
    <row r="2" spans="1:4" ht="18">
      <c r="A2" s="3486" t="s">
        <v>933</v>
      </c>
      <c r="B2" s="3486"/>
      <c r="C2" s="3486"/>
      <c r="D2" s="3486"/>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6" t="s">
        <v>939</v>
      </c>
      <c r="B6" s="3486"/>
      <c r="C6" s="3486"/>
      <c r="D6" s="3486"/>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487"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v>
      </c>
      <c r="B15" s="3488"/>
      <c r="C15" s="3488"/>
      <c r="D15" s="3488"/>
    </row>
    <row r="16" spans="1:4" ht="30" customHeight="1">
      <c r="A16" s="3491" t="s">
        <v>943</v>
      </c>
      <c r="B16" s="3491"/>
      <c r="C16" s="3491"/>
      <c r="D16" s="3491"/>
    </row>
    <row r="17" spans="1:4" ht="144" customHeight="1">
      <c r="A17" s="3491" t="s">
        <v>944</v>
      </c>
      <c r="B17" s="3491"/>
      <c r="C17" s="3491"/>
      <c r="D17" s="3491"/>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0">
        <v>42551</v>
      </c>
      <c r="D31" s="34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9" t="s">
        <v>956</v>
      </c>
      <c r="B15" s="3494" t="s">
        <v>109</v>
      </c>
      <c r="C15" s="3495"/>
    </row>
    <row r="16" spans="1:7" ht="13.5">
      <c r="A16" s="3500"/>
      <c r="B16" s="3494" t="s">
        <v>42</v>
      </c>
      <c r="C16" s="3495"/>
    </row>
    <row r="17" spans="1:3" ht="13.5">
      <c r="A17" s="3500"/>
      <c r="B17" s="3497" t="s">
        <v>957</v>
      </c>
      <c r="C17" s="1530" t="s">
        <v>956</v>
      </c>
    </row>
    <row r="18" spans="1:3" ht="13.5">
      <c r="A18" s="3500"/>
      <c r="B18" s="3497"/>
      <c r="C18" s="1530" t="s">
        <v>958</v>
      </c>
    </row>
    <row r="19" spans="1:3" ht="13.5">
      <c r="A19" s="3500"/>
      <c r="B19" s="3497"/>
      <c r="C19" s="1530" t="s">
        <v>959</v>
      </c>
    </row>
    <row r="20" spans="1:3" ht="13.5">
      <c r="A20" s="3501"/>
      <c r="B20" s="3496" t="s">
        <v>960</v>
      </c>
      <c r="C20" s="3495"/>
    </row>
    <row r="21" spans="1:3" ht="13.5">
      <c r="A21" s="1531" t="s">
        <v>961</v>
      </c>
      <c r="B21" s="1532"/>
      <c r="C21" s="1533"/>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0" t="s">
        <v>967</v>
      </c>
    </row>
    <row r="26" spans="1:3" ht="13.5">
      <c r="A26" s="3498"/>
      <c r="B26" s="3497"/>
      <c r="C26" s="1530" t="s">
        <v>968</v>
      </c>
    </row>
    <row r="27" spans="1:3" ht="13.5">
      <c r="A27" s="3498"/>
      <c r="B27" s="3497"/>
      <c r="C27" s="1530" t="s">
        <v>969</v>
      </c>
    </row>
    <row r="28" spans="1:3" ht="13.5">
      <c r="A28" s="3498"/>
      <c r="B28" s="3497"/>
      <c r="C28" s="1530" t="s">
        <v>970</v>
      </c>
    </row>
    <row r="29" spans="1:3" ht="13.5">
      <c r="A29" s="3498"/>
      <c r="B29" s="3497"/>
      <c r="C29" s="1530" t="s">
        <v>971</v>
      </c>
    </row>
    <row r="30" spans="1:3" ht="13.5">
      <c r="A30" s="3498"/>
      <c r="B30" s="3497"/>
      <c r="C30" s="1530" t="s">
        <v>972</v>
      </c>
    </row>
    <row r="31" spans="1:3" ht="13.5">
      <c r="A31" s="3498"/>
      <c r="B31" s="3497"/>
      <c r="C31" s="1530" t="s">
        <v>973</v>
      </c>
    </row>
    <row r="32" spans="1:3" ht="13.5">
      <c r="A32" s="3498"/>
      <c r="B32" s="3497"/>
      <c r="C32" s="1530" t="s">
        <v>974</v>
      </c>
    </row>
    <row r="33" spans="1:3" ht="13.5">
      <c r="A33" s="3498"/>
      <c r="B33" s="349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45113</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02" t="s">
        <v>2159</v>
      </c>
      <c r="B17" s="3502"/>
      <c r="C17" s="3502"/>
      <c r="D17" s="3502"/>
      <c r="E17" s="3502"/>
      <c r="F17" s="3502"/>
      <c r="G17" s="3502"/>
      <c r="H17" s="3502"/>
    </row>
    <row r="18" spans="1:8" ht="24" customHeight="1">
      <c r="A18" s="3503" t="s">
        <v>2160</v>
      </c>
      <c r="B18" s="3503"/>
      <c r="C18" s="3503"/>
      <c r="D18" s="2341"/>
      <c r="E18" s="3504" t="s">
        <v>2161</v>
      </c>
      <c r="F18" s="3503"/>
      <c r="G18" s="3503"/>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2023-07-06T05:35:21Z</dcterms:modified>
</cp:coreProperties>
</file>