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state="hidden"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库" sheetId="78" r:id="rId45"/>
    <sheet name="收益法-地下仓储" sheetId="80" state="hidden" r:id="rId46"/>
    <sheet name="已售清单" sheetId="77" r:id="rId47"/>
    <sheet name="抵押物清单" sheetId="79" state="hidden" r:id="rId48"/>
    <sheet name="土地案例" sheetId="81" r:id="rId49"/>
    <sheet name="Sheet3" sheetId="82" r:id="rId50"/>
    <sheet name="Sheet4" sheetId="8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4">'收益法-车库'!$A$1:$AK$69</definedName>
    <definedName name="_xlnm.Print_Area" localSheetId="45">'收益法-地下仓储'!$A$1:$AK$69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C11" i="21" l="1"/>
  <c r="D63" i="77" l="1"/>
  <c r="M256" i="77"/>
  <c r="AA2" i="77"/>
  <c r="I136" i="77"/>
  <c r="U233" i="77"/>
  <c r="I46" i="39" l="1"/>
  <c r="G46" i="39"/>
  <c r="E46" i="39"/>
  <c r="G38" i="39"/>
  <c r="I38" i="39"/>
  <c r="E38" i="39"/>
  <c r="C38" i="39"/>
  <c r="I7" i="39"/>
  <c r="G7" i="39"/>
  <c r="E7" i="39"/>
  <c r="I5" i="39"/>
  <c r="G5" i="39"/>
  <c r="E5" i="39"/>
  <c r="Q234" i="77"/>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AA5" i="77"/>
  <c r="Z5" i="77"/>
  <c r="K14" i="3" s="1"/>
  <c r="Y5" i="77"/>
  <c r="AC2" i="77"/>
  <c r="AL13" i="3" s="1"/>
  <c r="K13" i="3"/>
  <c r="F20" i="6" s="1"/>
  <c r="L250" i="77"/>
  <c r="L248" i="77"/>
  <c r="AB5" i="77" s="1"/>
  <c r="M14" i="3" l="1"/>
  <c r="G20" i="81"/>
  <c r="O14" i="3"/>
  <c r="H20" i="81"/>
  <c r="Q14" i="3"/>
  <c r="P244" i="77"/>
  <c r="AD5" i="77" s="1"/>
  <c r="AN14" i="3" s="1"/>
  <c r="O244" i="77"/>
  <c r="AC5" i="77" s="1"/>
  <c r="AL14" i="3" s="1"/>
  <c r="V233" i="77"/>
  <c r="AD2" i="77" s="1"/>
  <c r="AN13" i="3" s="1"/>
  <c r="AB2" i="77"/>
  <c r="O219" i="77"/>
  <c r="Q219" i="77" s="1"/>
  <c r="M233" i="77"/>
  <c r="O223" i="77"/>
  <c r="Q224" i="77" s="1"/>
  <c r="R224" i="77" s="1"/>
  <c r="Q211" i="77"/>
  <c r="R211" i="77" s="1"/>
  <c r="O215" i="77"/>
  <c r="Q215" i="77" s="1"/>
  <c r="O211" i="77"/>
  <c r="Q207" i="77"/>
  <c r="O207" i="77"/>
  <c r="O203" i="77"/>
  <c r="Q203" i="77" s="1"/>
  <c r="O190" i="77"/>
  <c r="Q191" i="77" s="1"/>
  <c r="R191" i="77" s="1"/>
  <c r="O180" i="77"/>
  <c r="Q183" i="77" s="1"/>
  <c r="R183" i="77" s="1"/>
  <c r="Q176" i="77"/>
  <c r="V172" i="77" s="1"/>
  <c r="O172" i="77"/>
  <c r="Q194" i="77" l="1"/>
  <c r="R194" i="77" s="1"/>
  <c r="M13" i="3"/>
  <c r="G21" i="6" s="1"/>
  <c r="F20" i="81"/>
  <c r="I20" i="81" s="1"/>
  <c r="Q190" i="77"/>
  <c r="V190" i="77" s="1"/>
  <c r="Q192" i="77"/>
  <c r="R192" i="77" s="1"/>
  <c r="Q180" i="77"/>
  <c r="Q198" i="77"/>
  <c r="R198" i="77" s="1"/>
  <c r="Q196" i="77"/>
  <c r="R196" i="77" s="1"/>
  <c r="R180" i="77"/>
  <c r="Q204" i="77"/>
  <c r="R204" i="77" s="1"/>
  <c r="R207" i="77"/>
  <c r="Q216" i="77"/>
  <c r="R216" i="77" s="1"/>
  <c r="R219" i="77"/>
  <c r="Q173" i="77"/>
  <c r="R173" i="77" s="1"/>
  <c r="Q175" i="77"/>
  <c r="R175" i="77" s="1"/>
  <c r="Q172" i="77"/>
  <c r="Q174" i="77"/>
  <c r="R174" i="77" s="1"/>
  <c r="R176" i="77"/>
  <c r="U172" i="77" s="1"/>
  <c r="Q182" i="77"/>
  <c r="R182" i="77" s="1"/>
  <c r="Q184" i="77"/>
  <c r="R184" i="77" s="1"/>
  <c r="Q186" i="77"/>
  <c r="R186" i="77" s="1"/>
  <c r="Q185" i="77"/>
  <c r="R185" i="77" s="1"/>
  <c r="Q181" i="77"/>
  <c r="R181" i="77" s="1"/>
  <c r="R190" i="77"/>
  <c r="U190" i="77" s="1"/>
  <c r="R203" i="77"/>
  <c r="U203" i="77" s="1"/>
  <c r="R215" i="77"/>
  <c r="Q212" i="77"/>
  <c r="R212" i="77" s="1"/>
  <c r="U211" i="77" s="1"/>
  <c r="AE5" i="77"/>
  <c r="Q199" i="77"/>
  <c r="R199" i="77" s="1"/>
  <c r="Q197" i="77"/>
  <c r="R197" i="77" s="1"/>
  <c r="Q195" i="77"/>
  <c r="R195" i="77" s="1"/>
  <c r="Q193" i="77"/>
  <c r="R193" i="77" s="1"/>
  <c r="Q220" i="77"/>
  <c r="R220" i="77" s="1"/>
  <c r="Q229" i="77"/>
  <c r="R229" i="77" s="1"/>
  <c r="Q227" i="77"/>
  <c r="R227" i="77" s="1"/>
  <c r="Q225" i="77"/>
  <c r="R225" i="77" s="1"/>
  <c r="Q223" i="77"/>
  <c r="Q228" i="77"/>
  <c r="R228" i="77" s="1"/>
  <c r="Q226" i="77"/>
  <c r="R226" i="77" s="1"/>
  <c r="Q208" i="77"/>
  <c r="R208" i="77" s="1"/>
  <c r="O156" i="77"/>
  <c r="O146" i="77"/>
  <c r="Q147" i="77" s="1"/>
  <c r="R147" i="77" s="1"/>
  <c r="O138" i="77"/>
  <c r="Q140" i="77" s="1"/>
  <c r="R140" i="77" s="1"/>
  <c r="Q131" i="77"/>
  <c r="Q133" i="77"/>
  <c r="R133" i="77" s="1"/>
  <c r="Q127" i="77"/>
  <c r="O127" i="77"/>
  <c r="Q128" i="77" s="1"/>
  <c r="R128" i="77" s="1"/>
  <c r="R131" i="77"/>
  <c r="O113" i="77"/>
  <c r="Q114" i="77" s="1"/>
  <c r="R114" i="77" s="1"/>
  <c r="O100" i="77"/>
  <c r="Q102" i="77" s="1"/>
  <c r="R102" i="77" s="1"/>
  <c r="O86" i="77"/>
  <c r="Q79" i="77"/>
  <c r="R79" i="77" s="1"/>
  <c r="O77" i="77"/>
  <c r="Q78" i="77" s="1"/>
  <c r="R78" i="77" s="1"/>
  <c r="Q66" i="77"/>
  <c r="R66" i="77" s="1"/>
  <c r="O65" i="77"/>
  <c r="Q70" i="77" s="1"/>
  <c r="R70" i="77" s="1"/>
  <c r="Q57" i="77"/>
  <c r="R57" i="77" s="1"/>
  <c r="O55" i="77"/>
  <c r="Q61" i="77" s="1"/>
  <c r="R61" i="77" s="1"/>
  <c r="Q47" i="77"/>
  <c r="R47" i="77" s="1"/>
  <c r="Q51" i="77"/>
  <c r="R51" i="77" s="1"/>
  <c r="O45" i="77"/>
  <c r="O33" i="77"/>
  <c r="Q35" i="77" s="1"/>
  <c r="R35" i="77" s="1"/>
  <c r="O21" i="77"/>
  <c r="Q25" i="77" s="1"/>
  <c r="Q14" i="77"/>
  <c r="R14" i="77" s="1"/>
  <c r="O12" i="77"/>
  <c r="Q13" i="77" s="1"/>
  <c r="R13" i="77" s="1"/>
  <c r="O2" i="77"/>
  <c r="Q7" i="77" s="1"/>
  <c r="N2" i="77"/>
  <c r="V2" i="77" l="1"/>
  <c r="R7" i="77"/>
  <c r="U2" i="77" s="1"/>
  <c r="Q36" i="77"/>
  <c r="R36" i="77" s="1"/>
  <c r="Q33" i="77"/>
  <c r="R33" i="77" s="1"/>
  <c r="Q34" i="77"/>
  <c r="R34" i="77" s="1"/>
  <c r="U33" i="77" s="1"/>
  <c r="U215" i="77"/>
  <c r="V215" i="77"/>
  <c r="Q12" i="77"/>
  <c r="Q29" i="77"/>
  <c r="R29" i="77" s="1"/>
  <c r="Q40" i="77"/>
  <c r="R40" i="77" s="1"/>
  <c r="Q65" i="77"/>
  <c r="R65" i="77" s="1"/>
  <c r="Q77" i="77"/>
  <c r="J20" i="81"/>
  <c r="K20" i="81" s="1"/>
  <c r="Q16" i="77"/>
  <c r="R16" i="77" s="1"/>
  <c r="Q38" i="77"/>
  <c r="R38" i="77" s="1"/>
  <c r="Q81" i="77"/>
  <c r="R81" i="77" s="1"/>
  <c r="Q129" i="77"/>
  <c r="R129" i="77" s="1"/>
  <c r="U219" i="77"/>
  <c r="Q3" i="77"/>
  <c r="R3" i="77" s="1"/>
  <c r="Q5" i="77"/>
  <c r="R5" i="77" s="1"/>
  <c r="Q2" i="77"/>
  <c r="Q6" i="77"/>
  <c r="R6" i="77" s="1"/>
  <c r="R12" i="77"/>
  <c r="Q87" i="77"/>
  <c r="R87" i="77" s="1"/>
  <c r="Q89" i="77"/>
  <c r="R89" i="77" s="1"/>
  <c r="Q91" i="77"/>
  <c r="R91" i="77" s="1"/>
  <c r="Q93" i="77"/>
  <c r="R93" i="77" s="1"/>
  <c r="Q95" i="77"/>
  <c r="R95" i="77" s="1"/>
  <c r="Q86" i="77"/>
  <c r="Q88" i="77"/>
  <c r="R88" i="77" s="1"/>
  <c r="Q90" i="77"/>
  <c r="R90" i="77" s="1"/>
  <c r="Q92" i="77"/>
  <c r="R92" i="77" s="1"/>
  <c r="Q94" i="77"/>
  <c r="R94" i="77" s="1"/>
  <c r="Q8" i="77"/>
  <c r="R8" i="77" s="1"/>
  <c r="Q4" i="77"/>
  <c r="R4" i="77" s="1"/>
  <c r="Q22" i="77"/>
  <c r="R22" i="77" s="1"/>
  <c r="Q24" i="77"/>
  <c r="R24" i="77" s="1"/>
  <c r="Q26" i="77"/>
  <c r="R26" i="77" s="1"/>
  <c r="Q28" i="77"/>
  <c r="R28" i="77" s="1"/>
  <c r="Q21" i="77"/>
  <c r="Q27" i="77"/>
  <c r="R27" i="77" s="1"/>
  <c r="Q23" i="77"/>
  <c r="R23" i="77" s="1"/>
  <c r="R25" i="77"/>
  <c r="Q46" i="77"/>
  <c r="Q48" i="77"/>
  <c r="R48" i="77" s="1"/>
  <c r="Q50" i="77"/>
  <c r="R50" i="77" s="1"/>
  <c r="Q45" i="77"/>
  <c r="Q49" i="77"/>
  <c r="R49" i="77" s="1"/>
  <c r="Q56" i="77"/>
  <c r="Q62" i="77" s="1"/>
  <c r="R62" i="77" s="1"/>
  <c r="Q58" i="77"/>
  <c r="R58" i="77" s="1"/>
  <c r="Q60" i="77"/>
  <c r="R60" i="77" s="1"/>
  <c r="Q55" i="77"/>
  <c r="R55" i="77" s="1"/>
  <c r="Q59" i="77"/>
  <c r="R59" i="77" s="1"/>
  <c r="Q67" i="77"/>
  <c r="R67" i="77" s="1"/>
  <c r="Q69" i="77"/>
  <c r="R69" i="77" s="1"/>
  <c r="Q71" i="77"/>
  <c r="R71" i="77" s="1"/>
  <c r="Q73" i="77"/>
  <c r="R73" i="77" s="1"/>
  <c r="Q72" i="77"/>
  <c r="R72" i="77" s="1"/>
  <c r="Q68" i="77"/>
  <c r="R68" i="77" s="1"/>
  <c r="R77" i="77"/>
  <c r="Q96" i="77"/>
  <c r="R96" i="77" s="1"/>
  <c r="Q109" i="77"/>
  <c r="R109" i="77" s="1"/>
  <c r="Q107" i="77"/>
  <c r="R107" i="77" s="1"/>
  <c r="Q105" i="77"/>
  <c r="R105" i="77" s="1"/>
  <c r="Q103" i="77"/>
  <c r="R103" i="77" s="1"/>
  <c r="Q101" i="77"/>
  <c r="R101" i="77" s="1"/>
  <c r="Q123" i="77"/>
  <c r="R123" i="77" s="1"/>
  <c r="Q121" i="77"/>
  <c r="R121" i="77" s="1"/>
  <c r="Q119" i="77"/>
  <c r="R119" i="77" s="1"/>
  <c r="Q117" i="77"/>
  <c r="R117" i="77" s="1"/>
  <c r="Q115" i="77"/>
  <c r="R115" i="77" s="1"/>
  <c r="Q138" i="77"/>
  <c r="Q141" i="77"/>
  <c r="Q139" i="77"/>
  <c r="R139" i="77" s="1"/>
  <c r="Q152" i="77"/>
  <c r="R152" i="77" s="1"/>
  <c r="Q150" i="77"/>
  <c r="R150" i="77" s="1"/>
  <c r="Q148" i="77"/>
  <c r="R148" i="77" s="1"/>
  <c r="Q157" i="77"/>
  <c r="Q159" i="77"/>
  <c r="R159" i="77" s="1"/>
  <c r="Q161" i="77"/>
  <c r="R161" i="77" s="1"/>
  <c r="Q163" i="77"/>
  <c r="R163" i="77" s="1"/>
  <c r="Q165" i="77"/>
  <c r="R165" i="77" s="1"/>
  <c r="Q167" i="77"/>
  <c r="R167" i="77" s="1"/>
  <c r="Q156" i="77"/>
  <c r="Q158" i="77"/>
  <c r="R158" i="77" s="1"/>
  <c r="Q162" i="77"/>
  <c r="R162" i="77" s="1"/>
  <c r="Q166" i="77"/>
  <c r="R166" i="77" s="1"/>
  <c r="Q160" i="77"/>
  <c r="R160" i="77" s="1"/>
  <c r="Q164" i="77"/>
  <c r="R164" i="77" s="1"/>
  <c r="Q168" i="77"/>
  <c r="R168" i="77" s="1"/>
  <c r="R172" i="77"/>
  <c r="Q177" i="77"/>
  <c r="R177" i="77" s="1"/>
  <c r="U207" i="77"/>
  <c r="Q200" i="77"/>
  <c r="R200" i="77" s="1"/>
  <c r="Q187" i="77"/>
  <c r="R187" i="77" s="1"/>
  <c r="Q17" i="77"/>
  <c r="R17" i="77" s="1"/>
  <c r="Q15" i="77"/>
  <c r="R15" i="77" s="1"/>
  <c r="Q41" i="77"/>
  <c r="R41" i="77" s="1"/>
  <c r="Q39" i="77"/>
  <c r="R39" i="77" s="1"/>
  <c r="Q37" i="77"/>
  <c r="R37" i="77" s="1"/>
  <c r="Q82" i="77"/>
  <c r="R82" i="77" s="1"/>
  <c r="Q80" i="77"/>
  <c r="R80" i="77" s="1"/>
  <c r="Q100" i="77"/>
  <c r="Q108" i="77"/>
  <c r="R108" i="77" s="1"/>
  <c r="Q106" i="77"/>
  <c r="R106" i="77" s="1"/>
  <c r="Q104" i="77"/>
  <c r="R104" i="77" s="1"/>
  <c r="Q113" i="77"/>
  <c r="Q122" i="77"/>
  <c r="R122" i="77" s="1"/>
  <c r="Q120" i="77"/>
  <c r="R120" i="77" s="1"/>
  <c r="Q118" i="77"/>
  <c r="R118" i="77" s="1"/>
  <c r="Q116" i="77"/>
  <c r="R116" i="77" s="1"/>
  <c r="Q134" i="77"/>
  <c r="R134" i="77" s="1"/>
  <c r="Q132" i="77"/>
  <c r="R132" i="77" s="1"/>
  <c r="Q130" i="77"/>
  <c r="R130" i="77" s="1"/>
  <c r="R127" i="77"/>
  <c r="Q142" i="77"/>
  <c r="R142" i="77" s="1"/>
  <c r="Q146" i="77"/>
  <c r="Q151" i="77"/>
  <c r="R151" i="77" s="1"/>
  <c r="Q149" i="77"/>
  <c r="R149" i="77" s="1"/>
  <c r="V211" i="77"/>
  <c r="V219" i="77"/>
  <c r="V207" i="77"/>
  <c r="V203" i="77"/>
  <c r="U180" i="77"/>
  <c r="V180" i="77"/>
  <c r="R223" i="77"/>
  <c r="Q230" i="77"/>
  <c r="R230" i="77" s="1"/>
  <c r="V12" i="77" l="1"/>
  <c r="V223" i="77"/>
  <c r="Q169" i="77"/>
  <c r="R169" i="77" s="1"/>
  <c r="R156" i="77"/>
  <c r="V156" i="77"/>
  <c r="R157" i="77"/>
  <c r="U156" i="77" s="1"/>
  <c r="Q143" i="77"/>
  <c r="R143" i="77" s="1"/>
  <c r="R138" i="77"/>
  <c r="V77" i="77"/>
  <c r="R56" i="77"/>
  <c r="U55" i="77" s="1"/>
  <c r="V55" i="77"/>
  <c r="R45" i="77"/>
  <c r="Q52" i="77"/>
  <c r="R52" i="77" s="1"/>
  <c r="Q42" i="77"/>
  <c r="R42" i="77" s="1"/>
  <c r="R21" i="77"/>
  <c r="Q30" i="77"/>
  <c r="R30" i="77" s="1"/>
  <c r="R86" i="77"/>
  <c r="Q97" i="77"/>
  <c r="R97" i="77" s="1"/>
  <c r="Q83" i="77"/>
  <c r="R83" i="77" s="1"/>
  <c r="Q74" i="77"/>
  <c r="R74" i="77" s="1"/>
  <c r="V21" i="77"/>
  <c r="R2" i="77"/>
  <c r="Q9" i="77"/>
  <c r="R9" i="77" s="1"/>
  <c r="Q124" i="77"/>
  <c r="R124" i="77" s="1"/>
  <c r="U223" i="77"/>
  <c r="R146" i="77"/>
  <c r="Q153" i="77"/>
  <c r="R153" i="77" s="1"/>
  <c r="V113" i="77"/>
  <c r="R113" i="77"/>
  <c r="U113" i="77" s="1"/>
  <c r="R100" i="77"/>
  <c r="Q110" i="77"/>
  <c r="R110" i="77" s="1"/>
  <c r="V138" i="77"/>
  <c r="R141" i="77"/>
  <c r="U138" i="77" s="1"/>
  <c r="Q135" i="77"/>
  <c r="R135" i="77" s="1"/>
  <c r="U127" i="77" s="1"/>
  <c r="U77" i="77"/>
  <c r="V45" i="77"/>
  <c r="R46" i="77"/>
  <c r="U45" i="77" s="1"/>
  <c r="V33" i="77"/>
  <c r="U21" i="77"/>
  <c r="Q18" i="77"/>
  <c r="R18" i="77" s="1"/>
  <c r="U65" i="77"/>
  <c r="V65" i="77"/>
  <c r="U12" i="77"/>
  <c r="D92" i="77"/>
  <c r="D83" i="77"/>
  <c r="D77" i="77"/>
  <c r="D71" i="77"/>
  <c r="D54" i="77"/>
  <c r="D40" i="77"/>
  <c r="D38" i="77"/>
  <c r="D33" i="77"/>
  <c r="D31" i="77"/>
  <c r="D26" i="77"/>
  <c r="D20" i="77"/>
  <c r="D13" i="77"/>
  <c r="U86" i="77" l="1"/>
  <c r="V127" i="77"/>
  <c r="U100" i="77"/>
  <c r="Y2" i="77" s="1"/>
  <c r="V100" i="77"/>
  <c r="V86" i="77"/>
  <c r="Z2" i="77" s="1"/>
  <c r="S13" i="3" s="1"/>
  <c r="G19" i="6" s="1"/>
  <c r="Q72" i="78"/>
  <c r="Q59" i="78"/>
  <c r="K59" i="78"/>
  <c r="P74" i="78" s="1"/>
  <c r="F59" i="78"/>
  <c r="Q58" i="78"/>
  <c r="Q51" i="78"/>
  <c r="J50" i="78"/>
  <c r="M47" i="78"/>
  <c r="D46" i="78"/>
  <c r="F33" i="78"/>
  <c r="F61" i="78" s="1"/>
  <c r="F31" i="78"/>
  <c r="F23" i="78"/>
  <c r="D23" i="78" s="1"/>
  <c r="F21" i="78"/>
  <c r="F20" i="78"/>
  <c r="M19" i="78"/>
  <c r="F18" i="78"/>
  <c r="M17" i="78"/>
  <c r="F17" i="78"/>
  <c r="F15" i="78"/>
  <c r="AE2" i="77" l="1"/>
  <c r="AE6" i="77" s="1"/>
  <c r="I13" i="3"/>
  <c r="F19" i="6" s="1"/>
  <c r="D24" i="78"/>
  <c r="P61" i="78"/>
  <c r="D22" i="78"/>
  <c r="D9" i="77"/>
  <c r="I15" i="3" s="1"/>
  <c r="D3" i="4" l="1"/>
  <c r="N6" i="71" l="1"/>
  <c r="AH5" i="71"/>
  <c r="AG5" i="71"/>
  <c r="AE5" i="71"/>
  <c r="AF5" i="71" s="1"/>
  <c r="AD5" i="71"/>
  <c r="Q6" i="71"/>
  <c r="P6" i="71"/>
  <c r="O6" i="71"/>
  <c r="N5" i="71"/>
  <c r="Q5" i="71"/>
  <c r="P5" i="71"/>
  <c r="O5" i="71"/>
  <c r="M19" i="43"/>
  <c r="D8" i="71"/>
  <c r="AH6" i="71"/>
  <c r="AG6" i="71"/>
  <c r="AE6" i="71"/>
  <c r="AF6" i="71" s="1"/>
  <c r="AD6" i="71"/>
  <c r="L3" i="71"/>
  <c r="AH3" i="71" s="1"/>
  <c r="K3" i="71"/>
  <c r="AG3" i="71" s="1"/>
  <c r="I3" i="71"/>
  <c r="J3" i="71"/>
  <c r="AE3" i="71" s="1"/>
  <c r="AF3" i="71" s="1"/>
  <c r="AD7" i="71"/>
  <c r="AG7" i="71"/>
  <c r="AH7" i="71"/>
  <c r="AE7" i="71"/>
  <c r="AF7" i="71" s="1"/>
  <c r="N7" i="71"/>
  <c r="Q7" i="71"/>
  <c r="P7" i="71"/>
  <c r="O7" i="71"/>
  <c r="C7" i="71" s="1"/>
  <c r="Q8" i="71"/>
  <c r="F7" i="71"/>
  <c r="F6" i="71" s="1"/>
  <c r="F5" i="71" s="1"/>
  <c r="P8" i="71"/>
  <c r="E7" i="71"/>
  <c r="O8" i="71"/>
  <c r="N8" i="71"/>
  <c r="X8" i="71" s="1"/>
  <c r="A2" i="53"/>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A12" i="62"/>
  <c r="B58" i="72" s="1"/>
  <c r="A120" i="9"/>
  <c r="H2" i="52"/>
  <c r="A1" i="52"/>
  <c r="A3" i="53"/>
  <c r="Q9" i="71"/>
  <c r="P9" i="71"/>
  <c r="O9" i="71"/>
  <c r="N9" i="71"/>
  <c r="D5" i="43"/>
  <c r="A15" i="51"/>
  <c r="C76" i="9"/>
  <c r="I107" i="40"/>
  <c r="K6" i="4"/>
  <c r="M56" i="9" s="1"/>
  <c r="B22" i="31"/>
  <c r="E16" i="74"/>
  <c r="F16" i="74"/>
  <c r="E17" i="74"/>
  <c r="F17" i="74"/>
  <c r="E18" i="74"/>
  <c r="F18" i="74"/>
  <c r="E19" i="74"/>
  <c r="F19" i="74"/>
  <c r="E20" i="74"/>
  <c r="F20" i="74"/>
  <c r="E21" i="74"/>
  <c r="F21" i="74"/>
  <c r="E22" i="74"/>
  <c r="F22" i="74"/>
  <c r="E23" i="74"/>
  <c r="F23" i="74"/>
  <c r="B3" i="74"/>
  <c r="C91" i="9"/>
  <c r="B8" i="72"/>
  <c r="O10" i="71"/>
  <c r="P10" i="71"/>
  <c r="Q10" i="71"/>
  <c r="N10"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s="1"/>
  <c r="AI9" i="43"/>
  <c r="AI12" i="43" s="1"/>
  <c r="AH9" i="43"/>
  <c r="AH10" i="43" s="1"/>
  <c r="AH12" i="43"/>
  <c r="AG9" i="43"/>
  <c r="AF9" i="43"/>
  <c r="AF12" i="43"/>
  <c r="AE9" i="43"/>
  <c r="AD9" i="43"/>
  <c r="AC9" i="43"/>
  <c r="AB9" i="43"/>
  <c r="AB12" i="43" s="1"/>
  <c r="AA9" i="43"/>
  <c r="AA12" i="43" s="1"/>
  <c r="Z9" i="43"/>
  <c r="Z10" i="43" s="1"/>
  <c r="Z12"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59"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E62" i="71" s="1"/>
  <c r="E61" i="71" s="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s="1"/>
  <c r="C46" i="71" s="1"/>
  <c r="N44" i="71"/>
  <c r="B45"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D24" i="71"/>
  <c r="Q23" i="71"/>
  <c r="P23" i="71"/>
  <c r="O23" i="71"/>
  <c r="N23" i="71"/>
  <c r="Q22" i="71"/>
  <c r="P22" i="71"/>
  <c r="AA22" i="71" s="1"/>
  <c r="O22" i="71"/>
  <c r="Y22" i="71" s="1"/>
  <c r="Z22" i="71" s="1"/>
  <c r="N22" i="71"/>
  <c r="X22" i="71"/>
  <c r="Q21" i="71"/>
  <c r="P21" i="71"/>
  <c r="O21" i="71"/>
  <c r="Y21" i="71" s="1"/>
  <c r="Z21" i="71" s="1"/>
  <c r="N21" i="71"/>
  <c r="Q20" i="71"/>
  <c r="F21" i="71" s="1"/>
  <c r="F22" i="71" s="1"/>
  <c r="P20" i="71"/>
  <c r="O20" i="71"/>
  <c r="N20" i="71"/>
  <c r="D20" i="71"/>
  <c r="Q19" i="71"/>
  <c r="P19" i="71"/>
  <c r="O19" i="71"/>
  <c r="N19" i="71"/>
  <c r="Q18" i="71"/>
  <c r="P18" i="71"/>
  <c r="O18" i="71"/>
  <c r="N18" i="71"/>
  <c r="Q17" i="71"/>
  <c r="P17" i="71"/>
  <c r="AA17" i="71" s="1"/>
  <c r="O17" i="71"/>
  <c r="N17" i="71"/>
  <c r="Q16" i="71"/>
  <c r="F17" i="71" s="1"/>
  <c r="F18" i="71" s="1"/>
  <c r="P16" i="71"/>
  <c r="O16" i="71"/>
  <c r="N16" i="71"/>
  <c r="D16" i="71"/>
  <c r="Q15" i="71"/>
  <c r="P15" i="71"/>
  <c r="O15" i="71"/>
  <c r="N15" i="71"/>
  <c r="Q14" i="71"/>
  <c r="P14" i="71"/>
  <c r="O14" i="71"/>
  <c r="N14" i="71"/>
  <c r="Q13" i="71"/>
  <c r="P13" i="71"/>
  <c r="O13" i="71"/>
  <c r="N13" i="71"/>
  <c r="Q12" i="71"/>
  <c r="P12" i="71"/>
  <c r="AA12" i="71" s="1"/>
  <c r="O12" i="71"/>
  <c r="N12" i="71"/>
  <c r="D12" i="71"/>
  <c r="O11" i="71"/>
  <c r="C11" i="71" s="1"/>
  <c r="N11" i="71"/>
  <c r="B13" i="71"/>
  <c r="B14" i="71"/>
  <c r="E13" i="71"/>
  <c r="E14" i="71" s="1"/>
  <c r="E15" i="71" s="1"/>
  <c r="U15" i="71" s="1"/>
  <c r="B17" i="71"/>
  <c r="B18" i="71"/>
  <c r="B21" i="71"/>
  <c r="B22" i="71" s="1"/>
  <c r="B23" i="71" s="1"/>
  <c r="S23" i="71" s="1"/>
  <c r="N51" i="71"/>
  <c r="E17" i="71"/>
  <c r="E18" i="71" s="1"/>
  <c r="E19" i="71" s="1"/>
  <c r="U19" i="71" s="1"/>
  <c r="C13" i="71"/>
  <c r="C17" i="71"/>
  <c r="C18" i="71" s="1"/>
  <c r="D18" i="71" s="1"/>
  <c r="X19" i="71"/>
  <c r="AA19" i="71"/>
  <c r="AA21" i="71"/>
  <c r="P11" i="71"/>
  <c r="E46" i="71"/>
  <c r="E47" i="71" s="1"/>
  <c r="U47" i="71" s="1"/>
  <c r="Q11" i="71"/>
  <c r="B49" i="71"/>
  <c r="Q51" i="71"/>
  <c r="C54" i="71"/>
  <c r="C53" i="71" s="1"/>
  <c r="D53" i="71" s="1"/>
  <c r="E54" i="71"/>
  <c r="E53" i="71" s="1"/>
  <c r="D55" i="71"/>
  <c r="E58" i="71"/>
  <c r="E57" i="71" s="1"/>
  <c r="D59" i="71"/>
  <c r="C62" i="71"/>
  <c r="D63" i="71"/>
  <c r="C66" i="71"/>
  <c r="D66" i="71" s="1"/>
  <c r="C70" i="71"/>
  <c r="D70" i="71" s="1"/>
  <c r="F11" i="71"/>
  <c r="AA10" i="71"/>
  <c r="C65" i="71"/>
  <c r="D65" i="71" s="1"/>
  <c r="C69" i="71"/>
  <c r="D69" i="71" s="1"/>
  <c r="D54" i="71"/>
  <c r="C1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c r="F94" i="40" s="1"/>
  <c r="G94" i="40" s="1"/>
  <c r="F25" i="40"/>
  <c r="Q29" i="39"/>
  <c r="Z29" i="39" s="1"/>
  <c r="D103" i="39"/>
  <c r="E103" i="39" s="1"/>
  <c r="F103" i="39" s="1"/>
  <c r="G103"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C21" i="37"/>
  <c r="Q21" i="34"/>
  <c r="Z21" i="34" s="1"/>
  <c r="D84" i="34"/>
  <c r="E84" i="34"/>
  <c r="F21" i="34"/>
  <c r="AA21" i="34"/>
  <c r="C21" i="34"/>
  <c r="Z21" i="33"/>
  <c r="Q21" i="33"/>
  <c r="D83" i="33"/>
  <c r="E83" i="33" s="1"/>
  <c r="F83" i="33" s="1"/>
  <c r="G83" i="33" s="1"/>
  <c r="C21" i="33"/>
  <c r="C21" i="21"/>
  <c r="Q21" i="21"/>
  <c r="Z21" i="21" s="1"/>
  <c r="D83" i="21"/>
  <c r="F21" i="21"/>
  <c r="AA21" i="21" s="1"/>
  <c r="D81" i="21"/>
  <c r="G20" i="20"/>
  <c r="B86" i="43" s="1"/>
  <c r="C22" i="20"/>
  <c r="C25" i="40"/>
  <c r="U18" i="36"/>
  <c r="S21" i="34"/>
  <c r="H25" i="40"/>
  <c r="J25" i="40"/>
  <c r="H29" i="39"/>
  <c r="U29" i="39" s="1"/>
  <c r="J29" i="39"/>
  <c r="W29" i="39" s="1"/>
  <c r="J18" i="36"/>
  <c r="F68" i="35"/>
  <c r="G68" i="35" s="1"/>
  <c r="H18" i="35"/>
  <c r="AB18" i="35" s="1"/>
  <c r="J18" i="35"/>
  <c r="F77" i="37"/>
  <c r="G77" i="37" s="1"/>
  <c r="H21" i="37"/>
  <c r="F21" i="37"/>
  <c r="S21" i="37" s="1"/>
  <c r="F84" i="34"/>
  <c r="G84" i="34" s="1"/>
  <c r="H21" i="34"/>
  <c r="H21" i="33"/>
  <c r="AB21" i="33" s="1"/>
  <c r="F21" i="33"/>
  <c r="S21" i="33" s="1"/>
  <c r="E83" i="21"/>
  <c r="F83" i="21" s="1"/>
  <c r="G83" i="21" s="1"/>
  <c r="H1" i="69"/>
  <c r="AB21" i="37"/>
  <c r="U21" i="37"/>
  <c r="AA21" i="37"/>
  <c r="U21" i="33"/>
  <c r="AA21" i="33"/>
  <c r="U18" i="35"/>
  <c r="J21" i="37"/>
  <c r="J21" i="34"/>
  <c r="AC21" i="34" s="1"/>
  <c r="J21" i="33"/>
  <c r="AC21" i="33" s="1"/>
  <c r="H21" i="21"/>
  <c r="U21" i="21" s="1"/>
  <c r="F38" i="69"/>
  <c r="E37" i="69"/>
  <c r="F36" i="69"/>
  <c r="F35" i="69"/>
  <c r="F21" i="69"/>
  <c r="C21" i="69" s="1"/>
  <c r="F20" i="69"/>
  <c r="E10" i="69"/>
  <c r="E9" i="69"/>
  <c r="F7" i="69"/>
  <c r="C7" i="69" s="1"/>
  <c r="W21" i="34"/>
  <c r="W21" i="33"/>
  <c r="AB21" i="21"/>
  <c r="J21" i="21"/>
  <c r="AC21" i="21" s="1"/>
  <c r="F38" i="68"/>
  <c r="E37" i="68"/>
  <c r="F36" i="68"/>
  <c r="F35" i="68"/>
  <c r="F21" i="68"/>
  <c r="C21" i="68" s="1"/>
  <c r="F20" i="68"/>
  <c r="E10" i="68"/>
  <c r="E9" i="68"/>
  <c r="F7" i="68"/>
  <c r="W21" i="21"/>
  <c r="Q72" i="67"/>
  <c r="Q59" i="67"/>
  <c r="Q58" i="67"/>
  <c r="Q51" i="67"/>
  <c r="J50" i="67"/>
  <c r="J51" i="67" s="1"/>
  <c r="M47" i="67"/>
  <c r="D46" i="67"/>
  <c r="F33" i="67"/>
  <c r="F61" i="67" s="1"/>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H99" i="43"/>
  <c r="H108" i="43" s="1"/>
  <c r="I99" i="43"/>
  <c r="I108" i="43" s="1"/>
  <c r="J99" i="43"/>
  <c r="J108" i="43" s="1"/>
  <c r="K99" i="43"/>
  <c r="L99" i="43"/>
  <c r="L108" i="43" s="1"/>
  <c r="M99" i="43"/>
  <c r="M108" i="43" s="1"/>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c r="K87" i="43"/>
  <c r="J87" i="43" s="1"/>
  <c r="M86" i="43"/>
  <c r="N86" i="43" s="1"/>
  <c r="K86" i="43"/>
  <c r="J86" i="43" s="1"/>
  <c r="M85" i="43"/>
  <c r="N85" i="43"/>
  <c r="K85" i="43"/>
  <c r="J85" i="43" s="1"/>
  <c r="M84" i="43"/>
  <c r="N84" i="43"/>
  <c r="K84" i="43"/>
  <c r="J84" i="43" s="1"/>
  <c r="M83" i="43"/>
  <c r="N83" i="43"/>
  <c r="K83" i="43"/>
  <c r="J83" i="43" s="1"/>
  <c r="M82" i="43"/>
  <c r="N82" i="43" s="1"/>
  <c r="K82" i="43"/>
  <c r="J82" i="43" s="1"/>
  <c r="M81" i="43"/>
  <c r="N81" i="43" s="1"/>
  <c r="K81" i="43"/>
  <c r="J81" i="43" s="1"/>
  <c r="M78" i="43"/>
  <c r="N78" i="43"/>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AZ106" i="3" s="1"/>
  <c r="BC106" i="3"/>
  <c r="BB106" i="3"/>
  <c r="AX106" i="3"/>
  <c r="AW106" i="3"/>
  <c r="AV106" i="3"/>
  <c r="AC106" i="3"/>
  <c r="H106" i="3"/>
  <c r="G106" i="3" s="1"/>
  <c r="BT105" i="3"/>
  <c r="BS105" i="3"/>
  <c r="BR105" i="3"/>
  <c r="BQ105" i="3"/>
  <c r="BQ5" i="3" s="1"/>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O5"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L22" i="3" s="1"/>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A372" i="3" s="1"/>
  <c r="BD372" i="3"/>
  <c r="BC372" i="3"/>
  <c r="BB372" i="3"/>
  <c r="AX372" i="3"/>
  <c r="AW372" i="3"/>
  <c r="AV372" i="3"/>
  <c r="AC372" i="3"/>
  <c r="H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L349" i="3" s="1"/>
  <c r="AZ349" i="3" s="1"/>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L344" i="3" s="1"/>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A342" i="3" s="1"/>
  <c r="AZ342" i="3" s="1"/>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A310" i="3" s="1"/>
  <c r="BD310" i="3"/>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AZ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S32" i="31" s="1"/>
  <c r="R33" i="31"/>
  <c r="R34" i="31"/>
  <c r="R35" i="31"/>
  <c r="R36" i="31"/>
  <c r="S36" i="31" s="1"/>
  <c r="R37" i="31"/>
  <c r="R38" i="31"/>
  <c r="R39" i="31"/>
  <c r="R40" i="31"/>
  <c r="S40" i="31" s="1"/>
  <c r="R41" i="31"/>
  <c r="R42" i="31"/>
  <c r="R43" i="31"/>
  <c r="S43" i="31" s="1"/>
  <c r="R44" i="31"/>
  <c r="S44" i="31" s="1"/>
  <c r="R45" i="31"/>
  <c r="R46" i="31"/>
  <c r="R47" i="31"/>
  <c r="S47" i="31" s="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S112" i="31" s="1"/>
  <c r="R113" i="31"/>
  <c r="R114" i="31"/>
  <c r="R115" i="31"/>
  <c r="S115" i="31" s="1"/>
  <c r="R116" i="31"/>
  <c r="S116" i="31" s="1"/>
  <c r="R117" i="31"/>
  <c r="R118" i="31"/>
  <c r="R119" i="31"/>
  <c r="S119" i="31" s="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c r="R258" i="31"/>
  <c r="S258" i="31" s="1"/>
  <c r="R259" i="31"/>
  <c r="S259" i="31" s="1"/>
  <c r="R260" i="31"/>
  <c r="R261" i="31"/>
  <c r="S261" i="31"/>
  <c r="R262" i="31"/>
  <c r="R263" i="31"/>
  <c r="S263" i="31" s="1"/>
  <c r="R264" i="31"/>
  <c r="R265" i="31"/>
  <c r="S265" i="31" s="1"/>
  <c r="R266" i="31"/>
  <c r="R267" i="31"/>
  <c r="S267" i="31" s="1"/>
  <c r="R268" i="31"/>
  <c r="R269" i="31"/>
  <c r="S269" i="31" s="1"/>
  <c r="R270" i="31"/>
  <c r="R271" i="31"/>
  <c r="S271" i="31" s="1"/>
  <c r="R272" i="31"/>
  <c r="S272" i="31" s="1"/>
  <c r="R273" i="31"/>
  <c r="S273" i="31"/>
  <c r="R274" i="31"/>
  <c r="S274" i="31" s="1"/>
  <c r="R275" i="31"/>
  <c r="S275" i="31" s="1"/>
  <c r="R276" i="31"/>
  <c r="R277" i="31"/>
  <c r="S277" i="31"/>
  <c r="R278" i="31"/>
  <c r="S278" i="31" s="1"/>
  <c r="R279" i="31"/>
  <c r="S279" i="31" s="1"/>
  <c r="R280" i="31"/>
  <c r="R281" i="31"/>
  <c r="S281" i="31"/>
  <c r="R282" i="31"/>
  <c r="R283" i="31"/>
  <c r="S283" i="31" s="1"/>
  <c r="R284" i="31"/>
  <c r="R285" i="31"/>
  <c r="S285" i="31" s="1"/>
  <c r="R286" i="31"/>
  <c r="R287" i="31"/>
  <c r="S287" i="31" s="1"/>
  <c r="R288" i="31"/>
  <c r="S288" i="31" s="1"/>
  <c r="R289" i="31"/>
  <c r="S289" i="31"/>
  <c r="R290" i="31"/>
  <c r="S290" i="31" s="1"/>
  <c r="R291" i="31"/>
  <c r="S291" i="31" s="1"/>
  <c r="R292" i="31"/>
  <c r="R293" i="31"/>
  <c r="S293" i="31"/>
  <c r="R294" i="31"/>
  <c r="R295" i="31"/>
  <c r="S295" i="31" s="1"/>
  <c r="R296" i="31"/>
  <c r="R297" i="31"/>
  <c r="S297" i="31"/>
  <c r="R298" i="31"/>
  <c r="R299" i="31"/>
  <c r="S299" i="31" s="1"/>
  <c r="R300" i="31"/>
  <c r="R301" i="31"/>
  <c r="S301" i="31" s="1"/>
  <c r="R302" i="31"/>
  <c r="R303" i="31"/>
  <c r="S303" i="31" s="1"/>
  <c r="R304" i="31"/>
  <c r="S304" i="31" s="1"/>
  <c r="R305" i="31"/>
  <c r="S305" i="31"/>
  <c r="R306" i="31"/>
  <c r="S306" i="31" s="1"/>
  <c r="R307" i="31"/>
  <c r="S307" i="31" s="1"/>
  <c r="R308" i="31"/>
  <c r="R309" i="31"/>
  <c r="S309" i="31"/>
  <c r="R310" i="31"/>
  <c r="R311" i="31"/>
  <c r="S311" i="31" s="1"/>
  <c r="R312" i="31"/>
  <c r="R313" i="31"/>
  <c r="S313" i="31" s="1"/>
  <c r="R314" i="31"/>
  <c r="R315" i="31"/>
  <c r="S315" i="31" s="1"/>
  <c r="R316" i="31"/>
  <c r="S316" i="31" s="1"/>
  <c r="R317" i="31"/>
  <c r="S317" i="31" s="1"/>
  <c r="R318" i="31"/>
  <c r="R319" i="31"/>
  <c r="S319" i="31" s="1"/>
  <c r="R320" i="31"/>
  <c r="S320" i="31" s="1"/>
  <c r="R321" i="31"/>
  <c r="S321" i="31"/>
  <c r="R322" i="31"/>
  <c r="S322" i="31" s="1"/>
  <c r="R323" i="31"/>
  <c r="S323" i="31" s="1"/>
  <c r="R324" i="31"/>
  <c r="R325" i="31"/>
  <c r="S325" i="31"/>
  <c r="R326" i="31"/>
  <c r="S326" i="31" s="1"/>
  <c r="R327" i="31"/>
  <c r="S327" i="31" s="1"/>
  <c r="R328" i="31"/>
  <c r="R329" i="31"/>
  <c r="S329" i="31" s="1"/>
  <c r="R330" i="31"/>
  <c r="R331" i="31"/>
  <c r="S331" i="31" s="1"/>
  <c r="R332" i="31"/>
  <c r="S332" i="31" s="1"/>
  <c r="R333" i="31"/>
  <c r="S333" i="31" s="1"/>
  <c r="R334" i="31"/>
  <c r="R335" i="31"/>
  <c r="S335" i="31" s="1"/>
  <c r="R336" i="31"/>
  <c r="S336" i="31" s="1"/>
  <c r="R337" i="31"/>
  <c r="S337" i="31"/>
  <c r="R338" i="31"/>
  <c r="R339" i="31"/>
  <c r="S339" i="31" s="1"/>
  <c r="R340" i="31"/>
  <c r="R341" i="31"/>
  <c r="S341" i="31"/>
  <c r="R342" i="31"/>
  <c r="S342" i="31" s="1"/>
  <c r="R343" i="31"/>
  <c r="S343" i="31" s="1"/>
  <c r="R344" i="31"/>
  <c r="R345" i="31"/>
  <c r="S345" i="31"/>
  <c r="R346" i="31"/>
  <c r="R347" i="31"/>
  <c r="S347" i="31" s="1"/>
  <c r="R348" i="31"/>
  <c r="R349" i="31"/>
  <c r="S349" i="31" s="1"/>
  <c r="R350" i="31"/>
  <c r="R351" i="31"/>
  <c r="S351" i="31" s="1"/>
  <c r="R352" i="31"/>
  <c r="S352" i="31" s="1"/>
  <c r="R353" i="31"/>
  <c r="S353" i="31"/>
  <c r="R354" i="31"/>
  <c r="R355" i="31"/>
  <c r="S355" i="31" s="1"/>
  <c r="R356" i="31"/>
  <c r="R357" i="31"/>
  <c r="S357" i="31"/>
  <c r="R358" i="31"/>
  <c r="S358" i="31" s="1"/>
  <c r="R359" i="31"/>
  <c r="S359" i="31" s="1"/>
  <c r="R360" i="31"/>
  <c r="R361" i="31"/>
  <c r="S361" i="31"/>
  <c r="R362" i="31"/>
  <c r="R363" i="31"/>
  <c r="S363" i="31" s="1"/>
  <c r="R364" i="31"/>
  <c r="R365" i="31"/>
  <c r="S365" i="31" s="1"/>
  <c r="R366" i="31"/>
  <c r="R367" i="31"/>
  <c r="S367" i="31" s="1"/>
  <c r="R368" i="31"/>
  <c r="S368" i="31" s="1"/>
  <c r="R369" i="31"/>
  <c r="S369" i="31"/>
  <c r="R370" i="31"/>
  <c r="S370" i="31" s="1"/>
  <c r="R371" i="31"/>
  <c r="S371" i="31" s="1"/>
  <c r="R372" i="31"/>
  <c r="R373" i="31"/>
  <c r="S373" i="31"/>
  <c r="R374" i="31"/>
  <c r="S374" i="31" s="1"/>
  <c r="R375" i="31"/>
  <c r="S375" i="31" s="1"/>
  <c r="R376" i="31"/>
  <c r="R377" i="31"/>
  <c r="S377" i="31" s="1"/>
  <c r="R378" i="31"/>
  <c r="R379" i="31"/>
  <c r="S379" i="31" s="1"/>
  <c r="R380" i="31"/>
  <c r="S380" i="31" s="1"/>
  <c r="R381" i="31"/>
  <c r="S381" i="31" s="1"/>
  <c r="R382" i="31"/>
  <c r="R383" i="31"/>
  <c r="S383" i="31" s="1"/>
  <c r="R384" i="31"/>
  <c r="S384" i="31" s="1"/>
  <c r="R385" i="31"/>
  <c r="S385" i="31"/>
  <c r="R386" i="31"/>
  <c r="R387" i="31"/>
  <c r="S387" i="31" s="1"/>
  <c r="R388" i="31"/>
  <c r="R389" i="31"/>
  <c r="S389" i="31"/>
  <c r="R390" i="31"/>
  <c r="S390" i="31" s="1"/>
  <c r="R391" i="31"/>
  <c r="S391" i="31" s="1"/>
  <c r="R392" i="31"/>
  <c r="R393" i="31"/>
  <c r="S393" i="31"/>
  <c r="R394" i="31"/>
  <c r="R395" i="31"/>
  <c r="S395" i="31" s="1"/>
  <c r="R396" i="31"/>
  <c r="R397" i="31"/>
  <c r="S397" i="31" s="1"/>
  <c r="R398" i="31"/>
  <c r="R399" i="31"/>
  <c r="S399" i="31" s="1"/>
  <c r="R400" i="31"/>
  <c r="S400" i="31" s="1"/>
  <c r="R401" i="31"/>
  <c r="S401" i="31"/>
  <c r="R402" i="31"/>
  <c r="R403" i="31"/>
  <c r="S403" i="31" s="1"/>
  <c r="R404" i="31"/>
  <c r="R405" i="31"/>
  <c r="S405" i="31"/>
  <c r="R406" i="31"/>
  <c r="S406" i="31" s="1"/>
  <c r="R407" i="31"/>
  <c r="S407" i="31" s="1"/>
  <c r="R408" i="31"/>
  <c r="R409" i="31"/>
  <c r="S409" i="31"/>
  <c r="R410" i="31"/>
  <c r="R411" i="31"/>
  <c r="S411" i="31" s="1"/>
  <c r="R412" i="31"/>
  <c r="R413" i="31"/>
  <c r="S413" i="31" s="1"/>
  <c r="R414" i="31"/>
  <c r="R415" i="31"/>
  <c r="S415" i="31" s="1"/>
  <c r="R416" i="31"/>
  <c r="S416" i="31" s="1"/>
  <c r="R417" i="31"/>
  <c r="S417" i="31"/>
  <c r="R418" i="31"/>
  <c r="R419" i="31"/>
  <c r="S419" i="31" s="1"/>
  <c r="R420" i="31"/>
  <c r="R421" i="31"/>
  <c r="S421" i="31"/>
  <c r="R422" i="31"/>
  <c r="S422" i="31" s="1"/>
  <c r="R423" i="31"/>
  <c r="S423" i="31" s="1"/>
  <c r="R424" i="31"/>
  <c r="R425" i="31"/>
  <c r="R426" i="31"/>
  <c r="S426" i="31" s="1"/>
  <c r="R427" i="31"/>
  <c r="R428" i="31"/>
  <c r="R429" i="31"/>
  <c r="R430" i="31"/>
  <c r="R431" i="31"/>
  <c r="R432" i="31"/>
  <c r="R433" i="31"/>
  <c r="S433" i="31" s="1"/>
  <c r="R434" i="31"/>
  <c r="R435" i="31"/>
  <c r="R436" i="31"/>
  <c r="R437" i="31"/>
  <c r="S437" i="31" s="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7" i="1" s="1"/>
  <c r="G7" i="1" s="1"/>
  <c r="D15" i="4"/>
  <c r="L21" i="4"/>
  <c r="F19" i="4"/>
  <c r="F2" i="52"/>
  <c r="B50" i="72"/>
  <c r="D2" i="52"/>
  <c r="B46" i="72" s="1"/>
  <c r="B8" i="53"/>
  <c r="B23" i="72"/>
  <c r="L4" i="9"/>
  <c r="B17" i="72"/>
  <c r="B15" i="72"/>
  <c r="A3" i="51"/>
  <c r="C8" i="11"/>
  <c r="B2" i="49"/>
  <c r="B23" i="49" s="1"/>
  <c r="B40" i="48"/>
  <c r="B3" i="72"/>
  <c r="I2" i="43"/>
  <c r="N1" i="43" s="1"/>
  <c r="F35" i="4"/>
  <c r="J55" i="39"/>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c r="F56" i="9"/>
  <c r="O54" i="9" s="1"/>
  <c r="D101" i="9"/>
  <c r="C101" i="9"/>
  <c r="H104" i="9"/>
  <c r="D10" i="53" s="1"/>
  <c r="B26" i="72" s="1"/>
  <c r="C30" i="40"/>
  <c r="H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4" i="31"/>
  <c r="S412" i="31"/>
  <c r="S410" i="31"/>
  <c r="S408" i="31"/>
  <c r="S404" i="31"/>
  <c r="S402" i="31"/>
  <c r="S398" i="31"/>
  <c r="S396" i="31"/>
  <c r="S394" i="31"/>
  <c r="S392" i="31"/>
  <c r="S388" i="31"/>
  <c r="S386" i="31"/>
  <c r="S382" i="31"/>
  <c r="S378" i="31"/>
  <c r="S376" i="31"/>
  <c r="S372" i="31"/>
  <c r="S366" i="31"/>
  <c r="S364" i="31"/>
  <c r="S362" i="31"/>
  <c r="S360" i="31"/>
  <c r="S356" i="31"/>
  <c r="S354" i="31"/>
  <c r="S350" i="31"/>
  <c r="S348" i="31"/>
  <c r="S346" i="31"/>
  <c r="S344" i="31"/>
  <c r="S340" i="31"/>
  <c r="S338" i="31"/>
  <c r="S334" i="31"/>
  <c r="S330" i="31"/>
  <c r="S328" i="31"/>
  <c r="S324" i="31"/>
  <c r="S424" i="31"/>
  <c r="S318" i="31"/>
  <c r="S314" i="31"/>
  <c r="S312" i="31"/>
  <c r="S310" i="31"/>
  <c r="S308" i="31"/>
  <c r="S302" i="31"/>
  <c r="S300" i="31"/>
  <c r="S298" i="31"/>
  <c r="S296" i="31"/>
  <c r="S294" i="31"/>
  <c r="S292" i="31"/>
  <c r="S286" i="31"/>
  <c r="S284" i="31"/>
  <c r="S282" i="31"/>
  <c r="S280" i="31"/>
  <c r="S276" i="31"/>
  <c r="S270" i="31"/>
  <c r="S268" i="31"/>
  <c r="S266" i="31"/>
  <c r="S264" i="31"/>
  <c r="S262" i="31"/>
  <c r="S260" i="31"/>
  <c r="S254" i="31"/>
  <c r="S253" i="31"/>
  <c r="S250" i="31"/>
  <c r="S249" i="31"/>
  <c r="S246" i="31"/>
  <c r="S245" i="31"/>
  <c r="S242" i="31"/>
  <c r="S241" i="31"/>
  <c r="S238" i="31"/>
  <c r="S237" i="31"/>
  <c r="S234" i="31"/>
  <c r="S233" i="31"/>
  <c r="S230" i="31"/>
  <c r="S229" i="31"/>
  <c r="S226" i="31"/>
  <c r="S225" i="31"/>
  <c r="S429" i="31"/>
  <c r="S428" i="31"/>
  <c r="S427" i="31"/>
  <c r="S425" i="31"/>
  <c r="S222" i="31"/>
  <c r="S221" i="31"/>
  <c r="S219" i="31"/>
  <c r="S218" i="31"/>
  <c r="S217" i="31"/>
  <c r="S214" i="31"/>
  <c r="S213"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6" i="31"/>
  <c r="S435" i="31"/>
  <c r="S434" i="31"/>
  <c r="S432" i="31"/>
  <c r="S431" i="31"/>
  <c r="S430" i="31"/>
  <c r="S122" i="31"/>
  <c r="S121" i="31"/>
  <c r="S118" i="31"/>
  <c r="S117"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6" i="31"/>
  <c r="S45"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J5" i="3" s="1"/>
  <c r="BK493" i="3"/>
  <c r="BM493" i="3"/>
  <c r="BN493" i="3"/>
  <c r="BO493" i="3"/>
  <c r="BL493" i="3" s="1"/>
  <c r="BP493" i="3"/>
  <c r="BR493" i="3"/>
  <c r="BS493" i="3"/>
  <c r="BT493" i="3"/>
  <c r="H494" i="3"/>
  <c r="AC494" i="3"/>
  <c r="BB494" i="3"/>
  <c r="BC494" i="3"/>
  <c r="BD494" i="3"/>
  <c r="BE494" i="3"/>
  <c r="BF494" i="3"/>
  <c r="BG494" i="3"/>
  <c r="BG5" i="3" s="1"/>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A496" i="3" s="1"/>
  <c r="AZ496" i="3" s="1"/>
  <c r="BE496" i="3"/>
  <c r="BF496" i="3"/>
  <c r="BG496" i="3"/>
  <c r="BH496" i="3"/>
  <c r="BH5" i="3" s="1"/>
  <c r="BI496" i="3"/>
  <c r="BJ496" i="3"/>
  <c r="BK496" i="3"/>
  <c r="BM496" i="3"/>
  <c r="BN496" i="3"/>
  <c r="BO496" i="3"/>
  <c r="BP496" i="3"/>
  <c r="BQ496" i="3"/>
  <c r="BR496" i="3"/>
  <c r="BS496" i="3"/>
  <c r="BT496" i="3"/>
  <c r="H497" i="3"/>
  <c r="G497" i="3" s="1"/>
  <c r="AC497" i="3"/>
  <c r="BB497" i="3"/>
  <c r="BC497" i="3"/>
  <c r="BD497" i="3"/>
  <c r="BA497" i="3" s="1"/>
  <c r="BE497" i="3"/>
  <c r="BF497" i="3"/>
  <c r="BG497" i="3"/>
  <c r="BH497" i="3"/>
  <c r="BI497" i="3"/>
  <c r="BJ497" i="3"/>
  <c r="BK497" i="3"/>
  <c r="BM497" i="3"/>
  <c r="BL497" i="3" s="1"/>
  <c r="BN497" i="3"/>
  <c r="BO497" i="3"/>
  <c r="BP497" i="3"/>
  <c r="BR497" i="3"/>
  <c r="BR5" i="3" s="1"/>
  <c r="BS497" i="3"/>
  <c r="BT497" i="3"/>
  <c r="H498" i="3"/>
  <c r="AC498" i="3"/>
  <c r="AC5" i="3" s="1"/>
  <c r="BB498" i="3"/>
  <c r="BC498" i="3"/>
  <c r="BD498" i="3"/>
  <c r="BE498" i="3"/>
  <c r="BA498" i="3" s="1"/>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L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G516" i="3" s="1"/>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A520" i="3" s="1"/>
  <c r="AZ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L521" i="3" s="1"/>
  <c r="AZ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AZ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G531" i="3" s="1"/>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L548" i="3" s="1"/>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A567" i="3" s="1"/>
  <c r="AZ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A572" i="3" s="1"/>
  <c r="AZ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F26" i="35" s="1"/>
  <c r="C79" i="35"/>
  <c r="H26"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s="1"/>
  <c r="F84" i="40" s="1"/>
  <c r="G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F40" i="40"/>
  <c r="Q39" i="40"/>
  <c r="Z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D95" i="39"/>
  <c r="E95" i="39" s="1"/>
  <c r="F95" i="39" s="1"/>
  <c r="G95" i="39" s="1"/>
  <c r="D93" i="39"/>
  <c r="E93" i="39" s="1"/>
  <c r="F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J28" i="37" s="1"/>
  <c r="AC28" i="37" s="1"/>
  <c r="B84" i="37"/>
  <c r="H27" i="37" s="1"/>
  <c r="B82" i="37"/>
  <c r="J26" i="37" s="1"/>
  <c r="AC26" i="37" s="1"/>
  <c r="D79" i="37"/>
  <c r="E79" i="37" s="1"/>
  <c r="F79" i="37" s="1"/>
  <c r="G79" i="37" s="1"/>
  <c r="D75" i="37"/>
  <c r="E75" i="37"/>
  <c r="D73" i="37"/>
  <c r="E73" i="37" s="1"/>
  <c r="F73" i="37" s="1"/>
  <c r="D71" i="37"/>
  <c r="H15" i="37"/>
  <c r="AB15" i="37"/>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B55" i="36"/>
  <c r="F54" i="36"/>
  <c r="G54" i="36" s="1"/>
  <c r="H54" i="36" s="1"/>
  <c r="I54" i="36" s="1"/>
  <c r="C51" i="36"/>
  <c r="P37" i="36"/>
  <c r="P36" i="36"/>
  <c r="V35" i="36"/>
  <c r="T35" i="36"/>
  <c r="R35" i="36"/>
  <c r="P35" i="36"/>
  <c r="Q34" i="36"/>
  <c r="Z34" i="36" s="1"/>
  <c r="Q33" i="36"/>
  <c r="Z33" i="36" s="1"/>
  <c r="Q32" i="36"/>
  <c r="Z32" i="36"/>
  <c r="Q31" i="36"/>
  <c r="Z31" i="36" s="1"/>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B57" i="35"/>
  <c r="B61" i="35"/>
  <c r="B59" i="35"/>
  <c r="J12" i="35" s="1"/>
  <c r="B131" i="34"/>
  <c r="F47" i="34" s="1"/>
  <c r="S47" i="34" s="1"/>
  <c r="B129" i="34"/>
  <c r="B127" i="34"/>
  <c r="B99" i="34"/>
  <c r="B97" i="34"/>
  <c r="H31" i="34" s="1"/>
  <c r="AB31" i="34" s="1"/>
  <c r="B95" i="34"/>
  <c r="B93" i="34"/>
  <c r="B75" i="34"/>
  <c r="B73" i="34"/>
  <c r="B71" i="34"/>
  <c r="H12" i="34" s="1"/>
  <c r="AB12" i="34" s="1"/>
  <c r="B130" i="33"/>
  <c r="B128" i="33"/>
  <c r="H45" i="33" s="1"/>
  <c r="U45" i="33" s="1"/>
  <c r="B126" i="33"/>
  <c r="B98" i="33"/>
  <c r="B96" i="33"/>
  <c r="B94" i="33"/>
  <c r="B74" i="33"/>
  <c r="H14" i="33" s="1"/>
  <c r="U14" i="33" s="1"/>
  <c r="B72" i="33"/>
  <c r="B70" i="33"/>
  <c r="J12" i="33"/>
  <c r="AC12" i="33" s="1"/>
  <c r="D96" i="35"/>
  <c r="E96" i="35" s="1"/>
  <c r="F96" i="35" s="1"/>
  <c r="G96" i="35" s="1"/>
  <c r="D94" i="35"/>
  <c r="E94" i="35"/>
  <c r="F94" i="35" s="1"/>
  <c r="G94" i="35"/>
  <c r="H94" i="35" s="1"/>
  <c r="I94" i="35" s="1"/>
  <c r="J94" i="35" s="1"/>
  <c r="K94" i="35" s="1"/>
  <c r="L94" i="35" s="1"/>
  <c r="M94" i="35" s="1"/>
  <c r="D84" i="35"/>
  <c r="E84" i="35" s="1"/>
  <c r="F84" i="35" s="1"/>
  <c r="G84" i="35"/>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c r="F64" i="35" s="1"/>
  <c r="G64" i="35" s="1"/>
  <c r="J14" i="35"/>
  <c r="W14" i="35" s="1"/>
  <c r="F56" i="35"/>
  <c r="G56" i="35"/>
  <c r="H56" i="35" s="1"/>
  <c r="I56" i="35" s="1"/>
  <c r="C53" i="35"/>
  <c r="J9" i="35"/>
  <c r="P39" i="35"/>
  <c r="P38" i="35"/>
  <c r="V37" i="35"/>
  <c r="T37" i="35"/>
  <c r="R37" i="35"/>
  <c r="P37" i="35"/>
  <c r="Q36" i="35"/>
  <c r="Z36" i="35"/>
  <c r="Q35" i="35"/>
  <c r="Z35" i="35" s="1"/>
  <c r="Q34" i="35"/>
  <c r="Z34" i="35"/>
  <c r="Q33" i="35"/>
  <c r="Z33" i="35" s="1"/>
  <c r="Q32" i="35"/>
  <c r="Z32" i="35"/>
  <c r="H32" i="35"/>
  <c r="F32" i="35"/>
  <c r="AA32" i="35"/>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c r="Q23" i="35"/>
  <c r="Z23" i="35" s="1"/>
  <c r="Q22" i="35"/>
  <c r="Z22" i="35" s="1"/>
  <c r="Q20" i="35"/>
  <c r="Z20" i="35"/>
  <c r="Q16" i="35"/>
  <c r="Z16" i="35" s="1"/>
  <c r="Q14" i="35"/>
  <c r="Z14" i="35"/>
  <c r="Q13" i="35"/>
  <c r="Z13" i="35" s="1"/>
  <c r="Q12" i="35"/>
  <c r="Z12" i="35"/>
  <c r="Q11" i="35"/>
  <c r="Z11" i="35" s="1"/>
  <c r="Q10" i="35"/>
  <c r="Z10" i="35"/>
  <c r="Q9" i="35"/>
  <c r="Z9" i="35" s="1"/>
  <c r="J8" i="35"/>
  <c r="W8" i="35"/>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F12" i="34"/>
  <c r="Q11" i="34"/>
  <c r="Z11" i="34" s="1"/>
  <c r="Q10" i="34"/>
  <c r="Z10" i="34" s="1"/>
  <c r="F10" i="34"/>
  <c r="AA10" i="34" s="1"/>
  <c r="Q9" i="34"/>
  <c r="Z9" i="34" s="1"/>
  <c r="J9" i="34"/>
  <c r="AC9" i="34" s="1"/>
  <c r="J8" i="34"/>
  <c r="H8" i="34"/>
  <c r="U8" i="34"/>
  <c r="F8" i="34"/>
  <c r="S8" i="34" s="1"/>
  <c r="D121" i="33"/>
  <c r="E121" i="33" s="1"/>
  <c r="F109" i="33"/>
  <c r="E109" i="33"/>
  <c r="D109" i="33"/>
  <c r="C109" i="33"/>
  <c r="D91" i="33"/>
  <c r="E91" i="33" s="1"/>
  <c r="F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c r="Q45" i="33"/>
  <c r="Z45" i="33" s="1"/>
  <c r="Q44" i="33"/>
  <c r="Z44" i="33"/>
  <c r="Q43" i="33"/>
  <c r="Z43" i="33" s="1"/>
  <c r="Q42" i="33"/>
  <c r="Z42" i="33"/>
  <c r="J42" i="33"/>
  <c r="AC41" i="33"/>
  <c r="W41" i="33"/>
  <c r="Q41" i="33"/>
  <c r="Z41" i="33" s="1"/>
  <c r="Q40" i="33"/>
  <c r="Z40" i="33"/>
  <c r="J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D77" i="21"/>
  <c r="E77" i="21" s="1"/>
  <c r="F77" i="21" s="1"/>
  <c r="G77" i="21" s="1"/>
  <c r="B130" i="21"/>
  <c r="B128" i="21"/>
  <c r="B126" i="21"/>
  <c r="B98" i="21"/>
  <c r="H31" i="21" s="1"/>
  <c r="AB31" i="21" s="1"/>
  <c r="B96" i="21"/>
  <c r="B94" i="21"/>
  <c r="J29" i="21" s="1"/>
  <c r="AC29" i="21" s="1"/>
  <c r="B92" i="21"/>
  <c r="B90" i="21"/>
  <c r="J27" i="21"/>
  <c r="W27" i="21" s="1"/>
  <c r="B74" i="21"/>
  <c r="B72" i="21"/>
  <c r="H13" i="21"/>
  <c r="AB13" i="21" s="1"/>
  <c r="B70" i="2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F43" i="21"/>
  <c r="S43" i="2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F26" i="21"/>
  <c r="S26" i="21"/>
  <c r="AB41" i="21"/>
  <c r="F45" i="39"/>
  <c r="S45" i="39" s="1"/>
  <c r="J45" i="39"/>
  <c r="W45" i="39" s="1"/>
  <c r="F36" i="39"/>
  <c r="S36" i="39" s="1"/>
  <c r="H36" i="39"/>
  <c r="AB36" i="39" s="1"/>
  <c r="J35" i="39"/>
  <c r="F35" i="39"/>
  <c r="AA35" i="39" s="1"/>
  <c r="J36" i="39"/>
  <c r="AC36" i="39" s="1"/>
  <c r="U30" i="37"/>
  <c r="E103" i="37"/>
  <c r="F103" i="37"/>
  <c r="G103" i="37" s="1"/>
  <c r="H103" i="37" s="1"/>
  <c r="I103" i="37" s="1"/>
  <c r="J103" i="37" s="1"/>
  <c r="K103" i="37" s="1"/>
  <c r="L103" i="37" s="1"/>
  <c r="M103" i="37" s="1"/>
  <c r="F39" i="37"/>
  <c r="F29" i="36"/>
  <c r="AA29" i="36"/>
  <c r="F16" i="36"/>
  <c r="AA16" i="36" s="1"/>
  <c r="S30" i="36"/>
  <c r="AC31" i="36"/>
  <c r="W31" i="36"/>
  <c r="U31" i="36"/>
  <c r="J33" i="36"/>
  <c r="W33" i="36" s="1"/>
  <c r="H22" i="35"/>
  <c r="AB22" i="35"/>
  <c r="AC27" i="35"/>
  <c r="U31" i="35"/>
  <c r="W22" i="35"/>
  <c r="F36" i="34"/>
  <c r="J35" i="34"/>
  <c r="H39" i="33"/>
  <c r="AB39" i="33"/>
  <c r="U33" i="33"/>
  <c r="U35" i="33"/>
  <c r="W33" i="33"/>
  <c r="W39" i="33"/>
  <c r="F11" i="40"/>
  <c r="AA11" i="40" s="1"/>
  <c r="H11" i="40"/>
  <c r="AB11" i="40" s="1"/>
  <c r="AC9" i="40"/>
  <c r="U9" i="40"/>
  <c r="W31" i="40"/>
  <c r="U34" i="40"/>
  <c r="F42" i="39"/>
  <c r="AA42" i="39" s="1"/>
  <c r="F41" i="39"/>
  <c r="S41" i="39" s="1"/>
  <c r="H40" i="39"/>
  <c r="AB40" i="39" s="1"/>
  <c r="S38" i="39"/>
  <c r="S34" i="39"/>
  <c r="H34" i="39"/>
  <c r="U34" i="39" s="1"/>
  <c r="E109" i="39"/>
  <c r="F31" i="39"/>
  <c r="E101" i="39"/>
  <c r="H27" i="39" s="1"/>
  <c r="F19" i="39"/>
  <c r="J23" i="40"/>
  <c r="AC23" i="40" s="1"/>
  <c r="F21" i="40"/>
  <c r="J21" i="40"/>
  <c r="W21" i="40" s="1"/>
  <c r="H42" i="39"/>
  <c r="AB42" i="39" s="1"/>
  <c r="J34" i="39"/>
  <c r="AC34" i="39" s="1"/>
  <c r="F109" i="39"/>
  <c r="G109" i="39" s="1"/>
  <c r="H109" i="39" s="1"/>
  <c r="I109" i="39" s="1"/>
  <c r="J109" i="39" s="1"/>
  <c r="K109" i="39" s="1"/>
  <c r="L109" i="39" s="1"/>
  <c r="M109" i="39" s="1"/>
  <c r="J31" i="39"/>
  <c r="F101" i="39"/>
  <c r="J19" i="39"/>
  <c r="AC19" i="39" s="1"/>
  <c r="J27" i="39"/>
  <c r="AC27" i="39" s="1"/>
  <c r="S40" i="21"/>
  <c r="C25" i="39"/>
  <c r="C27" i="39"/>
  <c r="H11" i="39"/>
  <c r="S40" i="39"/>
  <c r="C15" i="39"/>
  <c r="H32" i="33"/>
  <c r="AB32" i="33"/>
  <c r="H37" i="40"/>
  <c r="U37" i="40" s="1"/>
  <c r="H36" i="40"/>
  <c r="AB36" i="40"/>
  <c r="F35" i="40"/>
  <c r="AA35" i="40" s="1"/>
  <c r="H23" i="40"/>
  <c r="AB23" i="40"/>
  <c r="H17" i="40"/>
  <c r="J15" i="40"/>
  <c r="W15" i="40"/>
  <c r="J11" i="40"/>
  <c r="W11" i="40" s="1"/>
  <c r="AB12" i="33"/>
  <c r="AC12" i="34"/>
  <c r="J34" i="36"/>
  <c r="W34" i="36"/>
  <c r="J30" i="35"/>
  <c r="W30" i="35" s="1"/>
  <c r="H30" i="35"/>
  <c r="F22" i="35"/>
  <c r="AA22" i="35" s="1"/>
  <c r="H10" i="35"/>
  <c r="U10" i="35" s="1"/>
  <c r="AC16" i="36"/>
  <c r="F33" i="36"/>
  <c r="AA33" i="36"/>
  <c r="H16" i="36"/>
  <c r="AB16" i="36" s="1"/>
  <c r="E85" i="36"/>
  <c r="F85" i="36" s="1"/>
  <c r="G85" i="36" s="1"/>
  <c r="H85" i="36" s="1"/>
  <c r="I85" i="36" s="1"/>
  <c r="J85" i="36" s="1"/>
  <c r="K85" i="36" s="1"/>
  <c r="L85" i="36" s="1"/>
  <c r="M85" i="36" s="1"/>
  <c r="J29" i="36"/>
  <c r="AC29" i="36" s="1"/>
  <c r="F24" i="36"/>
  <c r="AA24" i="36" s="1"/>
  <c r="F34" i="36"/>
  <c r="S34" i="36" s="1"/>
  <c r="S8" i="36"/>
  <c r="F14" i="35"/>
  <c r="AA14" i="35" s="1"/>
  <c r="J32" i="35"/>
  <c r="AC32" i="35" s="1"/>
  <c r="J16" i="35"/>
  <c r="AC16" i="35" s="1"/>
  <c r="H16" i="35"/>
  <c r="U16" i="35" s="1"/>
  <c r="F16" i="35"/>
  <c r="S16" i="35" s="1"/>
  <c r="H14" i="35"/>
  <c r="J29" i="35"/>
  <c r="H33" i="35"/>
  <c r="AB33" i="35" s="1"/>
  <c r="AC8"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7" i="34"/>
  <c r="AA27" i="34"/>
  <c r="F25" i="34"/>
  <c r="S25" i="34" s="1"/>
  <c r="H23" i="34"/>
  <c r="U23" i="34"/>
  <c r="J23" i="34"/>
  <c r="AC23" i="34" s="1"/>
  <c r="F19" i="34"/>
  <c r="H17" i="34"/>
  <c r="U17" i="34"/>
  <c r="F15" i="34"/>
  <c r="AA15" i="34" s="1"/>
  <c r="J15" i="34"/>
  <c r="H15" i="34"/>
  <c r="AB15"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U40" i="33"/>
  <c r="S8" i="33"/>
  <c r="F37" i="40"/>
  <c r="F36" i="40"/>
  <c r="AA36" i="40"/>
  <c r="H28" i="40"/>
  <c r="U28" i="40" s="1"/>
  <c r="F23" i="40"/>
  <c r="AA23" i="40"/>
  <c r="F17" i="40"/>
  <c r="J17" i="40"/>
  <c r="W17" i="40"/>
  <c r="F15" i="40"/>
  <c r="S15" i="40" s="1"/>
  <c r="H15" i="40"/>
  <c r="AB15" i="40"/>
  <c r="AB30" i="36"/>
  <c r="AC34" i="36"/>
  <c r="U33" i="35"/>
  <c r="F29" i="35"/>
  <c r="S29" i="35" s="1"/>
  <c r="H29" i="35"/>
  <c r="AB29" i="35" s="1"/>
  <c r="H33" i="37"/>
  <c r="AB33" i="37" s="1"/>
  <c r="F33" i="37"/>
  <c r="AA33" i="37" s="1"/>
  <c r="U34" i="37"/>
  <c r="W33" i="37"/>
  <c r="S34" i="37"/>
  <c r="AA34" i="37"/>
  <c r="J43" i="34"/>
  <c r="AC43" i="34" s="1"/>
  <c r="AB42" i="34"/>
  <c r="J40" i="34"/>
  <c r="H38" i="34"/>
  <c r="AB38" i="34" s="1"/>
  <c r="J36" i="34"/>
  <c r="W36" i="34"/>
  <c r="H37" i="34"/>
  <c r="U37" i="34" s="1"/>
  <c r="H25" i="34"/>
  <c r="AB25" i="34"/>
  <c r="J25" i="34"/>
  <c r="AB23" i="34"/>
  <c r="F23" i="34"/>
  <c r="AA23" i="34" s="1"/>
  <c r="J19" i="34"/>
  <c r="AC19" i="34" s="1"/>
  <c r="F17" i="34"/>
  <c r="AA17" i="34" s="1"/>
  <c r="J17" i="34"/>
  <c r="W17" i="34" s="1"/>
  <c r="AB17" i="34"/>
  <c r="H37" i="33"/>
  <c r="AB37" i="33" s="1"/>
  <c r="H15" i="33"/>
  <c r="H11" i="33"/>
  <c r="AB11" i="33" s="1"/>
  <c r="F28" i="40"/>
  <c r="AA28" i="40"/>
  <c r="AA29" i="35"/>
  <c r="AC38" i="34"/>
  <c r="J37" i="34"/>
  <c r="AC37" i="34" s="1"/>
  <c r="J11" i="33"/>
  <c r="W11" i="33" s="1"/>
  <c r="S28" i="34"/>
  <c r="U23" i="40"/>
  <c r="J44" i="34"/>
  <c r="F44" i="34"/>
  <c r="AA44" i="34" s="1"/>
  <c r="J10" i="35"/>
  <c r="W10" i="35" s="1"/>
  <c r="J14" i="21"/>
  <c r="W14" i="21"/>
  <c r="F14" i="21"/>
  <c r="AA14" i="21" s="1"/>
  <c r="S14" i="21"/>
  <c r="H14" i="21"/>
  <c r="U14" i="21"/>
  <c r="H28" i="21"/>
  <c r="U28" i="21" s="1"/>
  <c r="AB28" i="21"/>
  <c r="F28" i="21"/>
  <c r="AA28" i="21"/>
  <c r="J28" i="21"/>
  <c r="W28" i="21"/>
  <c r="J44" i="21"/>
  <c r="AC44" i="21" s="1"/>
  <c r="H44" i="21"/>
  <c r="U44" i="21"/>
  <c r="F44" i="21"/>
  <c r="AA44" i="21" s="1"/>
  <c r="E119" i="21"/>
  <c r="F119" i="2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J13" i="33"/>
  <c r="H13" i="33"/>
  <c r="AB13" i="33" s="1"/>
  <c r="F13" i="33"/>
  <c r="S13" i="33" s="1"/>
  <c r="J29" i="33"/>
  <c r="AC29" i="33" s="1"/>
  <c r="J31" i="33"/>
  <c r="W31" i="33" s="1"/>
  <c r="H31" i="33"/>
  <c r="AB31" i="33" s="1"/>
  <c r="F31" i="33"/>
  <c r="J45" i="33"/>
  <c r="H14" i="34"/>
  <c r="H30" i="34"/>
  <c r="F30" i="34"/>
  <c r="S30" i="34" s="1"/>
  <c r="J30" i="34"/>
  <c r="W30" i="34" s="1"/>
  <c r="H32" i="34"/>
  <c r="U32" i="34" s="1"/>
  <c r="H46" i="34"/>
  <c r="U46" i="34" s="1"/>
  <c r="F46" i="34"/>
  <c r="S46" i="34" s="1"/>
  <c r="J46" i="34"/>
  <c r="W46" i="34" s="1"/>
  <c r="H11" i="35"/>
  <c r="U11" i="35" s="1"/>
  <c r="J11" i="35"/>
  <c r="AC11" i="35" s="1"/>
  <c r="F11" i="35"/>
  <c r="J26" i="36"/>
  <c r="W26" i="36" s="1"/>
  <c r="H28" i="36"/>
  <c r="U28" i="36" s="1"/>
  <c r="H32" i="36"/>
  <c r="AB32" i="36" s="1"/>
  <c r="J32" i="36"/>
  <c r="W32" i="36" s="1"/>
  <c r="J11" i="36"/>
  <c r="AC11" i="36" s="1"/>
  <c r="H11" i="36"/>
  <c r="U11" i="36" s="1"/>
  <c r="F11" i="36"/>
  <c r="AA11" i="36" s="1"/>
  <c r="H13" i="36"/>
  <c r="AB13" i="36" s="1"/>
  <c r="J13" i="36"/>
  <c r="AC13" i="36" s="1"/>
  <c r="F89" i="37"/>
  <c r="G89" i="37" s="1"/>
  <c r="H89" i="37" s="1"/>
  <c r="I89" i="37" s="1"/>
  <c r="J89" i="37" s="1"/>
  <c r="K89" i="37" s="1"/>
  <c r="L89" i="37" s="1"/>
  <c r="M89" i="37" s="1"/>
  <c r="J29" i="37"/>
  <c r="W29" i="37" s="1"/>
  <c r="F29" i="37"/>
  <c r="S29" i="37" s="1"/>
  <c r="F105" i="37"/>
  <c r="H36" i="37"/>
  <c r="AB36" i="37" s="1"/>
  <c r="J37" i="37"/>
  <c r="AC37" i="37" s="1"/>
  <c r="H37" i="37"/>
  <c r="U37" i="37" s="1"/>
  <c r="F40" i="37"/>
  <c r="AA40" i="37" s="1"/>
  <c r="F14" i="33"/>
  <c r="S14" i="33" s="1"/>
  <c r="J14" i="33"/>
  <c r="AC14" i="33" s="1"/>
  <c r="H30" i="33"/>
  <c r="AB30" i="33"/>
  <c r="F30" i="33"/>
  <c r="S30" i="33" s="1"/>
  <c r="J30" i="33"/>
  <c r="AC30" i="33" s="1"/>
  <c r="J46" i="33"/>
  <c r="AC46" i="33" s="1"/>
  <c r="F46" i="33"/>
  <c r="AA46" i="33" s="1"/>
  <c r="H46" i="33"/>
  <c r="AB46" i="33" s="1"/>
  <c r="J13" i="34"/>
  <c r="W13" i="34" s="1"/>
  <c r="J29" i="34"/>
  <c r="F29" i="34"/>
  <c r="S29" i="34" s="1"/>
  <c r="H29" i="34"/>
  <c r="AB29" i="34"/>
  <c r="H45" i="34"/>
  <c r="U45" i="34"/>
  <c r="J45" i="34"/>
  <c r="AC45" i="34" s="1"/>
  <c r="W45" i="34"/>
  <c r="F45" i="34"/>
  <c r="S45" i="34"/>
  <c r="J47" i="34"/>
  <c r="F13" i="35"/>
  <c r="S13" i="35"/>
  <c r="J13" i="35"/>
  <c r="H13" i="35"/>
  <c r="U13" i="35"/>
  <c r="J25" i="35"/>
  <c r="F25" i="35"/>
  <c r="S25" i="35"/>
  <c r="H25" i="35"/>
  <c r="AB25" i="35" s="1"/>
  <c r="F35" i="35"/>
  <c r="AA35" i="35"/>
  <c r="J25" i="36"/>
  <c r="F13" i="37"/>
  <c r="S13" i="37" s="1"/>
  <c r="F28" i="37"/>
  <c r="S28" i="37" s="1"/>
  <c r="H28" i="37"/>
  <c r="U28" i="37" s="1"/>
  <c r="H38" i="37"/>
  <c r="AB38" i="37"/>
  <c r="J38" i="37"/>
  <c r="AC38" i="37" s="1"/>
  <c r="F38" i="37"/>
  <c r="S38" i="37"/>
  <c r="F43" i="39"/>
  <c r="J14" i="39"/>
  <c r="AC14" i="39" s="1"/>
  <c r="F14" i="39"/>
  <c r="S14" i="39" s="1"/>
  <c r="H14" i="39"/>
  <c r="F12" i="40"/>
  <c r="S12" i="40"/>
  <c r="H12" i="40"/>
  <c r="AB12" i="40" s="1"/>
  <c r="AB30" i="40"/>
  <c r="F33" i="40"/>
  <c r="AA33" i="40" s="1"/>
  <c r="H33" i="40"/>
  <c r="U33" i="40"/>
  <c r="J35" i="40"/>
  <c r="AC35" i="40" s="1"/>
  <c r="J37" i="40"/>
  <c r="AC37" i="40"/>
  <c r="H13" i="40"/>
  <c r="U13" i="40" s="1"/>
  <c r="W13" i="40"/>
  <c r="F13" i="40"/>
  <c r="AA13" i="40" s="1"/>
  <c r="F14" i="37"/>
  <c r="AA14" i="37" s="1"/>
  <c r="S14" i="37"/>
  <c r="F27" i="37"/>
  <c r="AA27" i="37" s="1"/>
  <c r="H13" i="39"/>
  <c r="U13" i="39" s="1"/>
  <c r="J14" i="37"/>
  <c r="AC14" i="37"/>
  <c r="J27" i="37"/>
  <c r="AC27" i="37"/>
  <c r="AA13" i="35"/>
  <c r="U31" i="34"/>
  <c r="J36" i="37"/>
  <c r="AC36" i="37" s="1"/>
  <c r="G105" i="37"/>
  <c r="AB11" i="35"/>
  <c r="J10" i="36"/>
  <c r="AC10" i="36"/>
  <c r="W13" i="36"/>
  <c r="W11" i="36"/>
  <c r="AB45" i="33"/>
  <c r="U31" i="33"/>
  <c r="AC28" i="21"/>
  <c r="S44" i="34"/>
  <c r="F17" i="21"/>
  <c r="AA17" i="21" s="1"/>
  <c r="H17" i="21"/>
  <c r="AB17" i="21" s="1"/>
  <c r="F15" i="21"/>
  <c r="S15" i="21" s="1"/>
  <c r="J41" i="39"/>
  <c r="W41" i="39" s="1"/>
  <c r="AC45" i="39"/>
  <c r="W36" i="39"/>
  <c r="U36" i="39"/>
  <c r="S35" i="39"/>
  <c r="G544" i="3"/>
  <c r="G536" i="3"/>
  <c r="G528" i="3"/>
  <c r="G523" i="3"/>
  <c r="G514" i="3"/>
  <c r="G508" i="3"/>
  <c r="G500" i="3"/>
  <c r="G584" i="3"/>
  <c r="G580" i="3"/>
  <c r="G576" i="3"/>
  <c r="G568" i="3"/>
  <c r="G560" i="3"/>
  <c r="G550" i="3"/>
  <c r="BL580" i="3"/>
  <c r="BL572" i="3"/>
  <c r="BL538" i="3"/>
  <c r="BL506" i="3"/>
  <c r="BL578" i="3"/>
  <c r="BL566" i="3"/>
  <c r="BL536" i="3"/>
  <c r="G529" i="3"/>
  <c r="BL524" i="3"/>
  <c r="BL496" i="3"/>
  <c r="G493" i="3"/>
  <c r="BA580" i="3"/>
  <c r="AZ580" i="3" s="1"/>
  <c r="BA574" i="3"/>
  <c r="BA568" i="3"/>
  <c r="BA564" i="3"/>
  <c r="BA554" i="3"/>
  <c r="BA528" i="3"/>
  <c r="BA514" i="3"/>
  <c r="BA587" i="3"/>
  <c r="BA579" i="3"/>
  <c r="AZ579" i="3" s="1"/>
  <c r="BA577" i="3"/>
  <c r="BA575" i="3"/>
  <c r="AZ575" i="3" s="1"/>
  <c r="BA563" i="3"/>
  <c r="BA559" i="3"/>
  <c r="BA541" i="3"/>
  <c r="BA527" i="3"/>
  <c r="BA507" i="3"/>
  <c r="BA495" i="3"/>
  <c r="G583" i="3"/>
  <c r="G581" i="3"/>
  <c r="G577" i="3"/>
  <c r="G575" i="3"/>
  <c r="G571" i="3"/>
  <c r="G569" i="3"/>
  <c r="G567" i="3"/>
  <c r="G561" i="3"/>
  <c r="BA557" i="3"/>
  <c r="AC557" i="3"/>
  <c r="BQ557" i="3"/>
  <c r="BQ583" i="3"/>
  <c r="BQ581" i="3"/>
  <c r="BQ579" i="3"/>
  <c r="BL579" i="3"/>
  <c r="BQ577" i="3"/>
  <c r="BL577" i="3" s="1"/>
  <c r="BQ575" i="3"/>
  <c r="BQ573" i="3"/>
  <c r="BL573" i="3" s="1"/>
  <c r="BQ571" i="3"/>
  <c r="BQ569" i="3"/>
  <c r="BQ567" i="3"/>
  <c r="BL567" i="3"/>
  <c r="BQ565" i="3"/>
  <c r="BQ563" i="3"/>
  <c r="BQ561" i="3"/>
  <c r="BQ559" i="3"/>
  <c r="BL559" i="3" s="1"/>
  <c r="AZ559" i="3" s="1"/>
  <c r="G559" i="3"/>
  <c r="G553" i="3"/>
  <c r="G549" i="3"/>
  <c r="G547" i="3"/>
  <c r="G539" i="3"/>
  <c r="G537" i="3"/>
  <c r="BQ555" i="3"/>
  <c r="BQ553" i="3"/>
  <c r="BQ551" i="3"/>
  <c r="BQ549" i="3"/>
  <c r="BQ547" i="3"/>
  <c r="BQ545" i="3"/>
  <c r="BQ543" i="3"/>
  <c r="BQ541" i="3"/>
  <c r="BQ539" i="3"/>
  <c r="BQ537" i="3"/>
  <c r="BQ535" i="3"/>
  <c r="BL535" i="3" s="1"/>
  <c r="BQ533" i="3"/>
  <c r="BQ531" i="3"/>
  <c r="BQ529" i="3"/>
  <c r="BQ527" i="3"/>
  <c r="BQ525" i="3"/>
  <c r="BQ523" i="3"/>
  <c r="BA521" i="3"/>
  <c r="AC521" i="3"/>
  <c r="G521" i="3" s="1"/>
  <c r="BQ521" i="3"/>
  <c r="BL520" i="3"/>
  <c r="G517" i="3"/>
  <c r="G515" i="3"/>
  <c r="BQ519" i="3"/>
  <c r="BQ517" i="3"/>
  <c r="BQ515" i="3"/>
  <c r="BQ513" i="3"/>
  <c r="BQ511" i="3"/>
  <c r="AC509" i="3"/>
  <c r="BQ509" i="3"/>
  <c r="G503" i="3"/>
  <c r="G501" i="3"/>
  <c r="G495" i="3"/>
  <c r="BQ507" i="3"/>
  <c r="BL507" i="3" s="1"/>
  <c r="AZ507" i="3" s="1"/>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U32" i="33"/>
  <c r="AA36" i="39"/>
  <c r="F39" i="33"/>
  <c r="AA39" i="33" s="1"/>
  <c r="E123" i="33"/>
  <c r="F42" i="33"/>
  <c r="AA42" i="33" s="1"/>
  <c r="H28" i="34"/>
  <c r="AB28" i="34" s="1"/>
  <c r="F14" i="36"/>
  <c r="AA14" i="36" s="1"/>
  <c r="F22" i="36"/>
  <c r="F26" i="36"/>
  <c r="H27" i="34"/>
  <c r="H35" i="34"/>
  <c r="U35" i="34" s="1"/>
  <c r="F41" i="34"/>
  <c r="H41" i="34"/>
  <c r="U41" i="34" s="1"/>
  <c r="J41" i="34"/>
  <c r="F10" i="35"/>
  <c r="S10" i="35" s="1"/>
  <c r="F24" i="35"/>
  <c r="AA24" i="35" s="1"/>
  <c r="H24" i="35"/>
  <c r="AB24" i="35" s="1"/>
  <c r="H23" i="37"/>
  <c r="AB23" i="37" s="1"/>
  <c r="J32" i="37"/>
  <c r="AC32" i="37" s="1"/>
  <c r="F36" i="37"/>
  <c r="F37" i="37"/>
  <c r="AA37" i="37" s="1"/>
  <c r="F31" i="40"/>
  <c r="AA31" i="40" s="1"/>
  <c r="H31" i="40"/>
  <c r="U31" i="40" s="1"/>
  <c r="H32" i="40"/>
  <c r="AB32" i="40" s="1"/>
  <c r="J36" i="40"/>
  <c r="W36" i="40" s="1"/>
  <c r="H19" i="37"/>
  <c r="AB19" i="37"/>
  <c r="F123" i="33"/>
  <c r="G123" i="33" s="1"/>
  <c r="H123" i="33" s="1"/>
  <c r="I123" i="33" s="1"/>
  <c r="J123" i="33" s="1"/>
  <c r="K123" i="33" s="1"/>
  <c r="L123" i="33" s="1"/>
  <c r="M123" i="33" s="1"/>
  <c r="H42" i="33"/>
  <c r="J43" i="33"/>
  <c r="AC43" i="33" s="1"/>
  <c r="S28" i="31"/>
  <c r="S27" i="31"/>
  <c r="S26" i="31"/>
  <c r="AC33" i="36"/>
  <c r="W14" i="37"/>
  <c r="U33" i="37"/>
  <c r="W26" i="37"/>
  <c r="AC8" i="37"/>
  <c r="W37" i="34"/>
  <c r="AB37" i="34"/>
  <c r="AC36" i="34"/>
  <c r="AA13" i="33"/>
  <c r="AC31" i="33"/>
  <c r="U11" i="33"/>
  <c r="U26" i="21"/>
  <c r="F43" i="33"/>
  <c r="AA43" i="33" s="1"/>
  <c r="W15" i="34"/>
  <c r="AC15" i="34"/>
  <c r="W16" i="35"/>
  <c r="H19" i="34"/>
  <c r="AB19" i="34"/>
  <c r="F36" i="35"/>
  <c r="J9" i="37"/>
  <c r="W9" i="37"/>
  <c r="H9" i="37"/>
  <c r="AB9" i="37" s="1"/>
  <c r="F9" i="37"/>
  <c r="S9" i="37"/>
  <c r="J12" i="37"/>
  <c r="W12" i="37" s="1"/>
  <c r="H12" i="37"/>
  <c r="U12" i="37" s="1"/>
  <c r="F12" i="37"/>
  <c r="E71" i="37"/>
  <c r="F71" i="37" s="1"/>
  <c r="G71" i="37" s="1"/>
  <c r="F15" i="37"/>
  <c r="AA15" i="37" s="1"/>
  <c r="F31" i="37"/>
  <c r="S31" i="37"/>
  <c r="F12" i="39"/>
  <c r="S12" i="39" s="1"/>
  <c r="J42" i="39"/>
  <c r="AC42" i="39" s="1"/>
  <c r="H21" i="40"/>
  <c r="AB21" i="40" s="1"/>
  <c r="AC12" i="37"/>
  <c r="H31" i="37"/>
  <c r="U31" i="37" s="1"/>
  <c r="J15" i="37"/>
  <c r="AC15" i="37" s="1"/>
  <c r="W15" i="37"/>
  <c r="AT6" i="3"/>
  <c r="AA25" i="21"/>
  <c r="C12" i="43"/>
  <c r="H19" i="40"/>
  <c r="U19" i="40" s="1"/>
  <c r="F88" i="40"/>
  <c r="G88" i="40" s="1"/>
  <c r="F19" i="40"/>
  <c r="S19" i="40" s="1"/>
  <c r="AC13" i="40"/>
  <c r="AB33" i="40"/>
  <c r="U45" i="39"/>
  <c r="AB45" i="39"/>
  <c r="G101" i="39"/>
  <c r="H37" i="39"/>
  <c r="U37" i="39" s="1"/>
  <c r="AB37" i="39"/>
  <c r="H25" i="39"/>
  <c r="AB25" i="39" s="1"/>
  <c r="J25" i="39"/>
  <c r="W25" i="39" s="1"/>
  <c r="F15" i="39"/>
  <c r="AA15" i="39" s="1"/>
  <c r="H15" i="39"/>
  <c r="U15" i="39" s="1"/>
  <c r="J15" i="39"/>
  <c r="W15" i="39" s="1"/>
  <c r="H41" i="39"/>
  <c r="AB41" i="39" s="1"/>
  <c r="W27" i="39"/>
  <c r="AB34" i="39"/>
  <c r="W14" i="39"/>
  <c r="W9" i="39"/>
  <c r="W8" i="39"/>
  <c r="J19" i="40"/>
  <c r="J50" i="40"/>
  <c r="H103" i="9"/>
  <c r="D8" i="53" s="1"/>
  <c r="B16" i="53"/>
  <c r="B33" i="72" s="1"/>
  <c r="C7" i="37"/>
  <c r="C7" i="34"/>
  <c r="C7" i="36"/>
  <c r="C46" i="36" s="1"/>
  <c r="D46" i="36" s="1"/>
  <c r="E46" i="36" s="1"/>
  <c r="A4" i="52"/>
  <c r="B41" i="72" s="1"/>
  <c r="J11" i="39"/>
  <c r="W11" i="39" s="1"/>
  <c r="F11" i="39"/>
  <c r="AA11" i="39" s="1"/>
  <c r="G4" i="4"/>
  <c r="I4" i="4"/>
  <c r="K5" i="4"/>
  <c r="B47" i="48" s="1"/>
  <c r="N2" i="43"/>
  <c r="F59" i="43"/>
  <c r="G546" i="3"/>
  <c r="G303" i="3"/>
  <c r="BL304" i="3"/>
  <c r="G305" i="3"/>
  <c r="BL306" i="3"/>
  <c r="BA308" i="3"/>
  <c r="AZ308" i="3" s="1"/>
  <c r="BA309" i="3"/>
  <c r="AZ309" i="3" s="1"/>
  <c r="G310" i="3"/>
  <c r="BA311" i="3"/>
  <c r="AZ311" i="3" s="1"/>
  <c r="G319" i="3"/>
  <c r="BL320" i="3"/>
  <c r="G321" i="3"/>
  <c r="BL322" i="3"/>
  <c r="AZ322" i="3" s="1"/>
  <c r="BA324" i="3"/>
  <c r="AZ324" i="3" s="1"/>
  <c r="BA325" i="3"/>
  <c r="BL325" i="3"/>
  <c r="G326" i="3"/>
  <c r="BA327" i="3"/>
  <c r="G335" i="3"/>
  <c r="BL336" i="3"/>
  <c r="G337" i="3"/>
  <c r="BL338" i="3"/>
  <c r="BA340" i="3"/>
  <c r="AZ340" i="3"/>
  <c r="BA341" i="3"/>
  <c r="BA345" i="3"/>
  <c r="BL355" i="3"/>
  <c r="G356" i="3"/>
  <c r="BL357" i="3"/>
  <c r="BA359" i="3"/>
  <c r="AZ359" i="3" s="1"/>
  <c r="BA360" i="3"/>
  <c r="AZ360" i="3" s="1"/>
  <c r="BL360" i="3"/>
  <c r="G361" i="3"/>
  <c r="BA362" i="3"/>
  <c r="G370" i="3"/>
  <c r="G372" i="3"/>
  <c r="BL373" i="3"/>
  <c r="BA375" i="3"/>
  <c r="AZ375" i="3" s="1"/>
  <c r="BA376" i="3"/>
  <c r="BL376" i="3"/>
  <c r="G377" i="3"/>
  <c r="BA378" i="3"/>
  <c r="BL378" i="3"/>
  <c r="G379" i="3"/>
  <c r="BA380" i="3"/>
  <c r="G388" i="3"/>
  <c r="BL389" i="3"/>
  <c r="G390" i="3"/>
  <c r="BL391" i="3"/>
  <c r="BA393" i="3"/>
  <c r="AZ393" i="3"/>
  <c r="BA394" i="3"/>
  <c r="AZ394" i="3" s="1"/>
  <c r="BL394" i="3"/>
  <c r="G113" i="3"/>
  <c r="BA115" i="3"/>
  <c r="AZ115" i="3" s="1"/>
  <c r="BL116" i="3"/>
  <c r="G117" i="3"/>
  <c r="BA119" i="3"/>
  <c r="BL120" i="3"/>
  <c r="AZ120" i="3" s="1"/>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AZ147" i="3" s="1"/>
  <c r="BL148" i="3"/>
  <c r="G149" i="3"/>
  <c r="BA151" i="3"/>
  <c r="AZ151" i="3"/>
  <c r="BL152" i="3"/>
  <c r="G153" i="3"/>
  <c r="BA155" i="3"/>
  <c r="BL156" i="3"/>
  <c r="AZ156" i="3"/>
  <c r="G157" i="3"/>
  <c r="BA159" i="3"/>
  <c r="BL160" i="3"/>
  <c r="G161" i="3"/>
  <c r="BA163" i="3"/>
  <c r="AZ163" i="3" s="1"/>
  <c r="BL164" i="3"/>
  <c r="G165" i="3"/>
  <c r="BA167" i="3"/>
  <c r="BL168" i="3"/>
  <c r="G169" i="3"/>
  <c r="BA171" i="3"/>
  <c r="BL172" i="3"/>
  <c r="AZ172" i="3" s="1"/>
  <c r="G173" i="3"/>
  <c r="BA175" i="3"/>
  <c r="AZ175" i="3" s="1"/>
  <c r="BL176" i="3"/>
  <c r="AZ176" i="3" s="1"/>
  <c r="G177" i="3"/>
  <c r="BA179" i="3"/>
  <c r="BL180" i="3"/>
  <c r="G181" i="3"/>
  <c r="BA183" i="3"/>
  <c r="AZ183" i="3"/>
  <c r="BL184" i="3"/>
  <c r="G185" i="3"/>
  <c r="BA187" i="3"/>
  <c r="AZ187" i="3"/>
  <c r="BL188" i="3"/>
  <c r="G189" i="3"/>
  <c r="BA191" i="3"/>
  <c r="AZ191" i="3" s="1"/>
  <c r="BL192" i="3"/>
  <c r="G193" i="3"/>
  <c r="BA195" i="3"/>
  <c r="AZ195" i="3" s="1"/>
  <c r="BL196" i="3"/>
  <c r="G197" i="3"/>
  <c r="BA199" i="3"/>
  <c r="AZ199" i="3" s="1"/>
  <c r="BL200" i="3"/>
  <c r="G201" i="3"/>
  <c r="BA203" i="3"/>
  <c r="BL204" i="3"/>
  <c r="AZ55" i="3"/>
  <c r="AZ71" i="3"/>
  <c r="AZ168" i="3"/>
  <c r="AZ184" i="3"/>
  <c r="G530" i="3"/>
  <c r="G522" i="3"/>
  <c r="G494" i="3"/>
  <c r="G16" i="3"/>
  <c r="G15" i="3"/>
  <c r="BA304" i="3"/>
  <c r="AZ304" i="3" s="1"/>
  <c r="BA305" i="3"/>
  <c r="AZ305" i="3" s="1"/>
  <c r="BL305" i="3"/>
  <c r="G306" i="3"/>
  <c r="G309" i="3"/>
  <c r="BL310" i="3"/>
  <c r="BA312" i="3"/>
  <c r="AZ312" i="3" s="1"/>
  <c r="BA313" i="3"/>
  <c r="BL313" i="3"/>
  <c r="AZ313" i="3" s="1"/>
  <c r="G314" i="3"/>
  <c r="BL318" i="3"/>
  <c r="BA320" i="3"/>
  <c r="AZ320" i="3"/>
  <c r="BA321" i="3"/>
  <c r="BL321" i="3"/>
  <c r="AZ321" i="3" s="1"/>
  <c r="G322" i="3"/>
  <c r="G325" i="3"/>
  <c r="BL326" i="3"/>
  <c r="BA328" i="3"/>
  <c r="AZ328" i="3"/>
  <c r="BA329" i="3"/>
  <c r="BL329" i="3"/>
  <c r="AZ329" i="3" s="1"/>
  <c r="G330" i="3"/>
  <c r="G333" i="3"/>
  <c r="BL334" i="3"/>
  <c r="BA336" i="3"/>
  <c r="AZ336" i="3"/>
  <c r="BA337" i="3"/>
  <c r="AZ337" i="3" s="1"/>
  <c r="BL337" i="3"/>
  <c r="G338" i="3"/>
  <c r="G341" i="3"/>
  <c r="BL342" i="3"/>
  <c r="BA344" i="3"/>
  <c r="BA346" i="3"/>
  <c r="AZ346" i="3" s="1"/>
  <c r="BA347" i="3"/>
  <c r="G350" i="3"/>
  <c r="BA351" i="3"/>
  <c r="BL351" i="3"/>
  <c r="G352" i="3"/>
  <c r="G354" i="3"/>
  <c r="BA355" i="3"/>
  <c r="AZ355" i="3"/>
  <c r="BA356" i="3"/>
  <c r="G357" i="3"/>
  <c r="G360" i="3"/>
  <c r="BL361" i="3"/>
  <c r="BA363" i="3"/>
  <c r="AZ363" i="3" s="1"/>
  <c r="BA364" i="3"/>
  <c r="BL364" i="3"/>
  <c r="G365" i="3"/>
  <c r="BL369" i="3"/>
  <c r="BA371" i="3"/>
  <c r="AZ371" i="3"/>
  <c r="AZ372" i="3"/>
  <c r="BL372" i="3"/>
  <c r="G373" i="3"/>
  <c r="BL377" i="3"/>
  <c r="BL379" i="3"/>
  <c r="BA381" i="3"/>
  <c r="AZ381" i="3" s="1"/>
  <c r="BA382" i="3"/>
  <c r="BL382" i="3"/>
  <c r="G383" i="3"/>
  <c r="G386" i="3"/>
  <c r="BA389" i="3"/>
  <c r="AZ389" i="3"/>
  <c r="BA390" i="3"/>
  <c r="G391" i="3"/>
  <c r="G394" i="3"/>
  <c r="AZ190" i="3"/>
  <c r="BA16" i="3"/>
  <c r="BL303" i="3"/>
  <c r="AZ303" i="3" s="1"/>
  <c r="G304" i="3"/>
  <c r="BA306" i="3"/>
  <c r="AZ306" i="3" s="1"/>
  <c r="BL307" i="3"/>
  <c r="AZ307" i="3" s="1"/>
  <c r="G308" i="3"/>
  <c r="AZ310" i="3"/>
  <c r="BL311" i="3"/>
  <c r="G312" i="3"/>
  <c r="BA314" i="3"/>
  <c r="AZ314" i="3" s="1"/>
  <c r="BL315" i="3"/>
  <c r="G316" i="3"/>
  <c r="AZ318" i="3"/>
  <c r="BL319" i="3"/>
  <c r="AZ319" i="3" s="1"/>
  <c r="G320" i="3"/>
  <c r="BA322" i="3"/>
  <c r="BL323" i="3"/>
  <c r="AZ323" i="3" s="1"/>
  <c r="G324" i="3"/>
  <c r="BA326" i="3"/>
  <c r="AZ326" i="3" s="1"/>
  <c r="BL327" i="3"/>
  <c r="G328" i="3"/>
  <c r="BA330" i="3"/>
  <c r="AZ330" i="3"/>
  <c r="BL331" i="3"/>
  <c r="G332" i="3"/>
  <c r="BA334" i="3"/>
  <c r="AZ334" i="3" s="1"/>
  <c r="BL335" i="3"/>
  <c r="AZ335" i="3" s="1"/>
  <c r="G336" i="3"/>
  <c r="BA338" i="3"/>
  <c r="AZ338" i="3" s="1"/>
  <c r="BL339" i="3"/>
  <c r="G340" i="3"/>
  <c r="G344" i="3"/>
  <c r="G348" i="3"/>
  <c r="G355" i="3"/>
  <c r="AZ214" i="3"/>
  <c r="BL345" i="3"/>
  <c r="AZ345" i="3"/>
  <c r="G346" i="3"/>
  <c r="BL352" i="3"/>
  <c r="AZ352" i="3" s="1"/>
  <c r="G353" i="3"/>
  <c r="BA357" i="3"/>
  <c r="AZ357" i="3"/>
  <c r="BL358" i="3"/>
  <c r="G359" i="3"/>
  <c r="BA361" i="3"/>
  <c r="BL362" i="3"/>
  <c r="AZ362" i="3" s="1"/>
  <c r="G363" i="3"/>
  <c r="BA365" i="3"/>
  <c r="AZ365" i="3" s="1"/>
  <c r="BL366" i="3"/>
  <c r="G367" i="3"/>
  <c r="AZ369" i="3"/>
  <c r="BL370" i="3"/>
  <c r="G371" i="3"/>
  <c r="AZ373" i="3"/>
  <c r="BL374" i="3"/>
  <c r="G375" i="3"/>
  <c r="BA377" i="3"/>
  <c r="AZ237" i="3"/>
  <c r="AZ261" i="3"/>
  <c r="AZ269" i="3"/>
  <c r="BA379" i="3"/>
  <c r="BL380" i="3"/>
  <c r="G381" i="3"/>
  <c r="BA383" i="3"/>
  <c r="AZ383" i="3" s="1"/>
  <c r="BL384" i="3"/>
  <c r="G385" i="3"/>
  <c r="BA387" i="3"/>
  <c r="AZ387" i="3" s="1"/>
  <c r="BL388" i="3"/>
  <c r="G389" i="3"/>
  <c r="BA391" i="3"/>
  <c r="AZ391" i="3" s="1"/>
  <c r="BL392" i="3"/>
  <c r="AZ392" i="3" s="1"/>
  <c r="G393" i="3"/>
  <c r="BF5" i="3"/>
  <c r="AZ325" i="3"/>
  <c r="AZ341" i="3"/>
  <c r="G548" i="3"/>
  <c r="G538" i="3"/>
  <c r="G502" i="3"/>
  <c r="BP5" i="3"/>
  <c r="G17" i="3"/>
  <c r="BA17" i="3"/>
  <c r="AZ356" i="3"/>
  <c r="AZ364" i="3"/>
  <c r="AZ396" i="3"/>
  <c r="G509" i="3"/>
  <c r="AZ382" i="3"/>
  <c r="U36" i="40"/>
  <c r="N4" i="43"/>
  <c r="F36" i="43"/>
  <c r="F81" i="43"/>
  <c r="H113" i="43"/>
  <c r="F48" i="43"/>
  <c r="N7" i="43"/>
  <c r="F70" i="43"/>
  <c r="H73" i="43" s="1"/>
  <c r="M6" i="43"/>
  <c r="M11" i="43"/>
  <c r="E17" i="43"/>
  <c r="F39" i="43"/>
  <c r="I17" i="43"/>
  <c r="F35" i="43"/>
  <c r="J17" i="43"/>
  <c r="F6" i="1"/>
  <c r="G6" i="1" s="1"/>
  <c r="S14" i="35"/>
  <c r="U43" i="21"/>
  <c r="U35" i="21"/>
  <c r="AC35" i="21"/>
  <c r="G8" i="1"/>
  <c r="G9" i="1"/>
  <c r="G10" i="1"/>
  <c r="F48" i="9"/>
  <c r="O52" i="9" s="1"/>
  <c r="W44" i="34"/>
  <c r="AC44" i="34"/>
  <c r="AA12" i="40"/>
  <c r="J37" i="33"/>
  <c r="W37" i="33" s="1"/>
  <c r="AC17" i="34"/>
  <c r="J34" i="33"/>
  <c r="W34" i="33" s="1"/>
  <c r="F33" i="34"/>
  <c r="S33" i="34" s="1"/>
  <c r="H20" i="36"/>
  <c r="J20" i="36"/>
  <c r="J27" i="36"/>
  <c r="AC27" i="36" s="1"/>
  <c r="W27" i="36"/>
  <c r="AC33" i="40"/>
  <c r="F111" i="40"/>
  <c r="G111" i="40"/>
  <c r="H111" i="40" s="1"/>
  <c r="I111" i="40" s="1"/>
  <c r="J111" i="40" s="1"/>
  <c r="K111" i="40" s="1"/>
  <c r="L111" i="40" s="1"/>
  <c r="M111" i="40" s="1"/>
  <c r="H35" i="40"/>
  <c r="AC29" i="35"/>
  <c r="W29" i="35"/>
  <c r="H35" i="37"/>
  <c r="AC14" i="35"/>
  <c r="H20" i="35"/>
  <c r="U20" i="35" s="1"/>
  <c r="F20" i="35"/>
  <c r="AA20" i="35" s="1"/>
  <c r="AB29" i="36"/>
  <c r="U29" i="36"/>
  <c r="H32" i="37"/>
  <c r="AB32" i="37" s="1"/>
  <c r="F96" i="37"/>
  <c r="G96" i="37" s="1"/>
  <c r="H96" i="37" s="1"/>
  <c r="I96" i="37" s="1"/>
  <c r="J96" i="37" s="1"/>
  <c r="K96" i="37" s="1"/>
  <c r="L96" i="37" s="1"/>
  <c r="M96" i="37" s="1"/>
  <c r="H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E97" i="39"/>
  <c r="J23" i="39" s="1"/>
  <c r="C40" i="11"/>
  <c r="AZ114" i="3"/>
  <c r="AZ69" i="3"/>
  <c r="H74" i="43"/>
  <c r="I20" i="43"/>
  <c r="C20" i="43" s="1"/>
  <c r="F23" i="39"/>
  <c r="AA23" i="39" s="1"/>
  <c r="H27" i="36"/>
  <c r="U27" i="36" s="1"/>
  <c r="F27" i="36"/>
  <c r="AA27" i="36" s="1"/>
  <c r="H33" i="34"/>
  <c r="U33" i="34" s="1"/>
  <c r="F32" i="37"/>
  <c r="AA32" i="37" s="1"/>
  <c r="F20" i="36"/>
  <c r="AA20" i="36"/>
  <c r="J33" i="34"/>
  <c r="AC33" i="34" s="1"/>
  <c r="H23" i="39"/>
  <c r="D48" i="9"/>
  <c r="M52" i="9" s="1"/>
  <c r="H86" i="43"/>
  <c r="H87" i="43"/>
  <c r="K9" i="1"/>
  <c r="M9" i="1" s="1"/>
  <c r="O9" i="1" s="1"/>
  <c r="P9" i="1" s="1"/>
  <c r="AE9" i="1"/>
  <c r="D93" i="9"/>
  <c r="AB34" i="36"/>
  <c r="U34" i="36"/>
  <c r="AB33" i="36"/>
  <c r="U33" i="36"/>
  <c r="AC12" i="39"/>
  <c r="W12" i="33"/>
  <c r="AA32" i="36"/>
  <c r="S32" i="36"/>
  <c r="AZ408" i="3"/>
  <c r="AA39" i="34"/>
  <c r="BL14" i="3"/>
  <c r="U30" i="33"/>
  <c r="AA47" i="34"/>
  <c r="W28" i="37"/>
  <c r="F12" i="33"/>
  <c r="H12" i="39"/>
  <c r="AB12" i="39" s="1"/>
  <c r="F39" i="40"/>
  <c r="S39" i="40" s="1"/>
  <c r="BA14" i="3"/>
  <c r="S12" i="1"/>
  <c r="R12" i="1"/>
  <c r="B12" i="1"/>
  <c r="E12" i="1"/>
  <c r="S10" i="1"/>
  <c r="AQ10" i="1" s="1"/>
  <c r="R10" i="1"/>
  <c r="B10" i="1"/>
  <c r="E10" i="1"/>
  <c r="D1" i="66"/>
  <c r="E10" i="66"/>
  <c r="AZ80" i="3"/>
  <c r="K12" i="1"/>
  <c r="M12" i="1" s="1"/>
  <c r="S13" i="1"/>
  <c r="AR13" i="1" s="1"/>
  <c r="R13" i="1"/>
  <c r="S11" i="1"/>
  <c r="AQ11" i="1" s="1"/>
  <c r="R11" i="1"/>
  <c r="C42" i="1"/>
  <c r="C24" i="12" s="1"/>
  <c r="H100" i="43"/>
  <c r="C30" i="66"/>
  <c r="E26" i="66" s="1"/>
  <c r="AC34" i="33"/>
  <c r="B41" i="1"/>
  <c r="F32" i="67" s="1"/>
  <c r="F60" i="67" s="1"/>
  <c r="J100" i="43"/>
  <c r="AB37" i="40"/>
  <c r="W38" i="40"/>
  <c r="S23" i="40"/>
  <c r="AC17" i="40"/>
  <c r="AC15" i="40"/>
  <c r="AA19" i="40"/>
  <c r="S28" i="40"/>
  <c r="AA27" i="40"/>
  <c r="U21" i="40"/>
  <c r="AB19" i="40"/>
  <c r="U35" i="39"/>
  <c r="U31" i="39"/>
  <c r="J21" i="39"/>
  <c r="AC21" i="39" s="1"/>
  <c r="F21" i="39"/>
  <c r="S21" i="39" s="1"/>
  <c r="H21" i="39"/>
  <c r="U21" i="39" s="1"/>
  <c r="W19" i="39"/>
  <c r="S9" i="39"/>
  <c r="S23" i="36"/>
  <c r="U26" i="36"/>
  <c r="S33" i="36"/>
  <c r="S29" i="36"/>
  <c r="AC26" i="36"/>
  <c r="W14" i="36"/>
  <c r="AB14" i="36"/>
  <c r="S16" i="36"/>
  <c r="S24" i="36"/>
  <c r="U16" i="36"/>
  <c r="S14" i="36"/>
  <c r="U10" i="36"/>
  <c r="W10" i="36"/>
  <c r="AA25" i="35"/>
  <c r="W24" i="35"/>
  <c r="AB13" i="35"/>
  <c r="U29" i="35"/>
  <c r="AB27" i="35"/>
  <c r="AA33" i="35"/>
  <c r="AC30" i="35"/>
  <c r="S32" i="35"/>
  <c r="S28" i="35"/>
  <c r="AB16" i="35"/>
  <c r="U22" i="35"/>
  <c r="S20" i="35"/>
  <c r="AC20" i="35"/>
  <c r="S22" i="35"/>
  <c r="AC10" i="35"/>
  <c r="AA10" i="35"/>
  <c r="AB10" i="35"/>
  <c r="S8" i="35"/>
  <c r="AC9" i="35"/>
  <c r="W9" i="35"/>
  <c r="F9" i="35"/>
  <c r="H9" i="35"/>
  <c r="U9" i="35" s="1"/>
  <c r="W27" i="37"/>
  <c r="S26" i="37"/>
  <c r="AC9" i="37"/>
  <c r="AC29" i="37"/>
  <c r="U29" i="37"/>
  <c r="S32" i="37"/>
  <c r="W30" i="37"/>
  <c r="AA38" i="37"/>
  <c r="U32" i="37"/>
  <c r="W38" i="37"/>
  <c r="AC35" i="37"/>
  <c r="S30" i="37"/>
  <c r="S37" i="37"/>
  <c r="J17" i="37"/>
  <c r="G73" i="37"/>
  <c r="F17" i="37"/>
  <c r="AA17" i="37" s="1"/>
  <c r="AB17" i="37"/>
  <c r="F75" i="37"/>
  <c r="G75" i="37" s="1"/>
  <c r="F19" i="37"/>
  <c r="F23" i="37"/>
  <c r="AA23" i="37" s="1"/>
  <c r="S23" i="37"/>
  <c r="U23" i="37"/>
  <c r="U15" i="37"/>
  <c r="AA13" i="37"/>
  <c r="AA9" i="37"/>
  <c r="H10" i="37"/>
  <c r="U10" i="37" s="1"/>
  <c r="F63" i="37"/>
  <c r="F11" i="37"/>
  <c r="S11" i="37"/>
  <c r="S27" i="34"/>
  <c r="AB8" i="34"/>
  <c r="AC42" i="34"/>
  <c r="AB35" i="34"/>
  <c r="AA45" i="34"/>
  <c r="W34" i="34"/>
  <c r="AA25" i="34"/>
  <c r="S17" i="34"/>
  <c r="AA29" i="34"/>
  <c r="S23" i="34"/>
  <c r="U15" i="34"/>
  <c r="S10" i="34"/>
  <c r="H10" i="34"/>
  <c r="U10" i="34" s="1"/>
  <c r="F11" i="34"/>
  <c r="S11" i="34"/>
  <c r="S32" i="33"/>
  <c r="W38" i="33"/>
  <c r="H41" i="33"/>
  <c r="U41" i="33" s="1"/>
  <c r="F121" i="33"/>
  <c r="G121" i="33" s="1"/>
  <c r="H121" i="33" s="1"/>
  <c r="I121" i="33" s="1"/>
  <c r="J121" i="33" s="1"/>
  <c r="K121" i="33" s="1"/>
  <c r="L121" i="33" s="1"/>
  <c r="M121" i="33" s="1"/>
  <c r="F36" i="33"/>
  <c r="AA36" i="33" s="1"/>
  <c r="G111" i="33"/>
  <c r="J35" i="33"/>
  <c r="W35" i="33" s="1"/>
  <c r="AA37" i="33"/>
  <c r="S39" i="33"/>
  <c r="F101" i="33"/>
  <c r="G101" i="33" s="1"/>
  <c r="H101" i="33" s="1"/>
  <c r="I101" i="33" s="1"/>
  <c r="J101" i="33" s="1"/>
  <c r="K101" i="33" s="1"/>
  <c r="L101" i="33" s="1"/>
  <c r="M101" i="33" s="1"/>
  <c r="J32" i="33"/>
  <c r="S46" i="33"/>
  <c r="W43" i="33"/>
  <c r="S43" i="33"/>
  <c r="F87" i="33"/>
  <c r="G87" i="33" s="1"/>
  <c r="H87" i="33" s="1"/>
  <c r="I87" i="33" s="1"/>
  <c r="J87" i="33" s="1"/>
  <c r="K87" i="33" s="1"/>
  <c r="L87" i="33" s="1"/>
  <c r="M87" i="33" s="1"/>
  <c r="H25" i="33"/>
  <c r="AB25" i="33" s="1"/>
  <c r="F25" i="33"/>
  <c r="J23" i="33"/>
  <c r="W23" i="33" s="1"/>
  <c r="H23" i="33"/>
  <c r="U23" i="33" s="1"/>
  <c r="F81" i="33"/>
  <c r="F19" i="33"/>
  <c r="S19" i="33" s="1"/>
  <c r="W19" i="33"/>
  <c r="J17" i="33"/>
  <c r="W17" i="33" s="1"/>
  <c r="S15" i="33"/>
  <c r="W15" i="33"/>
  <c r="U9" i="33"/>
  <c r="J10" i="33"/>
  <c r="H10" i="33"/>
  <c r="AB10" i="33" s="1"/>
  <c r="AC11" i="33"/>
  <c r="W43" i="21"/>
  <c r="W36" i="21"/>
  <c r="W41" i="21"/>
  <c r="AA43" i="21"/>
  <c r="S39" i="21"/>
  <c r="AA38" i="21"/>
  <c r="AC40" i="21"/>
  <c r="J15" i="21"/>
  <c r="W15" i="21" s="1"/>
  <c r="AB8" i="21"/>
  <c r="S8" i="21"/>
  <c r="M3" i="43"/>
  <c r="N10" i="43"/>
  <c r="M1" i="43"/>
  <c r="M8" i="43"/>
  <c r="N8" i="43"/>
  <c r="N9" i="43"/>
  <c r="C18" i="9"/>
  <c r="D18" i="9" s="1"/>
  <c r="F34" i="67"/>
  <c r="F62" i="67" s="1"/>
  <c r="M20" i="67"/>
  <c r="F34" i="15"/>
  <c r="F62" i="15" s="1"/>
  <c r="G13" i="3"/>
  <c r="BA13" i="3"/>
  <c r="BL17" i="3"/>
  <c r="AZ17" i="3" s="1"/>
  <c r="BL13" i="3"/>
  <c r="A24" i="51"/>
  <c r="B18" i="72" s="1"/>
  <c r="U29" i="34"/>
  <c r="G1" i="68"/>
  <c r="K1" i="12"/>
  <c r="E19" i="69"/>
  <c r="E19" i="68"/>
  <c r="E19" i="11"/>
  <c r="E1" i="73"/>
  <c r="G41" i="69"/>
  <c r="G22" i="69"/>
  <c r="G41" i="68"/>
  <c r="G22" i="68"/>
  <c r="G27" i="12"/>
  <c r="G26" i="12"/>
  <c r="G41" i="11"/>
  <c r="G22" i="11"/>
  <c r="G25" i="12"/>
  <c r="C100" i="43"/>
  <c r="E11" i="43"/>
  <c r="E10" i="43"/>
  <c r="E9" i="43"/>
  <c r="C7" i="43" s="1"/>
  <c r="E8" i="43"/>
  <c r="E81" i="43"/>
  <c r="B79" i="43"/>
  <c r="E48" i="43"/>
  <c r="B46" i="43"/>
  <c r="E70" i="43"/>
  <c r="B68" i="43"/>
  <c r="F100" i="43"/>
  <c r="H17" i="43"/>
  <c r="H81" i="43"/>
  <c r="H84"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M47" i="9"/>
  <c r="G19" i="43"/>
  <c r="P22" i="43" s="1"/>
  <c r="C59" i="34"/>
  <c r="D59" i="34" s="1"/>
  <c r="C52" i="37"/>
  <c r="D52" i="37" s="1"/>
  <c r="E52" i="37" s="1"/>
  <c r="F52" i="37" s="1"/>
  <c r="A4" i="51"/>
  <c r="B6" i="72"/>
  <c r="H62" i="43"/>
  <c r="H66" i="43"/>
  <c r="H61" i="43"/>
  <c r="H60" i="43"/>
  <c r="H64" i="43"/>
  <c r="H59" i="43"/>
  <c r="H67" i="43"/>
  <c r="H55" i="43"/>
  <c r="H51" i="43"/>
  <c r="H72" i="43"/>
  <c r="H77" i="43"/>
  <c r="L20" i="6"/>
  <c r="B6" i="1"/>
  <c r="E6" i="1"/>
  <c r="K11" i="1"/>
  <c r="M11" i="1" s="1"/>
  <c r="B9" i="1"/>
  <c r="E9" i="1" s="1"/>
  <c r="K7" i="1"/>
  <c r="G1" i="15"/>
  <c r="G1" i="69"/>
  <c r="G1" i="67"/>
  <c r="W23" i="40"/>
  <c r="U32" i="40"/>
  <c r="AB31" i="40"/>
  <c r="AB28" i="40"/>
  <c r="W28" i="40"/>
  <c r="W34" i="40"/>
  <c r="W27" i="40"/>
  <c r="S36" i="40"/>
  <c r="W37" i="40"/>
  <c r="S13" i="40"/>
  <c r="S33" i="40"/>
  <c r="U11" i="40"/>
  <c r="AB13" i="40"/>
  <c r="U15" i="40"/>
  <c r="U8" i="40"/>
  <c r="S8" i="40"/>
  <c r="AC41" i="39"/>
  <c r="U41" i="39"/>
  <c r="AC25" i="39"/>
  <c r="AB13" i="39"/>
  <c r="AA14" i="39"/>
  <c r="S23" i="39"/>
  <c r="AA45" i="39"/>
  <c r="W34" i="39"/>
  <c r="U38" i="39"/>
  <c r="S8" i="39"/>
  <c r="S20" i="36"/>
  <c r="S28" i="36"/>
  <c r="U32" i="36"/>
  <c r="W29" i="36"/>
  <c r="AB28" i="36"/>
  <c r="AA13" i="36"/>
  <c r="W23" i="36"/>
  <c r="AB20" i="35"/>
  <c r="U25" i="35"/>
  <c r="S24" i="35"/>
  <c r="W33" i="35"/>
  <c r="AA30" i="35"/>
  <c r="S35" i="35"/>
  <c r="AA16" i="35"/>
  <c r="AA35" i="37"/>
  <c r="W36" i="37"/>
  <c r="S27" i="37"/>
  <c r="W32" i="37"/>
  <c r="S40" i="37"/>
  <c r="U38" i="37"/>
  <c r="AB37" i="37"/>
  <c r="S33" i="37"/>
  <c r="AC34" i="37"/>
  <c r="AA11" i="37"/>
  <c r="AA31" i="37"/>
  <c r="U19" i="37"/>
  <c r="AA29" i="37"/>
  <c r="U8" i="37"/>
  <c r="AB40" i="34"/>
  <c r="U19" i="34"/>
  <c r="W19" i="34"/>
  <c r="AA30" i="34"/>
  <c r="AB45" i="34"/>
  <c r="U25" i="34"/>
  <c r="AB36" i="34"/>
  <c r="AC29" i="34"/>
  <c r="W29" i="34"/>
  <c r="AC46" i="34"/>
  <c r="U30" i="34"/>
  <c r="AB30" i="34"/>
  <c r="S37" i="34"/>
  <c r="AC40" i="34"/>
  <c r="W40" i="34"/>
  <c r="AA19" i="34"/>
  <c r="S19" i="34"/>
  <c r="AA36" i="34"/>
  <c r="S36" i="34"/>
  <c r="AA8" i="34"/>
  <c r="AA46" i="34"/>
  <c r="U14" i="34"/>
  <c r="AB14" i="34"/>
  <c r="W43" i="34"/>
  <c r="AA11" i="34"/>
  <c r="AC35" i="34"/>
  <c r="W35" i="34"/>
  <c r="AB28" i="33"/>
  <c r="AC37" i="33"/>
  <c r="W46" i="33"/>
  <c r="U39" i="33"/>
  <c r="U38" i="33"/>
  <c r="S33" i="33"/>
  <c r="AB34" i="33"/>
  <c r="AA30" i="33"/>
  <c r="W14" i="33"/>
  <c r="S31" i="33"/>
  <c r="AA31" i="33"/>
  <c r="W13" i="33"/>
  <c r="AC13" i="33"/>
  <c r="S11" i="33"/>
  <c r="U37" i="33"/>
  <c r="S28" i="33"/>
  <c r="W9" i="33"/>
  <c r="W8" i="33"/>
  <c r="AA26" i="21"/>
  <c r="AB14" i="21"/>
  <c r="U40" i="21"/>
  <c r="U31" i="21"/>
  <c r="U13" i="21"/>
  <c r="W8" i="21"/>
  <c r="S35" i="21"/>
  <c r="H15" i="21"/>
  <c r="U15" i="21" s="1"/>
  <c r="J17" i="21"/>
  <c r="AC17" i="21" s="1"/>
  <c r="W39" i="21"/>
  <c r="AC14" i="21"/>
  <c r="H45" i="21"/>
  <c r="U45" i="21"/>
  <c r="F29" i="21"/>
  <c r="S29" i="21" s="1"/>
  <c r="F13" i="21"/>
  <c r="AA13" i="21"/>
  <c r="AC38" i="21"/>
  <c r="H32" i="21"/>
  <c r="AB32" i="21" s="1"/>
  <c r="H9" i="21"/>
  <c r="AB9" i="21" s="1"/>
  <c r="J9" i="21"/>
  <c r="W9" i="21" s="1"/>
  <c r="J32" i="21"/>
  <c r="W32" i="21" s="1"/>
  <c r="F32" i="21"/>
  <c r="AA32" i="21" s="1"/>
  <c r="AA31" i="21"/>
  <c r="W29" i="21"/>
  <c r="S19" i="21"/>
  <c r="S9" i="21"/>
  <c r="AA9" i="21"/>
  <c r="K141" i="21"/>
  <c r="K144" i="21"/>
  <c r="K143" i="21"/>
  <c r="AB25" i="21"/>
  <c r="AB44" i="21"/>
  <c r="W13" i="21"/>
  <c r="F10" i="21"/>
  <c r="K145" i="21"/>
  <c r="W25" i="21"/>
  <c r="AA29" i="21"/>
  <c r="W31" i="21"/>
  <c r="AA15" i="21"/>
  <c r="AC27" i="21"/>
  <c r="AB29" i="21"/>
  <c r="S28" i="21"/>
  <c r="W10" i="21"/>
  <c r="AB36" i="21"/>
  <c r="C19" i="39"/>
  <c r="C15" i="40"/>
  <c r="C17" i="40"/>
  <c r="C23" i="40"/>
  <c r="U30" i="40"/>
  <c r="B49" i="43"/>
  <c r="B56" i="43"/>
  <c r="B60" i="43"/>
  <c r="B63" i="43"/>
  <c r="B67" i="43"/>
  <c r="D23" i="15"/>
  <c r="D22" i="15"/>
  <c r="F52" i="9"/>
  <c r="F32" i="15"/>
  <c r="F60" i="15" s="1"/>
  <c r="F28" i="15"/>
  <c r="C28" i="15"/>
  <c r="S12" i="33"/>
  <c r="AA12" i="33"/>
  <c r="J32" i="39"/>
  <c r="AC32" i="39" s="1"/>
  <c r="H32" i="39"/>
  <c r="AB32" i="39" s="1"/>
  <c r="AB21" i="39"/>
  <c r="AA9" i="35"/>
  <c r="S9" i="35"/>
  <c r="S17" i="37"/>
  <c r="J19" i="37"/>
  <c r="S19" i="37"/>
  <c r="AA19" i="37"/>
  <c r="J23" i="37"/>
  <c r="W23" i="37" s="1"/>
  <c r="J10" i="37"/>
  <c r="AC10" i="37" s="1"/>
  <c r="G63" i="37"/>
  <c r="H63" i="37" s="1"/>
  <c r="H11" i="37"/>
  <c r="AB10" i="37"/>
  <c r="G70" i="34"/>
  <c r="H70" i="34" s="1"/>
  <c r="I70" i="34" s="1"/>
  <c r="J70" i="34" s="1"/>
  <c r="K70" i="34" s="1"/>
  <c r="L70" i="34" s="1"/>
  <c r="M70" i="34" s="1"/>
  <c r="H11" i="34"/>
  <c r="J10" i="34"/>
  <c r="W10" i="34" s="1"/>
  <c r="AB41" i="33"/>
  <c r="H111" i="33"/>
  <c r="I111" i="33" s="1"/>
  <c r="J111" i="33" s="1"/>
  <c r="K111" i="33" s="1"/>
  <c r="L111" i="33" s="1"/>
  <c r="M111" i="33" s="1"/>
  <c r="J36" i="33"/>
  <c r="AC36" i="33" s="1"/>
  <c r="H36" i="33"/>
  <c r="S36" i="33"/>
  <c r="AC32" i="33"/>
  <c r="W32" i="33"/>
  <c r="G91" i="33"/>
  <c r="H91" i="33" s="1"/>
  <c r="I91" i="33"/>
  <c r="J91" i="33" s="1"/>
  <c r="K91" i="33" s="1"/>
  <c r="L91" i="33" s="1"/>
  <c r="M91" i="33" s="1"/>
  <c r="S25" i="33"/>
  <c r="AA25" i="33"/>
  <c r="J25" i="33"/>
  <c r="AC25" i="33" s="1"/>
  <c r="AB23" i="33"/>
  <c r="F23" i="33"/>
  <c r="AC23" i="33"/>
  <c r="AA19" i="33"/>
  <c r="H19" i="33"/>
  <c r="G81" i="33"/>
  <c r="H17" i="33"/>
  <c r="U17" i="33" s="1"/>
  <c r="F17" i="33"/>
  <c r="AA17" i="33" s="1"/>
  <c r="U10" i="33"/>
  <c r="AC10" i="33"/>
  <c r="W10" i="33"/>
  <c r="S13" i="21"/>
  <c r="O19" i="43"/>
  <c r="G52" i="37"/>
  <c r="H52" i="37" s="1"/>
  <c r="I52" i="37" s="1"/>
  <c r="E59" i="34"/>
  <c r="F59" i="34" s="1"/>
  <c r="G59" i="34" s="1"/>
  <c r="AP7" i="1"/>
  <c r="AB45" i="21"/>
  <c r="S32" i="21"/>
  <c r="U32" i="21"/>
  <c r="E6" i="70"/>
  <c r="W32" i="39"/>
  <c r="W19" i="37"/>
  <c r="AC19" i="37"/>
  <c r="AB11" i="37"/>
  <c r="U11" i="37"/>
  <c r="I63" i="37"/>
  <c r="J63" i="37" s="1"/>
  <c r="K63" i="37" s="1"/>
  <c r="L63" i="37" s="1"/>
  <c r="M63" i="37" s="1"/>
  <c r="J11" i="37"/>
  <c r="AC11" i="37" s="1"/>
  <c r="W10" i="37"/>
  <c r="U11" i="34"/>
  <c r="AB11" i="34"/>
  <c r="J11" i="34"/>
  <c r="W11" i="34" s="1"/>
  <c r="W36" i="33"/>
  <c r="U36" i="33"/>
  <c r="AB36" i="33"/>
  <c r="AA23" i="33"/>
  <c r="S23" i="33"/>
  <c r="AB19" i="33"/>
  <c r="U19" i="33"/>
  <c r="H59" i="34"/>
  <c r="I59" i="34" s="1"/>
  <c r="J59" i="34" s="1"/>
  <c r="W11" i="37"/>
  <c r="AC11" i="34"/>
  <c r="F50" i="11"/>
  <c r="F50" i="69"/>
  <c r="F50" i="68"/>
  <c r="AE6" i="1"/>
  <c r="AG6" i="1"/>
  <c r="H109" i="9"/>
  <c r="D124" i="9" s="1"/>
  <c r="J7" i="33"/>
  <c r="W7" i="33" s="1"/>
  <c r="F7" i="33"/>
  <c r="S7" i="33" s="1"/>
  <c r="H112" i="9"/>
  <c r="D21" i="53" s="1"/>
  <c r="B39" i="72" s="1"/>
  <c r="H111" i="9"/>
  <c r="D126" i="9" s="1"/>
  <c r="I14" i="74" s="1"/>
  <c r="B8" i="74" s="1"/>
  <c r="D19" i="53"/>
  <c r="B38" i="72" s="1"/>
  <c r="D59" i="9"/>
  <c r="M55" i="9"/>
  <c r="AD3" i="71"/>
  <c r="P21" i="43" s="1"/>
  <c r="F31" i="15"/>
  <c r="F31" i="67"/>
  <c r="J15" i="67"/>
  <c r="B9" i="76"/>
  <c r="F7" i="73"/>
  <c r="E8" i="76"/>
  <c r="F6" i="67"/>
  <c r="F37" i="67"/>
  <c r="M22" i="67"/>
  <c r="C76" i="67"/>
  <c r="M28" i="67"/>
  <c r="F13" i="15"/>
  <c r="F9" i="15"/>
  <c r="E2" i="69"/>
  <c r="F13" i="67"/>
  <c r="L47" i="15"/>
  <c r="B12" i="76"/>
  <c r="F26" i="67"/>
  <c r="M29" i="15"/>
  <c r="M6" i="67"/>
  <c r="E12" i="76"/>
  <c r="F7" i="67"/>
  <c r="F38" i="67"/>
  <c r="F40" i="67"/>
  <c r="M23" i="67"/>
  <c r="F8" i="15"/>
  <c r="M24" i="67"/>
  <c r="M26" i="15"/>
  <c r="B10" i="76"/>
  <c r="B11" i="76"/>
  <c r="F4" i="73"/>
  <c r="F40" i="15"/>
  <c r="M8" i="15"/>
  <c r="F6" i="73"/>
  <c r="B8" i="76"/>
  <c r="B7" i="76"/>
  <c r="F42" i="67"/>
  <c r="M27" i="67"/>
  <c r="M9" i="67"/>
  <c r="M23" i="15"/>
  <c r="M9" i="15"/>
  <c r="AO6" i="1"/>
  <c r="M27" i="15"/>
  <c r="E9" i="76"/>
  <c r="D2" i="33"/>
  <c r="M8" i="67"/>
  <c r="AO13" i="1"/>
  <c r="M28" i="15"/>
  <c r="E13" i="76"/>
  <c r="C76" i="15"/>
  <c r="E2" i="68"/>
  <c r="D2" i="36"/>
  <c r="L47" i="67"/>
  <c r="AO12" i="1"/>
  <c r="D2" i="21"/>
  <c r="L48" i="67"/>
  <c r="D2" i="35"/>
  <c r="D2" i="34"/>
  <c r="AO11" i="1"/>
  <c r="F3" i="73"/>
  <c r="E10" i="76"/>
  <c r="M26" i="67"/>
  <c r="AO10" i="1"/>
  <c r="E11" i="76"/>
  <c r="AO9" i="1"/>
  <c r="F8" i="67"/>
  <c r="F36" i="67"/>
  <c r="D2" i="37"/>
  <c r="F9" i="67"/>
  <c r="E7" i="76"/>
  <c r="F38" i="15"/>
  <c r="F16" i="67"/>
  <c r="B13" i="76"/>
  <c r="F43" i="67"/>
  <c r="M24" i="15"/>
  <c r="M29" i="67"/>
  <c r="F20" i="31"/>
  <c r="F42" i="15"/>
  <c r="F5" i="73"/>
  <c r="M6" i="15"/>
  <c r="J53" i="67" l="1"/>
  <c r="AB26" i="35"/>
  <c r="U26" i="35"/>
  <c r="AZ582" i="3"/>
  <c r="AZ587" i="3"/>
  <c r="AA26" i="35"/>
  <c r="S26" i="35"/>
  <c r="AZ560" i="3"/>
  <c r="AZ558" i="3"/>
  <c r="AZ555" i="3"/>
  <c r="AZ548" i="3"/>
  <c r="J23" i="21"/>
  <c r="W23" i="21" s="1"/>
  <c r="F85" i="21"/>
  <c r="AZ540" i="3"/>
  <c r="AZ534" i="3"/>
  <c r="AZ517" i="3"/>
  <c r="AZ516" i="3"/>
  <c r="F28" i="6"/>
  <c r="AZ498" i="3"/>
  <c r="AZ497" i="3"/>
  <c r="S17" i="33"/>
  <c r="U20" i="36"/>
  <c r="AB20" i="36"/>
  <c r="AZ347" i="3"/>
  <c r="AB42" i="33"/>
  <c r="U42" i="33"/>
  <c r="AC41" i="34"/>
  <c r="W41" i="34"/>
  <c r="S11" i="35"/>
  <c r="AA11" i="35"/>
  <c r="W45" i="33"/>
  <c r="AC45" i="33"/>
  <c r="BL585" i="3"/>
  <c r="BA585" i="3"/>
  <c r="AZ585" i="3" s="1"/>
  <c r="AB32" i="35"/>
  <c r="U32" i="35"/>
  <c r="AA10" i="37"/>
  <c r="S10" i="37"/>
  <c r="U27" i="37"/>
  <c r="AB27" i="37"/>
  <c r="H25" i="37"/>
  <c r="J25" i="37"/>
  <c r="BA583" i="3"/>
  <c r="BL549" i="3"/>
  <c r="AZ549" i="3" s="1"/>
  <c r="BA547" i="3"/>
  <c r="BL546" i="3"/>
  <c r="AZ546" i="3" s="1"/>
  <c r="BL545" i="3"/>
  <c r="BA542" i="3"/>
  <c r="AZ542" i="3" s="1"/>
  <c r="BL537" i="3"/>
  <c r="BA537" i="3"/>
  <c r="BA536" i="3"/>
  <c r="AZ536" i="3" s="1"/>
  <c r="BL529" i="3"/>
  <c r="AZ529" i="3" s="1"/>
  <c r="BA529" i="3"/>
  <c r="BL526" i="3"/>
  <c r="BA522" i="3"/>
  <c r="AZ522" i="3" s="1"/>
  <c r="BA518" i="3"/>
  <c r="AZ518" i="3" s="1"/>
  <c r="BL512" i="3"/>
  <c r="BA512" i="3"/>
  <c r="AZ512" i="3" s="1"/>
  <c r="BA506" i="3"/>
  <c r="AZ506" i="3" s="1"/>
  <c r="BL495" i="3"/>
  <c r="AZ495" i="3" s="1"/>
  <c r="BL494" i="3"/>
  <c r="BA494" i="3"/>
  <c r="AZ494" i="3" s="1"/>
  <c r="BA493" i="3"/>
  <c r="AZ493" i="3" s="1"/>
  <c r="D20" i="53"/>
  <c r="B40" i="72" s="1"/>
  <c r="AC35" i="33"/>
  <c r="U17" i="21"/>
  <c r="W33" i="34"/>
  <c r="AA8" i="37"/>
  <c r="U9" i="37"/>
  <c r="AB31" i="37"/>
  <c r="U22" i="36"/>
  <c r="AA43" i="34"/>
  <c r="S43" i="34"/>
  <c r="U27" i="40"/>
  <c r="AB27" i="40"/>
  <c r="U35" i="37"/>
  <c r="AB35" i="37"/>
  <c r="H83" i="43"/>
  <c r="H82" i="43"/>
  <c r="H85" i="43"/>
  <c r="AZ379" i="3"/>
  <c r="AZ351" i="3"/>
  <c r="G498" i="3"/>
  <c r="AZ376" i="3"/>
  <c r="S26" i="36"/>
  <c r="AA26" i="36"/>
  <c r="BL543" i="3"/>
  <c r="AZ543" i="3" s="1"/>
  <c r="AZ568" i="3"/>
  <c r="AB14" i="39"/>
  <c r="U14" i="39"/>
  <c r="AC13" i="35"/>
  <c r="W13" i="35"/>
  <c r="AA17" i="40"/>
  <c r="S17" i="40"/>
  <c r="AB14" i="35"/>
  <c r="U14" i="35"/>
  <c r="AA21" i="40"/>
  <c r="S21" i="40"/>
  <c r="H30" i="21"/>
  <c r="J30" i="21"/>
  <c r="F30" i="21"/>
  <c r="H46" i="21"/>
  <c r="F46" i="21"/>
  <c r="J46" i="21"/>
  <c r="AA34" i="34"/>
  <c r="S34" i="34"/>
  <c r="H9" i="34"/>
  <c r="F9" i="34"/>
  <c r="H44" i="33"/>
  <c r="J44" i="33"/>
  <c r="F44" i="33"/>
  <c r="S44" i="33" s="1"/>
  <c r="F13" i="34"/>
  <c r="H13" i="34"/>
  <c r="U23" i="35"/>
  <c r="AB23" i="35"/>
  <c r="U8" i="36"/>
  <c r="AB8" i="36"/>
  <c r="J12" i="36"/>
  <c r="H12" i="36"/>
  <c r="F12" i="36"/>
  <c r="S40" i="33"/>
  <c r="AA40" i="33"/>
  <c r="AA31" i="35"/>
  <c r="S31" i="35"/>
  <c r="BA571" i="3"/>
  <c r="BA566" i="3"/>
  <c r="AZ566" i="3" s="1"/>
  <c r="BL563" i="3"/>
  <c r="AZ563" i="3" s="1"/>
  <c r="BA561" i="3"/>
  <c r="BL551" i="3"/>
  <c r="P24" i="43"/>
  <c r="B66" i="40" s="1"/>
  <c r="AB17" i="33"/>
  <c r="W25" i="33"/>
  <c r="AC10" i="34"/>
  <c r="AC17" i="33"/>
  <c r="U25" i="33"/>
  <c r="AB10" i="34"/>
  <c r="AB9" i="35"/>
  <c r="AA39" i="40"/>
  <c r="C21" i="40"/>
  <c r="W30" i="33"/>
  <c r="W23" i="34"/>
  <c r="W22" i="36"/>
  <c r="H76" i="43"/>
  <c r="H70" i="43"/>
  <c r="D120" i="9"/>
  <c r="U28" i="34"/>
  <c r="AB41" i="34"/>
  <c r="U43" i="34"/>
  <c r="J26" i="35"/>
  <c r="W32" i="35"/>
  <c r="AA34" i="36"/>
  <c r="U13" i="36"/>
  <c r="AA12" i="39"/>
  <c r="AC36" i="40"/>
  <c r="AQ12" i="1"/>
  <c r="AR12" i="1"/>
  <c r="W37" i="37"/>
  <c r="AZ377" i="3"/>
  <c r="AZ16" i="3"/>
  <c r="AC19" i="40"/>
  <c r="W19" i="40"/>
  <c r="S42" i="39"/>
  <c r="H5" i="3"/>
  <c r="S12" i="37"/>
  <c r="AA12" i="37"/>
  <c r="W44" i="21"/>
  <c r="F32" i="40"/>
  <c r="AA36" i="37"/>
  <c r="S36" i="37"/>
  <c r="S41" i="34"/>
  <c r="AA41" i="34"/>
  <c r="S22" i="36"/>
  <c r="AA22" i="36"/>
  <c r="S22" i="31"/>
  <c r="R22" i="31" s="1"/>
  <c r="B21" i="31" s="1"/>
  <c r="BL511" i="3"/>
  <c r="BL553" i="3"/>
  <c r="AZ553" i="3" s="1"/>
  <c r="BL569" i="3"/>
  <c r="AZ569" i="3" s="1"/>
  <c r="AZ577" i="3"/>
  <c r="BL583" i="3"/>
  <c r="AZ583" i="3" s="1"/>
  <c r="W25" i="35"/>
  <c r="AC25" i="35"/>
  <c r="H47" i="34"/>
  <c r="F31" i="34"/>
  <c r="AC12" i="40"/>
  <c r="AA38" i="34"/>
  <c r="S15" i="34"/>
  <c r="AC25" i="34"/>
  <c r="W25" i="34"/>
  <c r="AA41" i="33"/>
  <c r="S41" i="33"/>
  <c r="S27" i="35"/>
  <c r="W9" i="34"/>
  <c r="AC35" i="39"/>
  <c r="W35" i="39"/>
  <c r="W26" i="21"/>
  <c r="AC26" i="21"/>
  <c r="G585" i="3"/>
  <c r="F27" i="21"/>
  <c r="H27" i="21"/>
  <c r="AB8" i="33"/>
  <c r="U8" i="33"/>
  <c r="F27" i="33"/>
  <c r="H27" i="33"/>
  <c r="S12" i="34"/>
  <c r="AA12" i="34"/>
  <c r="AB34" i="34"/>
  <c r="U34" i="34"/>
  <c r="H29" i="33"/>
  <c r="F29" i="33"/>
  <c r="J14" i="34"/>
  <c r="F14" i="34"/>
  <c r="J32" i="34"/>
  <c r="F32" i="34"/>
  <c r="J23" i="35"/>
  <c r="F23" i="35"/>
  <c r="J35" i="35"/>
  <c r="H35" i="35"/>
  <c r="AC8" i="36"/>
  <c r="W8" i="36"/>
  <c r="AC31" i="37"/>
  <c r="W31" i="37"/>
  <c r="H13" i="37"/>
  <c r="J13" i="37"/>
  <c r="F91" i="39"/>
  <c r="H17" i="39"/>
  <c r="J43" i="39"/>
  <c r="H43" i="39"/>
  <c r="E120" i="39"/>
  <c r="H39" i="39"/>
  <c r="S9" i="40"/>
  <c r="AA9" i="40"/>
  <c r="H14" i="40"/>
  <c r="F14" i="40"/>
  <c r="S41" i="21"/>
  <c r="AA41" i="21"/>
  <c r="AZ344" i="3"/>
  <c r="BA103" i="3"/>
  <c r="BB5" i="3"/>
  <c r="BL105" i="3"/>
  <c r="BM5" i="3"/>
  <c r="F29" i="6" s="1"/>
  <c r="H7" i="33"/>
  <c r="AB7" i="33" s="1"/>
  <c r="T48" i="33" s="1"/>
  <c r="G48" i="33" s="1"/>
  <c r="G53" i="33" s="1"/>
  <c r="H53" i="33" s="1"/>
  <c r="AC9" i="21"/>
  <c r="J27" i="33"/>
  <c r="D68" i="9"/>
  <c r="C77" i="9"/>
  <c r="C74" i="9" s="1"/>
  <c r="B52" i="43"/>
  <c r="W30" i="40"/>
  <c r="S17" i="21"/>
  <c r="S44" i="21"/>
  <c r="AC28" i="33"/>
  <c r="U12" i="34"/>
  <c r="AB32" i="34"/>
  <c r="U38" i="34"/>
  <c r="AB33" i="34"/>
  <c r="AA40" i="34"/>
  <c r="U36" i="37"/>
  <c r="U24" i="35"/>
  <c r="AA15" i="40"/>
  <c r="H88" i="43"/>
  <c r="AA36" i="21"/>
  <c r="AB39" i="21"/>
  <c r="AB14" i="33"/>
  <c r="S42" i="33"/>
  <c r="U39" i="34"/>
  <c r="AA33" i="34"/>
  <c r="U28" i="35"/>
  <c r="AA25" i="36"/>
  <c r="S27" i="36"/>
  <c r="S15" i="39"/>
  <c r="F32" i="39"/>
  <c r="AA32" i="39" s="1"/>
  <c r="S35" i="40"/>
  <c r="U23" i="39"/>
  <c r="AB23" i="39"/>
  <c r="F39" i="39"/>
  <c r="S39" i="39" s="1"/>
  <c r="W20" i="36"/>
  <c r="AC20" i="36"/>
  <c r="U12" i="40"/>
  <c r="H52" i="43"/>
  <c r="H54" i="43"/>
  <c r="H56" i="43"/>
  <c r="AZ361" i="3"/>
  <c r="AZ315" i="3"/>
  <c r="AZ180" i="3"/>
  <c r="AZ380" i="3"/>
  <c r="H65" i="43"/>
  <c r="H63" i="43"/>
  <c r="W35" i="40"/>
  <c r="AB12" i="37"/>
  <c r="S36" i="35"/>
  <c r="AA36" i="35"/>
  <c r="U26" i="37"/>
  <c r="AB28" i="37"/>
  <c r="AC32" i="36"/>
  <c r="BL527" i="3"/>
  <c r="AZ527" i="3" s="1"/>
  <c r="BL547" i="3"/>
  <c r="AZ547" i="3" s="1"/>
  <c r="BL557" i="3"/>
  <c r="AZ574" i="3"/>
  <c r="J14" i="40"/>
  <c r="AA28" i="37"/>
  <c r="H25" i="36"/>
  <c r="J31" i="34"/>
  <c r="F45" i="33"/>
  <c r="AA45" i="33" s="1"/>
  <c r="AC11" i="40"/>
  <c r="AA37" i="40"/>
  <c r="S37" i="40"/>
  <c r="U8" i="35"/>
  <c r="AB30" i="35"/>
  <c r="U30" i="35"/>
  <c r="S44" i="39"/>
  <c r="AA19" i="39"/>
  <c r="S19" i="39"/>
  <c r="S34" i="40"/>
  <c r="S9" i="33"/>
  <c r="W28" i="36"/>
  <c r="S39" i="37"/>
  <c r="AA39" i="37"/>
  <c r="B71" i="43"/>
  <c r="C21" i="39"/>
  <c r="AC40" i="33"/>
  <c r="W40" i="33"/>
  <c r="J24" i="36"/>
  <c r="H24" i="36"/>
  <c r="AB14" i="37"/>
  <c r="U14" i="37"/>
  <c r="J39" i="37"/>
  <c r="H39" i="37"/>
  <c r="F13" i="39"/>
  <c r="J13" i="39"/>
  <c r="G93" i="39"/>
  <c r="H19" i="39"/>
  <c r="H44" i="39"/>
  <c r="J44" i="39"/>
  <c r="F99" i="39"/>
  <c r="G99" i="39" s="1"/>
  <c r="F25" i="39"/>
  <c r="J39" i="40"/>
  <c r="H39" i="40"/>
  <c r="BL584" i="3"/>
  <c r="AZ584" i="3" s="1"/>
  <c r="BL581" i="3"/>
  <c r="BA581" i="3"/>
  <c r="AZ581" i="3" s="1"/>
  <c r="BL576" i="3"/>
  <c r="BA576" i="3"/>
  <c r="AZ576" i="3" s="1"/>
  <c r="BL574" i="3"/>
  <c r="BA550" i="3"/>
  <c r="BA545" i="3"/>
  <c r="BA544" i="3"/>
  <c r="AZ544" i="3" s="1"/>
  <c r="BA535" i="3"/>
  <c r="AZ535" i="3" s="1"/>
  <c r="BL530" i="3"/>
  <c r="AZ530" i="3" s="1"/>
  <c r="BA526" i="3"/>
  <c r="AZ526" i="3" s="1"/>
  <c r="AZ436" i="3"/>
  <c r="AZ246" i="3"/>
  <c r="AB15" i="33"/>
  <c r="U15" i="33"/>
  <c r="U11" i="39"/>
  <c r="AB11" i="39"/>
  <c r="U27" i="39"/>
  <c r="AB27" i="39"/>
  <c r="AA10" i="36"/>
  <c r="S10" i="36"/>
  <c r="S31" i="36"/>
  <c r="AA31" i="36"/>
  <c r="U8" i="39"/>
  <c r="AB8" i="39"/>
  <c r="AZ532" i="3"/>
  <c r="BL525" i="3"/>
  <c r="AZ525" i="3" s="1"/>
  <c r="BA525" i="3"/>
  <c r="BL514" i="3"/>
  <c r="AZ514" i="3" s="1"/>
  <c r="BA513" i="3"/>
  <c r="AZ513" i="3" s="1"/>
  <c r="BA511" i="3"/>
  <c r="BL510" i="3"/>
  <c r="AZ510" i="3" s="1"/>
  <c r="BA501" i="3"/>
  <c r="AZ501" i="3" s="1"/>
  <c r="BA500" i="3"/>
  <c r="AZ500" i="3" s="1"/>
  <c r="BL499" i="3"/>
  <c r="BA499" i="3"/>
  <c r="AZ490" i="3"/>
  <c r="BD5" i="3"/>
  <c r="BN5" i="3"/>
  <c r="G29" i="6" s="1"/>
  <c r="E29" i="6" s="1"/>
  <c r="K15" i="1" s="1"/>
  <c r="AB35" i="40"/>
  <c r="U35" i="40"/>
  <c r="AZ196" i="3"/>
  <c r="AB27" i="34"/>
  <c r="U27" i="34"/>
  <c r="AZ573" i="3"/>
  <c r="AZ528" i="3"/>
  <c r="AZ564" i="3"/>
  <c r="AA43" i="39"/>
  <c r="S43" i="39"/>
  <c r="W25" i="36"/>
  <c r="AC25" i="36"/>
  <c r="W47" i="34"/>
  <c r="AC47" i="34"/>
  <c r="W31" i="39"/>
  <c r="AC31" i="39"/>
  <c r="AC30" i="36"/>
  <c r="W30" i="36"/>
  <c r="BA519" i="3"/>
  <c r="AZ509" i="3"/>
  <c r="BL505" i="3"/>
  <c r="AZ505" i="3" s="1"/>
  <c r="BA504" i="3"/>
  <c r="AZ504" i="3" s="1"/>
  <c r="S31" i="40"/>
  <c r="AC13" i="34"/>
  <c r="U17" i="40"/>
  <c r="AB17" i="40"/>
  <c r="AA31" i="39"/>
  <c r="S31" i="39"/>
  <c r="F12" i="21"/>
  <c r="H12" i="21"/>
  <c r="J12" i="21"/>
  <c r="AC42" i="33"/>
  <c r="W42" i="33"/>
  <c r="J26" i="33"/>
  <c r="AC26" i="33" s="1"/>
  <c r="F26" i="33"/>
  <c r="H26" i="33"/>
  <c r="AC32" i="40"/>
  <c r="W32" i="40"/>
  <c r="AA38" i="40"/>
  <c r="S38" i="40"/>
  <c r="BL554" i="3"/>
  <c r="AZ554" i="3" s="1"/>
  <c r="AZ358" i="3"/>
  <c r="AZ390" i="3"/>
  <c r="AZ395" i="3"/>
  <c r="BC5" i="3"/>
  <c r="AZ294" i="3"/>
  <c r="AZ378" i="3"/>
  <c r="AZ327" i="3"/>
  <c r="AB43" i="33"/>
  <c r="U43" i="33"/>
  <c r="BL519" i="3"/>
  <c r="AZ519" i="3" s="1"/>
  <c r="BL531" i="3"/>
  <c r="AZ531" i="3" s="1"/>
  <c r="J45" i="21"/>
  <c r="F45" i="21"/>
  <c r="AC8" i="34"/>
  <c r="W8" i="34"/>
  <c r="AC28" i="35"/>
  <c r="W28" i="35"/>
  <c r="J9" i="36"/>
  <c r="H9" i="36"/>
  <c r="H40" i="37"/>
  <c r="J40" i="37"/>
  <c r="J37" i="39"/>
  <c r="F37" i="39"/>
  <c r="AC8" i="40"/>
  <c r="W8" i="40"/>
  <c r="AB38" i="40"/>
  <c r="U38" i="40"/>
  <c r="AA40" i="40"/>
  <c r="S40" i="40"/>
  <c r="J40" i="40"/>
  <c r="H40" i="40"/>
  <c r="AA42" i="34"/>
  <c r="S42" i="34"/>
  <c r="BA578" i="3"/>
  <c r="AZ578" i="3" s="1"/>
  <c r="G574" i="3"/>
  <c r="BA573" i="3"/>
  <c r="BL571" i="3"/>
  <c r="BL570" i="3"/>
  <c r="BA570" i="3"/>
  <c r="AZ570" i="3" s="1"/>
  <c r="BL568" i="3"/>
  <c r="BA565" i="3"/>
  <c r="G564" i="3"/>
  <c r="BA562" i="3"/>
  <c r="AZ562" i="3" s="1"/>
  <c r="BL561" i="3"/>
  <c r="BA556" i="3"/>
  <c r="AZ556" i="3" s="1"/>
  <c r="BA555" i="3"/>
  <c r="BL552" i="3"/>
  <c r="BA552" i="3"/>
  <c r="BA400" i="3"/>
  <c r="AZ400" i="3" s="1"/>
  <c r="BA428" i="3"/>
  <c r="AZ435" i="3"/>
  <c r="BA457" i="3"/>
  <c r="AZ457" i="3" s="1"/>
  <c r="BL460" i="3"/>
  <c r="AZ462" i="3"/>
  <c r="AZ487" i="3"/>
  <c r="BL490" i="3"/>
  <c r="BA317" i="3"/>
  <c r="AZ317" i="3" s="1"/>
  <c r="BA348" i="3"/>
  <c r="BA212" i="3"/>
  <c r="BL224" i="3"/>
  <c r="BA263" i="3"/>
  <c r="AZ263" i="3" s="1"/>
  <c r="G124" i="3"/>
  <c r="BA15" i="3"/>
  <c r="BA440" i="3"/>
  <c r="BL443" i="3"/>
  <c r="AZ443" i="3" s="1"/>
  <c r="G444" i="3"/>
  <c r="BL444" i="3"/>
  <c r="AZ444" i="3" s="1"/>
  <c r="BL446" i="3"/>
  <c r="G453" i="3"/>
  <c r="AZ460" i="3"/>
  <c r="BA467" i="3"/>
  <c r="BL479" i="3"/>
  <c r="AZ479" i="3" s="1"/>
  <c r="BL481" i="3"/>
  <c r="BA486" i="3"/>
  <c r="AZ486" i="3" s="1"/>
  <c r="BA210" i="3"/>
  <c r="BA217" i="3"/>
  <c r="AZ217" i="3" s="1"/>
  <c r="BL240" i="3"/>
  <c r="AZ240" i="3" s="1"/>
  <c r="BA267" i="3"/>
  <c r="AZ267" i="3" s="1"/>
  <c r="G119" i="3"/>
  <c r="AZ145" i="3"/>
  <c r="BA406" i="3"/>
  <c r="BA413" i="3"/>
  <c r="AZ413" i="3" s="1"/>
  <c r="BL416" i="3"/>
  <c r="G417" i="3"/>
  <c r="E417" i="3" s="1"/>
  <c r="AZ453" i="3"/>
  <c r="BA472" i="3"/>
  <c r="G395" i="3"/>
  <c r="BA215" i="3"/>
  <c r="AZ215" i="3" s="1"/>
  <c r="BL232" i="3"/>
  <c r="AZ232" i="3" s="1"/>
  <c r="BA234" i="3"/>
  <c r="AZ252" i="3"/>
  <c r="AZ258" i="3"/>
  <c r="K108" i="43"/>
  <c r="K100" i="43"/>
  <c r="G108" i="43"/>
  <c r="G100" i="43"/>
  <c r="AZ78" i="3"/>
  <c r="F27" i="39"/>
  <c r="H34" i="21"/>
  <c r="AB34" i="21" s="1"/>
  <c r="G570" i="3"/>
  <c r="BL398" i="3"/>
  <c r="BL405" i="3"/>
  <c r="BL410" i="3"/>
  <c r="AZ410" i="3" s="1"/>
  <c r="BA416" i="3"/>
  <c r="BL420" i="3"/>
  <c r="BL422" i="3"/>
  <c r="BA427" i="3"/>
  <c r="AZ427" i="3" s="1"/>
  <c r="AZ438" i="3"/>
  <c r="AZ442" i="3"/>
  <c r="AZ451" i="3"/>
  <c r="AZ459" i="3"/>
  <c r="BL470" i="3"/>
  <c r="AZ484" i="3"/>
  <c r="AZ492" i="3"/>
  <c r="BA366" i="3"/>
  <c r="AZ366" i="3" s="1"/>
  <c r="BA384" i="3"/>
  <c r="AZ384" i="3" s="1"/>
  <c r="BL210" i="3"/>
  <c r="BL215" i="3"/>
  <c r="BL234" i="3"/>
  <c r="BL263" i="3"/>
  <c r="BL272" i="3"/>
  <c r="AZ272" i="3" s="1"/>
  <c r="BL273" i="3"/>
  <c r="BA276" i="3"/>
  <c r="BA117" i="3"/>
  <c r="AZ207" i="3"/>
  <c r="AZ22" i="3"/>
  <c r="AZ34" i="3"/>
  <c r="BL503" i="3"/>
  <c r="AZ503" i="3" s="1"/>
  <c r="BL515" i="3"/>
  <c r="AZ515" i="3" s="1"/>
  <c r="BL523" i="3"/>
  <c r="AZ523" i="3" s="1"/>
  <c r="BL539" i="3"/>
  <c r="AZ539" i="3" s="1"/>
  <c r="BL565" i="3"/>
  <c r="G557" i="3"/>
  <c r="U13" i="33"/>
  <c r="AB46" i="34"/>
  <c r="U46" i="33"/>
  <c r="BL586" i="3"/>
  <c r="AZ586" i="3" s="1"/>
  <c r="G562" i="3"/>
  <c r="BL16" i="3"/>
  <c r="BL406" i="3"/>
  <c r="BA414" i="3"/>
  <c r="AZ414" i="3" s="1"/>
  <c r="BL417" i="3"/>
  <c r="AZ417" i="3" s="1"/>
  <c r="G418" i="3"/>
  <c r="BA425" i="3"/>
  <c r="AZ425" i="3" s="1"/>
  <c r="BL428" i="3"/>
  <c r="G429" i="3"/>
  <c r="BL429" i="3"/>
  <c r="AZ429" i="3" s="1"/>
  <c r="BL431" i="3"/>
  <c r="BL434" i="3"/>
  <c r="G437" i="3"/>
  <c r="BL437" i="3"/>
  <c r="AZ437" i="3" s="1"/>
  <c r="BL440" i="3"/>
  <c r="BA441" i="3"/>
  <c r="AZ441" i="3" s="1"/>
  <c r="BA448" i="3"/>
  <c r="BL453" i="3"/>
  <c r="G454" i="3"/>
  <c r="BA455" i="3"/>
  <c r="AZ455" i="3" s="1"/>
  <c r="BA458" i="3"/>
  <c r="AZ458" i="3" s="1"/>
  <c r="G462" i="3"/>
  <c r="BL463" i="3"/>
  <c r="BL467" i="3"/>
  <c r="BA474" i="3"/>
  <c r="AZ474" i="3" s="1"/>
  <c r="BA483" i="3"/>
  <c r="AZ483" i="3" s="1"/>
  <c r="BL486" i="3"/>
  <c r="G487" i="3"/>
  <c r="BA488" i="3"/>
  <c r="AZ488" i="3" s="1"/>
  <c r="BA491" i="3"/>
  <c r="BL317" i="3"/>
  <c r="G318" i="3"/>
  <c r="BA333" i="3"/>
  <c r="AZ333" i="3" s="1"/>
  <c r="BA339" i="3"/>
  <c r="AZ339" i="3" s="1"/>
  <c r="BL348" i="3"/>
  <c r="G349" i="3"/>
  <c r="BA350" i="3"/>
  <c r="AZ350" i="3" s="1"/>
  <c r="G358" i="3"/>
  <c r="BL367" i="3"/>
  <c r="AZ367" i="3" s="1"/>
  <c r="G369" i="3"/>
  <c r="BA370" i="3"/>
  <c r="AZ370" i="3" s="1"/>
  <c r="BA374" i="3"/>
  <c r="AZ374" i="3" s="1"/>
  <c r="BL386" i="3"/>
  <c r="AZ386" i="3" s="1"/>
  <c r="BA388" i="3"/>
  <c r="AZ388" i="3" s="1"/>
  <c r="BL395" i="3"/>
  <c r="G396" i="3"/>
  <c r="BA219" i="3"/>
  <c r="AZ219" i="3" s="1"/>
  <c r="BA224" i="3"/>
  <c r="AZ224" i="3" s="1"/>
  <c r="BA226" i="3"/>
  <c r="BA230" i="3"/>
  <c r="BA231" i="3"/>
  <c r="AZ231" i="3" s="1"/>
  <c r="BL233" i="3"/>
  <c r="AZ233" i="3" s="1"/>
  <c r="BA235" i="3"/>
  <c r="AZ235" i="3" s="1"/>
  <c r="BA238" i="3"/>
  <c r="AZ238" i="3" s="1"/>
  <c r="BA239" i="3"/>
  <c r="AZ239" i="3" s="1"/>
  <c r="BL241" i="3"/>
  <c r="AZ241" i="3" s="1"/>
  <c r="G243" i="3"/>
  <c r="BL243" i="3"/>
  <c r="AZ243" i="3" s="1"/>
  <c r="BL246" i="3"/>
  <c r="G253" i="3"/>
  <c r="G254" i="3"/>
  <c r="BL254" i="3"/>
  <c r="AZ254" i="3" s="1"/>
  <c r="BL258" i="3"/>
  <c r="G260" i="3"/>
  <c r="BL260" i="3"/>
  <c r="AZ260" i="3" s="1"/>
  <c r="G261" i="3"/>
  <c r="G282" i="3"/>
  <c r="BA283" i="3"/>
  <c r="AZ283" i="3" s="1"/>
  <c r="BL298" i="3"/>
  <c r="G299" i="3"/>
  <c r="AZ301" i="3"/>
  <c r="BL119" i="3"/>
  <c r="AZ119" i="3" s="1"/>
  <c r="G120" i="3"/>
  <c r="BA122" i="3"/>
  <c r="AZ122" i="3" s="1"/>
  <c r="G131" i="3"/>
  <c r="BA132" i="3"/>
  <c r="AZ132" i="3" s="1"/>
  <c r="C5" i="11"/>
  <c r="BL400" i="3"/>
  <c r="BA403" i="3"/>
  <c r="AZ403" i="3" s="1"/>
  <c r="BA404" i="3"/>
  <c r="AZ404" i="3" s="1"/>
  <c r="BA409" i="3"/>
  <c r="AZ409" i="3" s="1"/>
  <c r="BL413" i="3"/>
  <c r="BL424" i="3"/>
  <c r="AZ424" i="3" s="1"/>
  <c r="BA430" i="3"/>
  <c r="AZ430" i="3" s="1"/>
  <c r="BL439" i="3"/>
  <c r="AZ439" i="3" s="1"/>
  <c r="BL442" i="3"/>
  <c r="BA445" i="3"/>
  <c r="AZ445" i="3" s="1"/>
  <c r="BA446" i="3"/>
  <c r="BA447" i="3"/>
  <c r="AZ447" i="3" s="1"/>
  <c r="BL459" i="3"/>
  <c r="BL466" i="3"/>
  <c r="AZ466" i="3" s="1"/>
  <c r="BL472" i="3"/>
  <c r="BA476" i="3"/>
  <c r="AZ476" i="3" s="1"/>
  <c r="BA477" i="3"/>
  <c r="AZ477" i="3" s="1"/>
  <c r="BA478" i="3"/>
  <c r="AZ478" i="3" s="1"/>
  <c r="BL483" i="3"/>
  <c r="BL491" i="3"/>
  <c r="BA315" i="3"/>
  <c r="G329" i="3"/>
  <c r="E329" i="3" s="1"/>
  <c r="BA331" i="3"/>
  <c r="AZ331" i="3" s="1"/>
  <c r="BL353" i="3"/>
  <c r="AZ353" i="3" s="1"/>
  <c r="G362" i="3"/>
  <c r="G380" i="3"/>
  <c r="BA208" i="3"/>
  <c r="AZ208" i="3" s="1"/>
  <c r="BA209" i="3"/>
  <c r="AZ209" i="3" s="1"/>
  <c r="G212" i="3"/>
  <c r="BL212" i="3"/>
  <c r="G217" i="3"/>
  <c r="BL217" i="3"/>
  <c r="BA221" i="3"/>
  <c r="AZ221" i="3" s="1"/>
  <c r="BA222" i="3"/>
  <c r="AZ222" i="3" s="1"/>
  <c r="BA223" i="3"/>
  <c r="AZ223" i="3" s="1"/>
  <c r="G226" i="3"/>
  <c r="BL226" i="3"/>
  <c r="BA228" i="3"/>
  <c r="AZ228" i="3" s="1"/>
  <c r="BA229" i="3"/>
  <c r="AZ229" i="3" s="1"/>
  <c r="BA244" i="3"/>
  <c r="AZ244" i="3" s="1"/>
  <c r="BA245" i="3"/>
  <c r="AZ245" i="3" s="1"/>
  <c r="G248" i="3"/>
  <c r="G249" i="3"/>
  <c r="G250" i="3"/>
  <c r="G251" i="3"/>
  <c r="G252" i="3"/>
  <c r="E252" i="3" s="1"/>
  <c r="BL252" i="3"/>
  <c r="BA255" i="3"/>
  <c r="AZ255" i="3" s="1"/>
  <c r="BA256" i="3"/>
  <c r="AZ256" i="3" s="1"/>
  <c r="BA257" i="3"/>
  <c r="AZ257" i="3" s="1"/>
  <c r="BL259" i="3"/>
  <c r="AZ259" i="3" s="1"/>
  <c r="G265" i="3"/>
  <c r="G266" i="3"/>
  <c r="G267" i="3"/>
  <c r="BL267" i="3"/>
  <c r="BA270" i="3"/>
  <c r="AZ270" i="3" s="1"/>
  <c r="BA271" i="3"/>
  <c r="AZ271" i="3" s="1"/>
  <c r="BL274" i="3"/>
  <c r="AZ274" i="3" s="1"/>
  <c r="G275" i="3"/>
  <c r="BL278" i="3"/>
  <c r="BA292" i="3"/>
  <c r="BA295" i="3"/>
  <c r="AZ295" i="3" s="1"/>
  <c r="BA298" i="3"/>
  <c r="AZ298" i="3" s="1"/>
  <c r="BA142" i="3"/>
  <c r="AZ142" i="3" s="1"/>
  <c r="BL145" i="3"/>
  <c r="BL146" i="3"/>
  <c r="BA157" i="3"/>
  <c r="BA162" i="3"/>
  <c r="AZ162" i="3" s="1"/>
  <c r="BL170" i="3"/>
  <c r="AZ170" i="3" s="1"/>
  <c r="BA189" i="3"/>
  <c r="AZ189" i="3" s="1"/>
  <c r="BL194" i="3"/>
  <c r="AZ194" i="3" s="1"/>
  <c r="BA206" i="3"/>
  <c r="AZ96" i="3"/>
  <c r="T11" i="71"/>
  <c r="C10" i="71"/>
  <c r="D11" i="71"/>
  <c r="U11" i="71" s="1"/>
  <c r="AB21" i="71"/>
  <c r="AB22" i="71"/>
  <c r="AB19" i="71"/>
  <c r="BI5" i="3"/>
  <c r="BE5" i="3"/>
  <c r="BA399" i="3"/>
  <c r="AZ399" i="3" s="1"/>
  <c r="BL401" i="3"/>
  <c r="AZ401" i="3" s="1"/>
  <c r="G407" i="3"/>
  <c r="BL407" i="3"/>
  <c r="AZ407" i="3" s="1"/>
  <c r="BA411" i="3"/>
  <c r="AZ411" i="3" s="1"/>
  <c r="BA412" i="3"/>
  <c r="AZ412" i="3" s="1"/>
  <c r="G415" i="3"/>
  <c r="BL415" i="3"/>
  <c r="AZ415" i="3" s="1"/>
  <c r="BL418" i="3"/>
  <c r="AZ418" i="3" s="1"/>
  <c r="BA421" i="3"/>
  <c r="AZ421" i="3" s="1"/>
  <c r="BA422" i="3"/>
  <c r="AZ422" i="3" s="1"/>
  <c r="BA423" i="3"/>
  <c r="AZ423" i="3" s="1"/>
  <c r="G426" i="3"/>
  <c r="BL426" i="3"/>
  <c r="BA432" i="3"/>
  <c r="AZ432" i="3" s="1"/>
  <c r="BA433" i="3"/>
  <c r="AZ433" i="3" s="1"/>
  <c r="BA434" i="3"/>
  <c r="G436" i="3"/>
  <c r="BL436" i="3"/>
  <c r="G441" i="3"/>
  <c r="G442" i="3"/>
  <c r="BA449" i="3"/>
  <c r="AZ449" i="3" s="1"/>
  <c r="BA450" i="3"/>
  <c r="AZ450" i="3" s="1"/>
  <c r="G452" i="3"/>
  <c r="BL452" i="3"/>
  <c r="BL454" i="3"/>
  <c r="AZ454" i="3" s="1"/>
  <c r="G459" i="3"/>
  <c r="G461" i="3"/>
  <c r="BL461" i="3"/>
  <c r="BA464" i="3"/>
  <c r="AZ464" i="3" s="1"/>
  <c r="BA465" i="3"/>
  <c r="AZ465" i="3" s="1"/>
  <c r="G468" i="3"/>
  <c r="BL468" i="3"/>
  <c r="BA471" i="3"/>
  <c r="AZ471" i="3" s="1"/>
  <c r="BL473" i="3"/>
  <c r="AZ473" i="3" s="1"/>
  <c r="BA480" i="3"/>
  <c r="AZ480" i="3" s="1"/>
  <c r="BA481" i="3"/>
  <c r="AZ481" i="3" s="1"/>
  <c r="BA482" i="3"/>
  <c r="AZ482" i="3" s="1"/>
  <c r="G485" i="3"/>
  <c r="BL485" i="3"/>
  <c r="AZ485" i="3" s="1"/>
  <c r="BL487" i="3"/>
  <c r="G311" i="3"/>
  <c r="G327" i="3"/>
  <c r="G343" i="3"/>
  <c r="G351" i="3"/>
  <c r="BA354" i="3"/>
  <c r="AZ354" i="3" s="1"/>
  <c r="BL368" i="3"/>
  <c r="AZ368" i="3" s="1"/>
  <c r="G374" i="3"/>
  <c r="BL385" i="3"/>
  <c r="G387" i="3"/>
  <c r="BA211" i="3"/>
  <c r="AZ211" i="3" s="1"/>
  <c r="BL213" i="3"/>
  <c r="AZ213" i="3" s="1"/>
  <c r="BA216" i="3"/>
  <c r="AZ216" i="3" s="1"/>
  <c r="BL218" i="3"/>
  <c r="AZ218" i="3" s="1"/>
  <c r="BA225" i="3"/>
  <c r="AZ225" i="3" s="1"/>
  <c r="BL227" i="3"/>
  <c r="AZ227" i="3" s="1"/>
  <c r="G232" i="3"/>
  <c r="G233" i="3"/>
  <c r="G234" i="3"/>
  <c r="G235" i="3"/>
  <c r="G236" i="3"/>
  <c r="BL236" i="3"/>
  <c r="G240" i="3"/>
  <c r="G241" i="3"/>
  <c r="G242" i="3"/>
  <c r="BL242" i="3"/>
  <c r="BA247" i="3"/>
  <c r="AZ247" i="3" s="1"/>
  <c r="BA248" i="3"/>
  <c r="AZ248" i="3" s="1"/>
  <c r="BA249" i="3"/>
  <c r="AZ249" i="3" s="1"/>
  <c r="BA250" i="3"/>
  <c r="AZ250" i="3" s="1"/>
  <c r="BA251" i="3"/>
  <c r="AZ251" i="3" s="1"/>
  <c r="BL253" i="3"/>
  <c r="AZ253" i="3" s="1"/>
  <c r="BA264" i="3"/>
  <c r="AZ264" i="3" s="1"/>
  <c r="BA265" i="3"/>
  <c r="AZ265" i="3" s="1"/>
  <c r="BA266" i="3"/>
  <c r="AZ266" i="3" s="1"/>
  <c r="BL268" i="3"/>
  <c r="AZ268" i="3" s="1"/>
  <c r="BA273" i="3"/>
  <c r="BA275" i="3"/>
  <c r="AZ275" i="3" s="1"/>
  <c r="G280" i="3"/>
  <c r="BL280" i="3"/>
  <c r="AZ280" i="3" s="1"/>
  <c r="G281" i="3"/>
  <c r="BL281" i="3"/>
  <c r="AZ281" i="3" s="1"/>
  <c r="BL293" i="3"/>
  <c r="G294" i="3"/>
  <c r="BL294" i="3"/>
  <c r="BL296" i="3"/>
  <c r="AZ296" i="3" s="1"/>
  <c r="BL299" i="3"/>
  <c r="AZ299" i="3" s="1"/>
  <c r="G300" i="3"/>
  <c r="BL300" i="3"/>
  <c r="BL117" i="3"/>
  <c r="G118" i="3"/>
  <c r="BL118" i="3"/>
  <c r="AZ118" i="3" s="1"/>
  <c r="BL121" i="3"/>
  <c r="AZ121" i="3" s="1"/>
  <c r="BL123" i="3"/>
  <c r="AZ123" i="3" s="1"/>
  <c r="BL129" i="3"/>
  <c r="BL131" i="3"/>
  <c r="AZ131" i="3" s="1"/>
  <c r="G132" i="3"/>
  <c r="BA133" i="3"/>
  <c r="AZ133" i="3" s="1"/>
  <c r="BA134" i="3"/>
  <c r="G138" i="3"/>
  <c r="BL138" i="3"/>
  <c r="AZ138" i="3" s="1"/>
  <c r="BL141" i="3"/>
  <c r="AZ141" i="3" s="1"/>
  <c r="BA161" i="3"/>
  <c r="BL165" i="3"/>
  <c r="G166" i="3"/>
  <c r="BL169" i="3"/>
  <c r="AZ169" i="3" s="1"/>
  <c r="BA177" i="3"/>
  <c r="BA188" i="3"/>
  <c r="AZ188" i="3" s="1"/>
  <c r="BA72" i="3"/>
  <c r="AZ72" i="3" s="1"/>
  <c r="G78" i="3"/>
  <c r="G84" i="3"/>
  <c r="BL84" i="3"/>
  <c r="AZ84" i="3" s="1"/>
  <c r="AC18" i="35"/>
  <c r="W18" i="35"/>
  <c r="E11" i="71"/>
  <c r="E10" i="71" s="1"/>
  <c r="E9" i="71" s="1"/>
  <c r="AA8" i="71"/>
  <c r="AB15" i="71"/>
  <c r="BA277" i="3"/>
  <c r="AZ277" i="3" s="1"/>
  <c r="BL279" i="3"/>
  <c r="AZ279" i="3" s="1"/>
  <c r="BA289" i="3"/>
  <c r="AZ289" i="3" s="1"/>
  <c r="BA290" i="3"/>
  <c r="AZ290" i="3" s="1"/>
  <c r="BA291" i="3"/>
  <c r="AZ291" i="3" s="1"/>
  <c r="BA293" i="3"/>
  <c r="AZ293" i="3" s="1"/>
  <c r="G298" i="3"/>
  <c r="BA116" i="3"/>
  <c r="AZ116" i="3" s="1"/>
  <c r="BA126" i="3"/>
  <c r="BA128" i="3"/>
  <c r="AZ128" i="3" s="1"/>
  <c r="G135" i="3"/>
  <c r="BA136" i="3"/>
  <c r="AZ136" i="3" s="1"/>
  <c r="BA140" i="3"/>
  <c r="AZ140" i="3" s="1"/>
  <c r="BA152" i="3"/>
  <c r="AZ152" i="3" s="1"/>
  <c r="BL157" i="3"/>
  <c r="BL159" i="3"/>
  <c r="AZ159" i="3" s="1"/>
  <c r="G160" i="3"/>
  <c r="G164" i="3"/>
  <c r="BA165" i="3"/>
  <c r="AZ165" i="3" s="1"/>
  <c r="G168" i="3"/>
  <c r="BL171" i="3"/>
  <c r="AZ171" i="3" s="1"/>
  <c r="BL177" i="3"/>
  <c r="BL179" i="3"/>
  <c r="AZ179" i="3" s="1"/>
  <c r="G180" i="3"/>
  <c r="BA181" i="3"/>
  <c r="AZ181" i="3" s="1"/>
  <c r="BA182" i="3"/>
  <c r="AZ182" i="3" s="1"/>
  <c r="BA185" i="3"/>
  <c r="AZ185" i="3" s="1"/>
  <c r="BA186" i="3"/>
  <c r="AZ186" i="3" s="1"/>
  <c r="BA204" i="3"/>
  <c r="AZ204" i="3" s="1"/>
  <c r="BL205" i="3"/>
  <c r="BL206" i="3"/>
  <c r="BA27" i="3"/>
  <c r="BA32" i="3"/>
  <c r="AZ32" i="3" s="1"/>
  <c r="G35" i="3"/>
  <c r="BA45" i="3"/>
  <c r="AZ45" i="3" s="1"/>
  <c r="G54" i="3"/>
  <c r="AZ60" i="3"/>
  <c r="BA65" i="3"/>
  <c r="BL79" i="3"/>
  <c r="AZ79" i="3" s="1"/>
  <c r="BA90" i="3"/>
  <c r="AZ90" i="3" s="1"/>
  <c r="G94" i="3"/>
  <c r="BL94" i="3"/>
  <c r="AZ94" i="3" s="1"/>
  <c r="BL96" i="3"/>
  <c r="BL97" i="3"/>
  <c r="BA101" i="3"/>
  <c r="AZ101" i="3" s="1"/>
  <c r="N48" i="71"/>
  <c r="N49" i="71"/>
  <c r="C14" i="71"/>
  <c r="D14" i="71" s="1"/>
  <c r="D13" i="71"/>
  <c r="AB18" i="71"/>
  <c r="AB17" i="71"/>
  <c r="C21" i="71"/>
  <c r="D21" i="71" s="1"/>
  <c r="Y20" i="71"/>
  <c r="Z20" i="71" s="1"/>
  <c r="Y14" i="71"/>
  <c r="Z14" i="71" s="1"/>
  <c r="Y18" i="71"/>
  <c r="Z18" i="71" s="1"/>
  <c r="Y16" i="71"/>
  <c r="Z16" i="71" s="1"/>
  <c r="X21" i="71"/>
  <c r="X20" i="71"/>
  <c r="AB10" i="71"/>
  <c r="AB8" i="71"/>
  <c r="X6" i="71"/>
  <c r="AA5" i="71"/>
  <c r="AA6" i="71"/>
  <c r="BA146" i="3"/>
  <c r="BA148" i="3"/>
  <c r="AZ148" i="3" s="1"/>
  <c r="BL155" i="3"/>
  <c r="AZ155" i="3" s="1"/>
  <c r="G159" i="3"/>
  <c r="BA160" i="3"/>
  <c r="AZ160" i="3" s="1"/>
  <c r="BA164" i="3"/>
  <c r="AZ164" i="3" s="1"/>
  <c r="BL166" i="3"/>
  <c r="AZ166" i="3" s="1"/>
  <c r="G167" i="3"/>
  <c r="G170" i="3"/>
  <c r="G171" i="3"/>
  <c r="BL173" i="3"/>
  <c r="AZ173" i="3" s="1"/>
  <c r="BL174" i="3"/>
  <c r="AZ174" i="3" s="1"/>
  <c r="G179" i="3"/>
  <c r="BA180" i="3"/>
  <c r="BA200" i="3"/>
  <c r="AZ200" i="3" s="1"/>
  <c r="BL203" i="3"/>
  <c r="AZ203" i="3" s="1"/>
  <c r="G24" i="3"/>
  <c r="BL24" i="3"/>
  <c r="AZ24" i="3" s="1"/>
  <c r="G40" i="3"/>
  <c r="BA41" i="3"/>
  <c r="BL43" i="3"/>
  <c r="G44" i="3"/>
  <c r="BL44" i="3"/>
  <c r="AZ44" i="3" s="1"/>
  <c r="AZ54" i="3"/>
  <c r="BA63" i="3"/>
  <c r="AZ63" i="3" s="1"/>
  <c r="G67" i="3"/>
  <c r="BA76" i="3"/>
  <c r="AZ76" i="3" s="1"/>
  <c r="BL78" i="3"/>
  <c r="BA85" i="3"/>
  <c r="AZ85" i="3" s="1"/>
  <c r="U21" i="34"/>
  <c r="AB21" i="34"/>
  <c r="W18" i="36"/>
  <c r="AC18" i="36"/>
  <c r="U25" i="40"/>
  <c r="AB25" i="40"/>
  <c r="AA25" i="40"/>
  <c r="S25" i="40"/>
  <c r="X16" i="71"/>
  <c r="BA192" i="3"/>
  <c r="AZ192" i="3" s="1"/>
  <c r="BA197" i="3"/>
  <c r="AZ197" i="3" s="1"/>
  <c r="BA198" i="3"/>
  <c r="AZ198" i="3" s="1"/>
  <c r="BA201" i="3"/>
  <c r="AZ201" i="3" s="1"/>
  <c r="BA202" i="3"/>
  <c r="AZ202" i="3" s="1"/>
  <c r="G19" i="3"/>
  <c r="BL19" i="3"/>
  <c r="AZ19" i="3" s="1"/>
  <c r="BA25" i="3"/>
  <c r="AZ25" i="3" s="1"/>
  <c r="BA26" i="3"/>
  <c r="AZ26" i="3" s="1"/>
  <c r="G30" i="3"/>
  <c r="BA31" i="3"/>
  <c r="AZ31" i="3" s="1"/>
  <c r="BL33" i="3"/>
  <c r="AZ33" i="3" s="1"/>
  <c r="G34" i="3"/>
  <c r="BL34" i="3"/>
  <c r="BL41" i="3"/>
  <c r="G42" i="3"/>
  <c r="BA43" i="3"/>
  <c r="G53" i="3"/>
  <c r="BL53" i="3"/>
  <c r="AZ53" i="3" s="1"/>
  <c r="G66" i="3"/>
  <c r="BL66" i="3"/>
  <c r="AZ66" i="3" s="1"/>
  <c r="G77" i="3"/>
  <c r="BL77" i="3"/>
  <c r="AZ77" i="3" s="1"/>
  <c r="G91" i="3"/>
  <c r="BA92" i="3"/>
  <c r="BA95" i="3"/>
  <c r="AZ95" i="3" s="1"/>
  <c r="G104" i="3"/>
  <c r="BA105" i="3"/>
  <c r="AZ105" i="3" s="1"/>
  <c r="BA107" i="3"/>
  <c r="AZ107" i="3" s="1"/>
  <c r="BA108" i="3"/>
  <c r="AZ108" i="3" s="1"/>
  <c r="BA109" i="3"/>
  <c r="AZ109" i="3" s="1"/>
  <c r="BA110" i="3"/>
  <c r="AZ110" i="3" s="1"/>
  <c r="BA111" i="3"/>
  <c r="AZ111" i="3" s="1"/>
  <c r="F10" i="71"/>
  <c r="F9" i="71" s="1"/>
  <c r="D62" i="71"/>
  <c r="C61" i="71"/>
  <c r="D61" i="71" s="1"/>
  <c r="D45" i="71"/>
  <c r="X12" i="71"/>
  <c r="X13" i="71"/>
  <c r="X14" i="71"/>
  <c r="AB14" i="71"/>
  <c r="AB13" i="71"/>
  <c r="Y17" i="71"/>
  <c r="Z17" i="71" s="1"/>
  <c r="E21" i="71"/>
  <c r="E22" i="71" s="1"/>
  <c r="E23" i="71" s="1"/>
  <c r="U23" i="71" s="1"/>
  <c r="AA18" i="71"/>
  <c r="B46" i="71"/>
  <c r="B47" i="71" s="1"/>
  <c r="S47" i="71" s="1"/>
  <c r="AD12" i="43"/>
  <c r="AD10" i="43"/>
  <c r="AG12" i="43"/>
  <c r="AG10" i="43"/>
  <c r="BL20" i="3"/>
  <c r="AZ20" i="3" s="1"/>
  <c r="BL21" i="3"/>
  <c r="AZ21" i="3" s="1"/>
  <c r="BA28" i="3"/>
  <c r="AZ28" i="3" s="1"/>
  <c r="BA30" i="3"/>
  <c r="AZ30" i="3" s="1"/>
  <c r="BL32" i="3"/>
  <c r="G33" i="3"/>
  <c r="BL35" i="3"/>
  <c r="AZ35" i="3" s="1"/>
  <c r="BL38" i="3"/>
  <c r="AZ38" i="3" s="1"/>
  <c r="BL40" i="3"/>
  <c r="AZ40" i="3" s="1"/>
  <c r="G41" i="3"/>
  <c r="BA42" i="3"/>
  <c r="AZ42" i="3" s="1"/>
  <c r="BA48" i="3"/>
  <c r="AZ48" i="3" s="1"/>
  <c r="BA49" i="3"/>
  <c r="AZ49" i="3" s="1"/>
  <c r="BA50" i="3"/>
  <c r="AZ50" i="3" s="1"/>
  <c r="BA51" i="3"/>
  <c r="AZ51" i="3" s="1"/>
  <c r="G55" i="3"/>
  <c r="G56" i="3"/>
  <c r="BL56" i="3"/>
  <c r="AZ56" i="3" s="1"/>
  <c r="BL60" i="3"/>
  <c r="BA64" i="3"/>
  <c r="AZ64" i="3" s="1"/>
  <c r="BL67" i="3"/>
  <c r="AZ67" i="3" s="1"/>
  <c r="BA73" i="3"/>
  <c r="AZ73" i="3" s="1"/>
  <c r="BA74" i="3"/>
  <c r="AZ74" i="3" s="1"/>
  <c r="BA75" i="3"/>
  <c r="AZ75" i="3" s="1"/>
  <c r="G79" i="3"/>
  <c r="G80" i="3"/>
  <c r="G81" i="3"/>
  <c r="BL81" i="3"/>
  <c r="AZ81" i="3" s="1"/>
  <c r="BL82" i="3"/>
  <c r="AZ82" i="3" s="1"/>
  <c r="BA86" i="3"/>
  <c r="AZ86" i="3" s="1"/>
  <c r="BA87" i="3"/>
  <c r="AZ87" i="3" s="1"/>
  <c r="BA88" i="3"/>
  <c r="AZ88" i="3" s="1"/>
  <c r="BA89" i="3"/>
  <c r="AZ89" i="3" s="1"/>
  <c r="BA99" i="3"/>
  <c r="BL101" i="3"/>
  <c r="G102" i="3"/>
  <c r="AZ104" i="3"/>
  <c r="AC25" i="40"/>
  <c r="W25" i="40"/>
  <c r="T19" i="71"/>
  <c r="D19" i="71"/>
  <c r="B11" i="71"/>
  <c r="S11" i="71" s="1"/>
  <c r="X11" i="71"/>
  <c r="Y12" i="71"/>
  <c r="Z12" i="71" s="1"/>
  <c r="Y13" i="71"/>
  <c r="Z13" i="71" s="1"/>
  <c r="X15" i="71"/>
  <c r="O51" i="71"/>
  <c r="D51" i="71"/>
  <c r="T51" i="71"/>
  <c r="AE12" i="43"/>
  <c r="AE10" i="43"/>
  <c r="X9" i="71"/>
  <c r="X10" i="71"/>
  <c r="AB9" i="71"/>
  <c r="Y5" i="71"/>
  <c r="Z5" i="71" s="1"/>
  <c r="Y6" i="71"/>
  <c r="Z6" i="71" s="1"/>
  <c r="B19" i="71"/>
  <c r="S19" i="71" s="1"/>
  <c r="B15" i="71"/>
  <c r="S15" i="71" s="1"/>
  <c r="AB12" i="71"/>
  <c r="Y15" i="71"/>
  <c r="Z15" i="71" s="1"/>
  <c r="F19" i="71"/>
  <c r="V19" i="71" s="1"/>
  <c r="Y19" i="71"/>
  <c r="Z19" i="71" s="1"/>
  <c r="F23" i="71"/>
  <c r="V23" i="71" s="1"/>
  <c r="B38" i="71"/>
  <c r="B39" i="71" s="1"/>
  <c r="S39" i="71" s="1"/>
  <c r="AC12" i="43"/>
  <c r="AC10" i="43"/>
  <c r="AA9" i="71"/>
  <c r="Y8" i="71"/>
  <c r="Z8" i="71" s="1"/>
  <c r="E6" i="71"/>
  <c r="E5" i="71" s="1"/>
  <c r="AB5" i="71"/>
  <c r="AB6" i="71"/>
  <c r="BA285" i="3"/>
  <c r="AZ285" i="3" s="1"/>
  <c r="BA286" i="3"/>
  <c r="AZ286" i="3" s="1"/>
  <c r="BA287" i="3"/>
  <c r="AZ287" i="3" s="1"/>
  <c r="BA288" i="3"/>
  <c r="AZ288" i="3" s="1"/>
  <c r="G291" i="3"/>
  <c r="G292" i="3"/>
  <c r="BL292" i="3"/>
  <c r="BL297" i="3"/>
  <c r="AZ297" i="3" s="1"/>
  <c r="G302" i="3"/>
  <c r="BL302" i="3"/>
  <c r="BL113" i="3"/>
  <c r="BA125" i="3"/>
  <c r="AZ125" i="3" s="1"/>
  <c r="G128" i="3"/>
  <c r="BL130" i="3"/>
  <c r="AZ130" i="3" s="1"/>
  <c r="G134" i="3"/>
  <c r="BL134" i="3"/>
  <c r="BL137" i="3"/>
  <c r="AZ137" i="3" s="1"/>
  <c r="BA144" i="3"/>
  <c r="AZ144" i="3" s="1"/>
  <c r="G148" i="3"/>
  <c r="BA149" i="3"/>
  <c r="AZ149" i="3" s="1"/>
  <c r="BA150" i="3"/>
  <c r="AZ150" i="3" s="1"/>
  <c r="BA153" i="3"/>
  <c r="AZ153" i="3" s="1"/>
  <c r="BA154" i="3"/>
  <c r="AZ154" i="3" s="1"/>
  <c r="BL158" i="3"/>
  <c r="AZ158" i="3" s="1"/>
  <c r="BL161" i="3"/>
  <c r="BL167" i="3"/>
  <c r="AZ167" i="3" s="1"/>
  <c r="G176" i="3"/>
  <c r="BL178" i="3"/>
  <c r="AZ178" i="3" s="1"/>
  <c r="G182" i="3"/>
  <c r="G183" i="3"/>
  <c r="G186" i="3"/>
  <c r="G187" i="3"/>
  <c r="BL189" i="3"/>
  <c r="BA196" i="3"/>
  <c r="G18" i="3"/>
  <c r="G5" i="3" s="1"/>
  <c r="B3" i="3" s="1"/>
  <c r="BL18" i="3"/>
  <c r="G23" i="3"/>
  <c r="BL23" i="3"/>
  <c r="BL29" i="3"/>
  <c r="AZ29" i="3" s="1"/>
  <c r="BA36" i="3"/>
  <c r="AZ36" i="3" s="1"/>
  <c r="BA37" i="3"/>
  <c r="AZ37" i="3" s="1"/>
  <c r="BL39" i="3"/>
  <c r="AZ39" i="3" s="1"/>
  <c r="BA46" i="3"/>
  <c r="AZ46" i="3" s="1"/>
  <c r="BA47" i="3"/>
  <c r="AZ47" i="3" s="1"/>
  <c r="G50" i="3"/>
  <c r="G51" i="3"/>
  <c r="G52" i="3"/>
  <c r="BL52" i="3"/>
  <c r="BA57" i="3"/>
  <c r="AZ57" i="3" s="1"/>
  <c r="BA58" i="3"/>
  <c r="AZ58" i="3" s="1"/>
  <c r="BA59" i="3"/>
  <c r="AZ59" i="3" s="1"/>
  <c r="BL61" i="3"/>
  <c r="AZ61" i="3" s="1"/>
  <c r="G65" i="3"/>
  <c r="BL65" i="3"/>
  <c r="G69" i="3"/>
  <c r="E69" i="3" s="1"/>
  <c r="G70" i="3"/>
  <c r="BL70" i="3"/>
  <c r="G74" i="3"/>
  <c r="G75" i="3"/>
  <c r="G76" i="3"/>
  <c r="BL76" i="3"/>
  <c r="BL83" i="3"/>
  <c r="AZ83" i="3" s="1"/>
  <c r="G88" i="3"/>
  <c r="G89" i="3"/>
  <c r="G90" i="3"/>
  <c r="BL90" i="3"/>
  <c r="BL92" i="3"/>
  <c r="AZ92" i="3" s="1"/>
  <c r="BA97" i="3"/>
  <c r="BA98" i="3"/>
  <c r="AZ98" i="3" s="1"/>
  <c r="BA100" i="3"/>
  <c r="AZ100" i="3" s="1"/>
  <c r="BL102" i="3"/>
  <c r="AZ102" i="3" s="1"/>
  <c r="G103" i="3"/>
  <c r="BL103" i="3"/>
  <c r="AC21" i="37"/>
  <c r="W21" i="37"/>
  <c r="U51" i="71"/>
  <c r="AB20" i="71"/>
  <c r="AB16" i="71"/>
  <c r="E42" i="71"/>
  <c r="E43" i="71" s="1"/>
  <c r="U43" i="71" s="1"/>
  <c r="BA91" i="3"/>
  <c r="AZ91" i="3" s="1"/>
  <c r="BL93" i="3"/>
  <c r="AZ93" i="3" s="1"/>
  <c r="G99" i="3"/>
  <c r="BL99" i="3"/>
  <c r="G109" i="3"/>
  <c r="G110" i="3"/>
  <c r="G111" i="3"/>
  <c r="G112" i="3"/>
  <c r="BL112" i="3"/>
  <c r="AZ112" i="3" s="1"/>
  <c r="AB11" i="71"/>
  <c r="AA13" i="71"/>
  <c r="AA16" i="71"/>
  <c r="B26" i="71"/>
  <c r="B27" i="71" s="1"/>
  <c r="S27" i="71" s="1"/>
  <c r="E38" i="71"/>
  <c r="E39" i="71" s="1"/>
  <c r="U39" i="71" s="1"/>
  <c r="B42" i="71"/>
  <c r="B43" i="71" s="1"/>
  <c r="S43" i="71" s="1"/>
  <c r="BT5" i="3"/>
  <c r="G28" i="6" s="1"/>
  <c r="G30" i="6" s="1"/>
  <c r="G31" i="6" s="1"/>
  <c r="T10" i="1"/>
  <c r="AQ13" i="1"/>
  <c r="T12" i="1"/>
  <c r="BL15" i="3"/>
  <c r="P25" i="43"/>
  <c r="P23" i="43"/>
  <c r="D16" i="53"/>
  <c r="B34" i="72" s="1"/>
  <c r="AC23" i="37"/>
  <c r="W17" i="37"/>
  <c r="AC17" i="37"/>
  <c r="F32" i="80"/>
  <c r="F60" i="80" s="1"/>
  <c r="F28" i="80"/>
  <c r="C28" i="80" s="1"/>
  <c r="M18" i="80"/>
  <c r="F32" i="78"/>
  <c r="F60" i="78" s="1"/>
  <c r="F28" i="78"/>
  <c r="C28" i="78" s="1"/>
  <c r="M18" i="78"/>
  <c r="F53" i="9"/>
  <c r="F30" i="68"/>
  <c r="F30" i="11"/>
  <c r="F28" i="67"/>
  <c r="C28" i="67" s="1"/>
  <c r="F31" i="12"/>
  <c r="M18" i="67"/>
  <c r="F30" i="69"/>
  <c r="C48" i="69" s="1"/>
  <c r="M18" i="15"/>
  <c r="F54" i="9"/>
  <c r="AZ557" i="3"/>
  <c r="W45" i="21"/>
  <c r="AC45" i="21"/>
  <c r="AC27" i="34"/>
  <c r="W27" i="34"/>
  <c r="AB23" i="36"/>
  <c r="U23" i="36"/>
  <c r="S10" i="21"/>
  <c r="AA10" i="21"/>
  <c r="D63" i="40"/>
  <c r="C65" i="40"/>
  <c r="AC23" i="39"/>
  <c r="W23" i="39"/>
  <c r="W26" i="33"/>
  <c r="W12" i="35"/>
  <c r="AC12" i="35"/>
  <c r="I7" i="21"/>
  <c r="E7" i="21"/>
  <c r="G7" i="21"/>
  <c r="C16" i="43"/>
  <c r="C5" i="43" s="1"/>
  <c r="AA10" i="33"/>
  <c r="AA35" i="33"/>
  <c r="AC39" i="34"/>
  <c r="U44" i="34"/>
  <c r="AB27" i="36"/>
  <c r="U12" i="39"/>
  <c r="S30" i="40"/>
  <c r="AA34" i="33"/>
  <c r="F97" i="39"/>
  <c r="G97" i="39" s="1"/>
  <c r="S15" i="37"/>
  <c r="AC11" i="39"/>
  <c r="W29" i="33"/>
  <c r="S45" i="33"/>
  <c r="AC30" i="34"/>
  <c r="W11" i="35"/>
  <c r="S11" i="36"/>
  <c r="AB11" i="36"/>
  <c r="AA14" i="33"/>
  <c r="AA44" i="33"/>
  <c r="F81" i="21"/>
  <c r="G81" i="21" s="1"/>
  <c r="H19" i="21"/>
  <c r="F12" i="35"/>
  <c r="H12" i="35"/>
  <c r="H36" i="35"/>
  <c r="J36" i="35"/>
  <c r="F9" i="36"/>
  <c r="BA551" i="3"/>
  <c r="AZ398" i="3"/>
  <c r="AZ405" i="3"/>
  <c r="AZ420" i="3"/>
  <c r="AZ426" i="3"/>
  <c r="AZ431" i="3"/>
  <c r="AZ448" i="3"/>
  <c r="AZ452" i="3"/>
  <c r="AZ461" i="3"/>
  <c r="AZ463" i="3"/>
  <c r="AZ468" i="3"/>
  <c r="AZ470" i="3"/>
  <c r="AZ385" i="3"/>
  <c r="AZ210" i="3"/>
  <c r="J34" i="35"/>
  <c r="H34" i="35"/>
  <c r="F34" i="35"/>
  <c r="F25" i="37"/>
  <c r="BL550" i="3"/>
  <c r="AZ472" i="3"/>
  <c r="AZ475" i="3"/>
  <c r="AZ489" i="3"/>
  <c r="AZ316" i="3"/>
  <c r="AZ332" i="3"/>
  <c r="AZ220" i="3"/>
  <c r="M20" i="15"/>
  <c r="M20" i="80"/>
  <c r="F34" i="80"/>
  <c r="F62" i="80" s="1"/>
  <c r="F34" i="78"/>
  <c r="F62" i="78" s="1"/>
  <c r="M20" i="78"/>
  <c r="G14" i="3"/>
  <c r="AZ230" i="3"/>
  <c r="AZ236" i="3"/>
  <c r="AZ242" i="3"/>
  <c r="AZ262" i="3"/>
  <c r="AZ276" i="3"/>
  <c r="AZ278" i="3"/>
  <c r="AZ300" i="3"/>
  <c r="AZ302" i="3"/>
  <c r="AZ113" i="3"/>
  <c r="AZ126" i="3"/>
  <c r="AZ129" i="3"/>
  <c r="AZ161" i="3"/>
  <c r="AZ205" i="3"/>
  <c r="AZ18" i="3"/>
  <c r="AZ23" i="3"/>
  <c r="AZ27" i="3"/>
  <c r="AZ52" i="3"/>
  <c r="AZ103" i="3"/>
  <c r="AZ65" i="3"/>
  <c r="AZ70" i="3"/>
  <c r="J51" i="15"/>
  <c r="AA18" i="36"/>
  <c r="S18" i="36"/>
  <c r="C15" i="71"/>
  <c r="C47" i="71"/>
  <c r="D46" i="71"/>
  <c r="M100" i="43"/>
  <c r="I100" i="43"/>
  <c r="E100" i="43"/>
  <c r="D100" i="43"/>
  <c r="D22" i="67"/>
  <c r="B75" i="43"/>
  <c r="B66" i="43"/>
  <c r="C29" i="39"/>
  <c r="C22" i="71"/>
  <c r="D25" i="71"/>
  <c r="C26" i="71"/>
  <c r="C30" i="71"/>
  <c r="D30" i="71" s="1"/>
  <c r="D29" i="71"/>
  <c r="C34" i="71"/>
  <c r="D33" i="71"/>
  <c r="C38" i="71"/>
  <c r="D37" i="71"/>
  <c r="C42" i="71"/>
  <c r="D41" i="71"/>
  <c r="C6" i="71"/>
  <c r="T7" i="71"/>
  <c r="D7" i="71"/>
  <c r="U7" i="71" s="1"/>
  <c r="F13" i="71"/>
  <c r="F14" i="71" s="1"/>
  <c r="F15" i="71" s="1"/>
  <c r="V15" i="71" s="1"/>
  <c r="AA7" i="71"/>
  <c r="AB7" i="71"/>
  <c r="X5" i="71"/>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H110" i="9"/>
  <c r="D18" i="53" s="1"/>
  <c r="B35" i="72" s="1"/>
  <c r="D9" i="53"/>
  <c r="B25" i="72" s="1"/>
  <c r="B24" i="72"/>
  <c r="AB29" i="39"/>
  <c r="U25" i="39"/>
  <c r="AC38" i="39"/>
  <c r="AA39" i="39"/>
  <c r="S32" i="39"/>
  <c r="B55" i="43"/>
  <c r="B65" i="43"/>
  <c r="B54" i="43"/>
  <c r="AC29" i="39"/>
  <c r="AA21" i="39"/>
  <c r="W42" i="39"/>
  <c r="W40" i="39"/>
  <c r="U32" i="39"/>
  <c r="S29" i="39"/>
  <c r="W21" i="39"/>
  <c r="AB15" i="39"/>
  <c r="AC15" i="39"/>
  <c r="S11" i="39"/>
  <c r="P61" i="15"/>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AZ13" i="3"/>
  <c r="AR11" i="1"/>
  <c r="T11" i="1"/>
  <c r="AP6" i="1"/>
  <c r="C36" i="69" s="1"/>
  <c r="M6" i="1"/>
  <c r="O6" i="1" s="1"/>
  <c r="P6" i="1" s="1"/>
  <c r="C13" i="12" s="1"/>
  <c r="T13" i="1"/>
  <c r="AR10" i="1"/>
  <c r="E32" i="6"/>
  <c r="Q16" i="1"/>
  <c r="F27" i="69" s="1"/>
  <c r="G1" i="80"/>
  <c r="G1" i="78"/>
  <c r="AZ14" i="3"/>
  <c r="I4" i="6"/>
  <c r="G3" i="43" s="1"/>
  <c r="F22" i="43" s="1"/>
  <c r="E15" i="6"/>
  <c r="H16" i="1"/>
  <c r="M7" i="1"/>
  <c r="O7" i="1" s="1"/>
  <c r="O12" i="1"/>
  <c r="P12" i="1" s="1"/>
  <c r="O11" i="1"/>
  <c r="P11" i="1" s="1"/>
  <c r="O8" i="1"/>
  <c r="P8" i="1" s="1"/>
  <c r="AC7" i="33"/>
  <c r="V48" i="33" s="1"/>
  <c r="I48" i="33" s="1"/>
  <c r="I52" i="33" s="1"/>
  <c r="J52" i="33" s="1"/>
  <c r="AA7" i="33"/>
  <c r="R48" i="33" s="1"/>
  <c r="R49" i="33" s="1"/>
  <c r="AB42" i="21"/>
  <c r="AB38" i="21"/>
  <c r="AC34" i="21"/>
  <c r="U42" i="39"/>
  <c r="AA41" i="39"/>
  <c r="U40" i="39"/>
  <c r="U9" i="39"/>
  <c r="C94" i="9"/>
  <c r="C92" i="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G52" i="33"/>
  <c r="H52" i="33" s="1"/>
  <c r="E48" i="33"/>
  <c r="J58" i="21"/>
  <c r="K58" i="21" s="1"/>
  <c r="L58" i="21" s="1"/>
  <c r="M58" i="21" s="1"/>
  <c r="N58" i="21" s="1"/>
  <c r="O58" i="21" s="1"/>
  <c r="K59" i="34"/>
  <c r="L59" i="34" s="1"/>
  <c r="M59" i="34" s="1"/>
  <c r="N59" i="34" s="1"/>
  <c r="O59" i="34" s="1"/>
  <c r="J52" i="37"/>
  <c r="K52" i="37" s="1"/>
  <c r="L52" i="37" s="1"/>
  <c r="M52" i="37" s="1"/>
  <c r="N52" i="37" s="1"/>
  <c r="O52" i="37" s="1"/>
  <c r="F46" i="36"/>
  <c r="E48" i="35"/>
  <c r="D68" i="39"/>
  <c r="B20" i="31"/>
  <c r="B6" i="70"/>
  <c r="F68" i="67"/>
  <c r="F66" i="67"/>
  <c r="N59" i="67"/>
  <c r="M59" i="67"/>
  <c r="L59" i="67" s="1"/>
  <c r="L58" i="67"/>
  <c r="F51" i="15"/>
  <c r="F68" i="15"/>
  <c r="M59" i="15"/>
  <c r="L59" i="15" s="1"/>
  <c r="N59" i="15"/>
  <c r="I54" i="67"/>
  <c r="J57" i="67"/>
  <c r="J55" i="67" s="1"/>
  <c r="J58" i="67" s="1"/>
  <c r="Q50" i="67" s="1"/>
  <c r="L56" i="67"/>
  <c r="C27" i="67"/>
  <c r="Q71" i="67"/>
  <c r="B12" i="70"/>
  <c r="B13" i="70"/>
  <c r="B9" i="70"/>
  <c r="K1" i="73"/>
  <c r="F70" i="67"/>
  <c r="F64" i="67"/>
  <c r="F65" i="67"/>
  <c r="Q71" i="15"/>
  <c r="F71" i="67"/>
  <c r="M7" i="67"/>
  <c r="J6" i="67" s="1"/>
  <c r="F50" i="67"/>
  <c r="F66" i="15"/>
  <c r="F51" i="67"/>
  <c r="C6" i="67"/>
  <c r="B10" i="70"/>
  <c r="B11" i="70"/>
  <c r="I1" i="73"/>
  <c r="B39" i="1" s="1"/>
  <c r="M17" i="67"/>
  <c r="F59" i="15"/>
  <c r="F59" i="67"/>
  <c r="M17" i="15"/>
  <c r="M22" i="15"/>
  <c r="F37" i="78"/>
  <c r="L47" i="80"/>
  <c r="F16" i="15"/>
  <c r="C16" i="67"/>
  <c r="F8" i="80"/>
  <c r="M22" i="78"/>
  <c r="F7" i="80"/>
  <c r="J15" i="80"/>
  <c r="F42" i="80"/>
  <c r="F38" i="80"/>
  <c r="F6" i="78"/>
  <c r="F13" i="78"/>
  <c r="L48" i="80"/>
  <c r="M9" i="78"/>
  <c r="F42" i="78"/>
  <c r="M29" i="80"/>
  <c r="F7" i="78"/>
  <c r="M23" i="78"/>
  <c r="F36" i="15"/>
  <c r="J15" i="15"/>
  <c r="F16" i="78"/>
  <c r="L48" i="15"/>
  <c r="M29" i="78"/>
  <c r="M8" i="78"/>
  <c r="F43" i="78"/>
  <c r="M27" i="78"/>
  <c r="M24" i="78"/>
  <c r="M22" i="80"/>
  <c r="F26" i="15"/>
  <c r="F38" i="78"/>
  <c r="F9" i="78"/>
  <c r="F16" i="80"/>
  <c r="F43" i="15"/>
  <c r="J15" i="78"/>
  <c r="F37" i="15"/>
  <c r="F41" i="80"/>
  <c r="F37" i="80"/>
  <c r="F7" i="15"/>
  <c r="L47" i="78"/>
  <c r="F8" i="78"/>
  <c r="M23" i="80"/>
  <c r="M28" i="80"/>
  <c r="F40" i="78"/>
  <c r="C76" i="78"/>
  <c r="F6" i="80"/>
  <c r="F6" i="15"/>
  <c r="M24" i="80"/>
  <c r="M27" i="80"/>
  <c r="L48" i="78"/>
  <c r="Q52" i="67" l="1"/>
  <c r="F1" i="67"/>
  <c r="F50" i="15"/>
  <c r="C49" i="15" s="1"/>
  <c r="M7" i="15"/>
  <c r="C27" i="15"/>
  <c r="F65" i="15"/>
  <c r="C6" i="15"/>
  <c r="F64" i="15"/>
  <c r="J57" i="15"/>
  <c r="J55" i="15" s="1"/>
  <c r="J58" i="15" s="1"/>
  <c r="Q50" i="15" s="1"/>
  <c r="I54" i="15"/>
  <c r="L58" i="15"/>
  <c r="Q73" i="15" s="1"/>
  <c r="L56" i="15"/>
  <c r="J53" i="15"/>
  <c r="Q52" i="15" s="1"/>
  <c r="F71" i="15"/>
  <c r="E135" i="3"/>
  <c r="E298" i="3"/>
  <c r="E294" i="3"/>
  <c r="E374" i="3"/>
  <c r="E343" i="3"/>
  <c r="E461" i="3"/>
  <c r="E574" i="3"/>
  <c r="E72" i="3"/>
  <c r="E56" i="3"/>
  <c r="E272" i="3"/>
  <c r="E291" i="3"/>
  <c r="E317" i="3"/>
  <c r="AK6" i="3"/>
  <c r="E223" i="3"/>
  <c r="E286" i="3"/>
  <c r="E575" i="3"/>
  <c r="E499" i="3"/>
  <c r="R6" i="3"/>
  <c r="E502" i="3"/>
  <c r="E442" i="3"/>
  <c r="E466" i="3"/>
  <c r="E541" i="3"/>
  <c r="E430" i="3"/>
  <c r="E449" i="3"/>
  <c r="E255" i="3"/>
  <c r="I3" i="6"/>
  <c r="AP6" i="3"/>
  <c r="E554" i="3"/>
  <c r="E517" i="3"/>
  <c r="E435" i="3"/>
  <c r="E491" i="3"/>
  <c r="E479" i="3"/>
  <c r="E193" i="3"/>
  <c r="E45" i="3"/>
  <c r="E61" i="3"/>
  <c r="E16" i="3"/>
  <c r="E180" i="3"/>
  <c r="E368" i="3"/>
  <c r="I6" i="3"/>
  <c r="E164" i="3"/>
  <c r="E204" i="3"/>
  <c r="E89" i="3"/>
  <c r="E269" i="3"/>
  <c r="E236" i="3"/>
  <c r="E136" i="3"/>
  <c r="E263" i="3"/>
  <c r="E423" i="3"/>
  <c r="AI6" i="3"/>
  <c r="E53" i="3"/>
  <c r="E319" i="3"/>
  <c r="E501" i="3"/>
  <c r="E153" i="3"/>
  <c r="E426" i="3"/>
  <c r="E328" i="3"/>
  <c r="O6" i="3"/>
  <c r="E359" i="3"/>
  <c r="E285" i="3"/>
  <c r="E97" i="3"/>
  <c r="E278" i="3"/>
  <c r="E563" i="3"/>
  <c r="E172" i="3"/>
  <c r="E445" i="3"/>
  <c r="E535" i="3"/>
  <c r="E539" i="3"/>
  <c r="E567" i="3"/>
  <c r="E227" i="3"/>
  <c r="E165" i="3"/>
  <c r="E311" i="3"/>
  <c r="E514" i="3"/>
  <c r="E570" i="3"/>
  <c r="M6" i="3"/>
  <c r="AB6" i="3"/>
  <c r="E387" i="3"/>
  <c r="E335" i="3"/>
  <c r="E215" i="3"/>
  <c r="E189" i="3"/>
  <c r="E505" i="3"/>
  <c r="E290" i="3"/>
  <c r="E270" i="3"/>
  <c r="E231" i="3"/>
  <c r="E437" i="3"/>
  <c r="E95" i="3"/>
  <c r="E295" i="3"/>
  <c r="E316" i="3"/>
  <c r="E334" i="3"/>
  <c r="E262" i="3"/>
  <c r="E197" i="3"/>
  <c r="E327" i="3"/>
  <c r="E576" i="3"/>
  <c r="Z6" i="3"/>
  <c r="AG6" i="3"/>
  <c r="AO6" i="3"/>
  <c r="E448" i="3"/>
  <c r="E485" i="3"/>
  <c r="P6" i="3"/>
  <c r="E400" i="3"/>
  <c r="E443" i="3"/>
  <c r="E345" i="3"/>
  <c r="E558" i="3"/>
  <c r="E581" i="3"/>
  <c r="E531" i="3"/>
  <c r="E444" i="3"/>
  <c r="E489" i="3"/>
  <c r="E404" i="3"/>
  <c r="E28" i="3"/>
  <c r="E177" i="3"/>
  <c r="E120" i="3"/>
  <c r="E169" i="3"/>
  <c r="E314" i="3"/>
  <c r="E221" i="3"/>
  <c r="E130" i="3"/>
  <c r="E568" i="3"/>
  <c r="E199" i="3"/>
  <c r="E77" i="3"/>
  <c r="E157" i="3"/>
  <c r="E228" i="3"/>
  <c r="E99" i="3"/>
  <c r="E159" i="3"/>
  <c r="E303" i="3"/>
  <c r="E402" i="3"/>
  <c r="AN6" i="3"/>
  <c r="E125" i="3"/>
  <c r="E366" i="3"/>
  <c r="E553" i="3"/>
  <c r="E282" i="3"/>
  <c r="N6" i="3"/>
  <c r="E239" i="3"/>
  <c r="E516" i="3"/>
  <c r="E569" i="3"/>
  <c r="E396" i="3"/>
  <c r="E229" i="3"/>
  <c r="E151" i="3"/>
  <c r="E237" i="3"/>
  <c r="E304" i="3"/>
  <c r="E565" i="3"/>
  <c r="E213" i="3"/>
  <c r="E17" i="3"/>
  <c r="E302" i="3"/>
  <c r="E583" i="3"/>
  <c r="X6" i="3"/>
  <c r="E336" i="3"/>
  <c r="E246" i="3"/>
  <c r="E293" i="3"/>
  <c r="E390" i="3"/>
  <c r="S6" i="3"/>
  <c r="E523" i="3"/>
  <c r="E506" i="3"/>
  <c r="E418" i="3"/>
  <c r="E338" i="3"/>
  <c r="E321" i="3"/>
  <c r="E254" i="3"/>
  <c r="E244" i="3"/>
  <c r="E536" i="3"/>
  <c r="E261" i="3"/>
  <c r="E280" i="3"/>
  <c r="E538" i="3"/>
  <c r="E216" i="3"/>
  <c r="E22" i="3"/>
  <c r="E562" i="3"/>
  <c r="E126" i="3"/>
  <c r="E210" i="3"/>
  <c r="E331" i="3"/>
  <c r="E375" i="3"/>
  <c r="E173" i="3"/>
  <c r="E312" i="3"/>
  <c r="AD6" i="3"/>
  <c r="E542" i="3"/>
  <c r="E552" i="3"/>
  <c r="E421" i="3"/>
  <c r="E464" i="3"/>
  <c r="E398" i="3"/>
  <c r="E416" i="3"/>
  <c r="E459" i="3"/>
  <c r="E566" i="3"/>
  <c r="E500" i="3"/>
  <c r="E582" i="3"/>
  <c r="E413" i="3"/>
  <c r="E460" i="3"/>
  <c r="E520" i="3"/>
  <c r="E436" i="3"/>
  <c r="E39" i="3"/>
  <c r="E224" i="3"/>
  <c r="E117" i="3"/>
  <c r="E296" i="3"/>
  <c r="E196" i="3"/>
  <c r="E549" i="3"/>
  <c r="E145" i="3"/>
  <c r="E271" i="3"/>
  <c r="E207" i="3"/>
  <c r="E122" i="3"/>
  <c r="E156" i="3"/>
  <c r="E245" i="3"/>
  <c r="E382" i="3"/>
  <c r="E578" i="3"/>
  <c r="E518" i="3"/>
  <c r="E175" i="3"/>
  <c r="E530" i="3"/>
  <c r="E305" i="3"/>
  <c r="E508" i="3"/>
  <c r="E388" i="3"/>
  <c r="E555" i="3"/>
  <c r="E410" i="3"/>
  <c r="E337" i="3"/>
  <c r="E143" i="3"/>
  <c r="E397" i="3"/>
  <c r="E114" i="3"/>
  <c r="E415" i="3"/>
  <c r="E395" i="3"/>
  <c r="E550" i="3"/>
  <c r="E545" i="3"/>
  <c r="E510" i="3"/>
  <c r="E352" i="3"/>
  <c r="E205" i="3"/>
  <c r="E128" i="3"/>
  <c r="E358" i="3"/>
  <c r="E559" i="3"/>
  <c r="E551" i="3"/>
  <c r="V6" i="3"/>
  <c r="E407" i="3"/>
  <c r="E320" i="3"/>
  <c r="E230" i="3"/>
  <c r="E32" i="3"/>
  <c r="E450" i="3"/>
  <c r="E186" i="3"/>
  <c r="E273" i="3"/>
  <c r="E377" i="3"/>
  <c r="E385" i="3"/>
  <c r="E140" i="3"/>
  <c r="E107" i="3"/>
  <c r="E379" i="3"/>
  <c r="E585" i="3"/>
  <c r="U6" i="3"/>
  <c r="E515" i="3"/>
  <c r="E411" i="3"/>
  <c r="E478" i="3"/>
  <c r="E548" i="3"/>
  <c r="E414" i="3"/>
  <c r="E432" i="3"/>
  <c r="E477" i="3"/>
  <c r="E367" i="3"/>
  <c r="E547" i="3"/>
  <c r="AS6" i="3"/>
  <c r="E403" i="3"/>
  <c r="E476" i="3"/>
  <c r="E546" i="3"/>
  <c r="E447" i="3"/>
  <c r="E71" i="3"/>
  <c r="E141" i="3"/>
  <c r="E277" i="3"/>
  <c r="E434" i="3"/>
  <c r="E167" i="3"/>
  <c r="E212" i="3"/>
  <c r="E149" i="3"/>
  <c r="E181" i="3"/>
  <c r="E188" i="3"/>
  <c r="E191" i="3"/>
  <c r="E301" i="3"/>
  <c r="E350" i="3"/>
  <c r="E586" i="3"/>
  <c r="E495" i="3"/>
  <c r="E217" i="3"/>
  <c r="E526" i="3"/>
  <c r="E268" i="3"/>
  <c r="E322" i="3"/>
  <c r="AJ6" i="3"/>
  <c r="E509" i="3"/>
  <c r="E579" i="3"/>
  <c r="E431" i="3"/>
  <c r="E247" i="3"/>
  <c r="E201" i="3"/>
  <c r="E353" i="3"/>
  <c r="E528" i="3"/>
  <c r="E183" i="3"/>
  <c r="E361" i="3"/>
  <c r="E503" i="3"/>
  <c r="E347" i="3"/>
  <c r="AA6" i="3"/>
  <c r="E399" i="3"/>
  <c r="E124" i="3"/>
  <c r="E533" i="3"/>
  <c r="AR6" i="3"/>
  <c r="E561" i="3"/>
  <c r="E439" i="3"/>
  <c r="E380" i="3"/>
  <c r="E148" i="3"/>
  <c r="E134" i="3"/>
  <c r="E91" i="3"/>
  <c r="E260" i="3"/>
  <c r="E253" i="3"/>
  <c r="E487" i="3"/>
  <c r="E557" i="3"/>
  <c r="E453" i="3"/>
  <c r="AZ99" i="3"/>
  <c r="AZ212" i="3"/>
  <c r="AB9" i="36"/>
  <c r="U9" i="36"/>
  <c r="W39" i="40"/>
  <c r="AC39" i="40"/>
  <c r="U44" i="39"/>
  <c r="AB44" i="39"/>
  <c r="AA13" i="39"/>
  <c r="S13" i="39"/>
  <c r="E8" i="6"/>
  <c r="E5" i="6"/>
  <c r="U43" i="39"/>
  <c r="AB43" i="39"/>
  <c r="W13" i="37"/>
  <c r="AC13" i="37"/>
  <c r="AA23" i="35"/>
  <c r="S23" i="35"/>
  <c r="S14" i="34"/>
  <c r="AA14" i="34"/>
  <c r="AB27" i="33"/>
  <c r="U27" i="33"/>
  <c r="AB27" i="21"/>
  <c r="U27" i="21"/>
  <c r="AA31" i="34"/>
  <c r="S31" i="34"/>
  <c r="AZ511" i="3"/>
  <c r="S32" i="40"/>
  <c r="AA32" i="40"/>
  <c r="S12" i="36"/>
  <c r="AA12" i="36"/>
  <c r="AA13" i="34"/>
  <c r="S13" i="34"/>
  <c r="S9" i="34"/>
  <c r="AA9" i="34"/>
  <c r="W46" i="21"/>
  <c r="AC46" i="21"/>
  <c r="AC30" i="21"/>
  <c r="W30" i="21"/>
  <c r="F7" i="37"/>
  <c r="S42" i="21"/>
  <c r="U7" i="33"/>
  <c r="E12" i="6"/>
  <c r="E62" i="39" s="1"/>
  <c r="AZ15" i="3"/>
  <c r="E10" i="6"/>
  <c r="AZ177" i="3"/>
  <c r="AZ134" i="3"/>
  <c r="AZ292" i="3"/>
  <c r="AZ565" i="3"/>
  <c r="S27" i="39"/>
  <c r="AA27" i="39"/>
  <c r="AZ467" i="3"/>
  <c r="AZ440" i="3"/>
  <c r="AZ348" i="3"/>
  <c r="AZ428" i="3"/>
  <c r="W40" i="40"/>
  <c r="AC40" i="40"/>
  <c r="AC37" i="39"/>
  <c r="W37" i="39"/>
  <c r="AC9" i="36"/>
  <c r="W9" i="36"/>
  <c r="S12" i="21"/>
  <c r="AA12" i="21"/>
  <c r="AA25" i="39"/>
  <c r="S25" i="39"/>
  <c r="AB19" i="39"/>
  <c r="U19" i="39"/>
  <c r="U39" i="37"/>
  <c r="AB39" i="37"/>
  <c r="AB24" i="36"/>
  <c r="U24" i="36"/>
  <c r="AC14" i="40"/>
  <c r="W14" i="40"/>
  <c r="W43" i="39"/>
  <c r="AC43" i="39"/>
  <c r="AB13" i="37"/>
  <c r="U13" i="37"/>
  <c r="W23" i="35"/>
  <c r="AC23" i="35"/>
  <c r="W14" i="34"/>
  <c r="AC14" i="34"/>
  <c r="S27" i="33"/>
  <c r="AA27" i="33"/>
  <c r="AA27" i="21"/>
  <c r="S27" i="21"/>
  <c r="AB47" i="34"/>
  <c r="U47" i="34"/>
  <c r="U12" i="36"/>
  <c r="AB12" i="36"/>
  <c r="AB9" i="34"/>
  <c r="U9" i="34"/>
  <c r="AA46" i="21"/>
  <c r="S46" i="21"/>
  <c r="U30" i="21"/>
  <c r="AB30" i="21"/>
  <c r="AZ545" i="3"/>
  <c r="G85" i="21"/>
  <c r="H23" i="21"/>
  <c r="F23" i="21"/>
  <c r="AB40" i="40"/>
  <c r="U40" i="40"/>
  <c r="AA37" i="39"/>
  <c r="S37" i="39"/>
  <c r="U34" i="21"/>
  <c r="E13" i="6"/>
  <c r="E58" i="40" s="1"/>
  <c r="B10" i="71"/>
  <c r="B9" i="71" s="1"/>
  <c r="BL5" i="3"/>
  <c r="H7" i="21"/>
  <c r="E14" i="6"/>
  <c r="E11" i="6"/>
  <c r="AZ146" i="3"/>
  <c r="C9" i="71"/>
  <c r="D9" i="71" s="1"/>
  <c r="D10" i="71"/>
  <c r="AZ206" i="3"/>
  <c r="AZ491" i="3"/>
  <c r="AZ234" i="3"/>
  <c r="AC40" i="37"/>
  <c r="W40" i="37"/>
  <c r="AA45" i="21"/>
  <c r="S45" i="21"/>
  <c r="U26" i="33"/>
  <c r="AB26" i="33"/>
  <c r="AC39" i="37"/>
  <c r="W39" i="37"/>
  <c r="AC24" i="36"/>
  <c r="W24" i="36"/>
  <c r="AC31" i="34"/>
  <c r="W31" i="34"/>
  <c r="AC27" i="33"/>
  <c r="W27" i="33"/>
  <c r="AA14" i="40"/>
  <c r="S14" i="40"/>
  <c r="U39" i="39"/>
  <c r="AB39" i="39"/>
  <c r="AB17" i="39"/>
  <c r="U17" i="39"/>
  <c r="AB35" i="35"/>
  <c r="U35" i="35"/>
  <c r="S32" i="34"/>
  <c r="AA32" i="34"/>
  <c r="S29" i="33"/>
  <c r="AA29" i="33"/>
  <c r="AC26" i="35"/>
  <c r="W26" i="35"/>
  <c r="K120" i="9"/>
  <c r="A18" i="62" s="1"/>
  <c r="B64" i="72" s="1"/>
  <c r="D6" i="52"/>
  <c r="D121" i="9"/>
  <c r="D7" i="52" s="1"/>
  <c r="W12" i="36"/>
  <c r="AC12" i="36"/>
  <c r="AC44" i="33"/>
  <c r="W44" i="33"/>
  <c r="U46" i="21"/>
  <c r="AB46" i="21"/>
  <c r="AC25" i="37"/>
  <c r="W25" i="37"/>
  <c r="F30" i="6"/>
  <c r="AB12" i="21"/>
  <c r="U12" i="21"/>
  <c r="C49" i="67"/>
  <c r="H7" i="34"/>
  <c r="B71" i="39"/>
  <c r="AZ97" i="3"/>
  <c r="AZ5" i="3" s="1"/>
  <c r="AZ43" i="3"/>
  <c r="AZ41" i="3"/>
  <c r="AZ273" i="3"/>
  <c r="AZ434" i="3"/>
  <c r="AZ157" i="3"/>
  <c r="AZ446" i="3"/>
  <c r="AZ226" i="3"/>
  <c r="AZ117" i="3"/>
  <c r="AZ416" i="3"/>
  <c r="AZ406" i="3"/>
  <c r="AZ552" i="3"/>
  <c r="AZ561" i="3"/>
  <c r="U40" i="37"/>
  <c r="AB40" i="37"/>
  <c r="AA26" i="33"/>
  <c r="S26" i="33"/>
  <c r="AC12" i="21"/>
  <c r="W12" i="21"/>
  <c r="AZ499" i="3"/>
  <c r="U39" i="40"/>
  <c r="AB39" i="40"/>
  <c r="AC44" i="39"/>
  <c r="W44" i="39"/>
  <c r="W13" i="39"/>
  <c r="AC13" i="39"/>
  <c r="AB25" i="36"/>
  <c r="U25" i="36"/>
  <c r="U14" i="40"/>
  <c r="AB14" i="40"/>
  <c r="F120" i="39"/>
  <c r="G120" i="39" s="1"/>
  <c r="H120" i="39" s="1"/>
  <c r="I120" i="39" s="1"/>
  <c r="J120" i="39" s="1"/>
  <c r="K120" i="39" s="1"/>
  <c r="L120" i="39" s="1"/>
  <c r="M120" i="39" s="1"/>
  <c r="J39" i="39"/>
  <c r="G91" i="39"/>
  <c r="F17" i="39"/>
  <c r="J17" i="39"/>
  <c r="AC35" i="35"/>
  <c r="W35" i="35"/>
  <c r="W32" i="34"/>
  <c r="AC32" i="34"/>
  <c r="U29" i="33"/>
  <c r="AB29" i="33"/>
  <c r="AZ571" i="3"/>
  <c r="U13" i="34"/>
  <c r="AB13" i="34"/>
  <c r="U44" i="33"/>
  <c r="AB44" i="33"/>
  <c r="S30" i="21"/>
  <c r="AA30" i="21"/>
  <c r="AZ537" i="3"/>
  <c r="U25" i="37"/>
  <c r="AB25" i="37"/>
  <c r="E158" i="3"/>
  <c r="C33" i="21"/>
  <c r="E211" i="3"/>
  <c r="E166" i="3"/>
  <c r="E152" i="3"/>
  <c r="E37" i="3"/>
  <c r="E433" i="3"/>
  <c r="E571" i="3"/>
  <c r="E457" i="3"/>
  <c r="E511" i="3"/>
  <c r="E522" i="3"/>
  <c r="E267" i="3"/>
  <c r="G22" i="43"/>
  <c r="E28" i="6"/>
  <c r="K14" i="1" s="1"/>
  <c r="L19" i="6"/>
  <c r="L27" i="6" s="1"/>
  <c r="Z11" i="43"/>
  <c r="Z13" i="43" s="1"/>
  <c r="E349" i="3"/>
  <c r="E378" i="3"/>
  <c r="E363" i="3"/>
  <c r="E348" i="3"/>
  <c r="E292" i="3"/>
  <c r="E259" i="3"/>
  <c r="E241" i="3"/>
  <c r="E297" i="3"/>
  <c r="E258" i="3"/>
  <c r="E240" i="3"/>
  <c r="E192" i="3"/>
  <c r="E155" i="3"/>
  <c r="E132" i="3"/>
  <c r="E187" i="3"/>
  <c r="E131" i="3"/>
  <c r="E57" i="3"/>
  <c r="E90" i="3"/>
  <c r="E475" i="3"/>
  <c r="E471" i="3"/>
  <c r="E537" i="3"/>
  <c r="W6" i="3"/>
  <c r="E288" i="3"/>
  <c r="E438" i="3"/>
  <c r="E330" i="3"/>
  <c r="E512" i="3"/>
  <c r="E351" i="3"/>
  <c r="E190" i="3"/>
  <c r="E427" i="3"/>
  <c r="E82" i="3"/>
  <c r="E182" i="3"/>
  <c r="E162" i="3"/>
  <c r="E121" i="3"/>
  <c r="E92" i="3"/>
  <c r="E70" i="3"/>
  <c r="E27" i="3"/>
  <c r="E88" i="3"/>
  <c r="E55" i="3"/>
  <c r="E454" i="3"/>
  <c r="E496" i="3"/>
  <c r="E468" i="3"/>
  <c r="E429" i="3"/>
  <c r="E577" i="3"/>
  <c r="AE6" i="3"/>
  <c r="E587" i="3"/>
  <c r="E344" i="3"/>
  <c r="E465" i="3"/>
  <c r="E424" i="3"/>
  <c r="E481" i="3"/>
  <c r="Q6" i="3"/>
  <c r="E161" i="3"/>
  <c r="T6" i="3"/>
  <c r="E556" i="3"/>
  <c r="E150" i="3"/>
  <c r="E49" i="3"/>
  <c r="E235" i="3"/>
  <c r="E18" i="3"/>
  <c r="E315" i="3"/>
  <c r="AM6" i="3"/>
  <c r="Y6" i="3"/>
  <c r="E248" i="3"/>
  <c r="E406" i="3"/>
  <c r="E472" i="3"/>
  <c r="E560" i="3"/>
  <c r="K6" i="3"/>
  <c r="E133" i="3"/>
  <c r="E116" i="3"/>
  <c r="E525" i="3"/>
  <c r="E456" i="3"/>
  <c r="E451" i="3"/>
  <c r="E452" i="3"/>
  <c r="E111" i="3"/>
  <c r="E279" i="3"/>
  <c r="E232" i="3"/>
  <c r="E86" i="3"/>
  <c r="E383" i="3"/>
  <c r="E220" i="3"/>
  <c r="E78" i="3"/>
  <c r="E482" i="3"/>
  <c r="E580" i="3"/>
  <c r="E25" i="3"/>
  <c r="E41" i="3"/>
  <c r="E425" i="3"/>
  <c r="E67" i="3"/>
  <c r="E179" i="3"/>
  <c r="E504" i="3"/>
  <c r="AF6" i="3"/>
  <c r="AC6" i="3" s="1"/>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J22" i="43"/>
  <c r="M101" i="43"/>
  <c r="E83" i="3"/>
  <c r="E308" i="3"/>
  <c r="E80" i="3"/>
  <c r="E250" i="3"/>
  <c r="E386" i="3"/>
  <c r="E65" i="3"/>
  <c r="E110" i="3"/>
  <c r="E332" i="3"/>
  <c r="E543" i="3"/>
  <c r="E373" i="3"/>
  <c r="E222" i="3"/>
  <c r="E154" i="3"/>
  <c r="E51" i="3"/>
  <c r="E341" i="3"/>
  <c r="E144" i="3"/>
  <c r="E23" i="3"/>
  <c r="E300" i="3"/>
  <c r="E142" i="3"/>
  <c r="E64" i="3"/>
  <c r="E441" i="3"/>
  <c r="E44" i="3"/>
  <c r="E384" i="3"/>
  <c r="E225" i="3"/>
  <c r="E498" i="3"/>
  <c r="E393" i="3"/>
  <c r="E440" i="3"/>
  <c r="E401" i="3"/>
  <c r="E178" i="3"/>
  <c r="E226" i="3"/>
  <c r="E394" i="3"/>
  <c r="E14" i="3"/>
  <c r="E31" i="3"/>
  <c r="E93" i="3"/>
  <c r="E75" i="3"/>
  <c r="E473" i="3"/>
  <c r="E15" i="3"/>
  <c r="E455" i="3"/>
  <c r="E79" i="3"/>
  <c r="E38" i="3"/>
  <c r="E100" i="3"/>
  <c r="E170" i="3"/>
  <c r="E137" i="3"/>
  <c r="E194" i="3"/>
  <c r="E234" i="3"/>
  <c r="E219" i="3"/>
  <c r="E299" i="3"/>
  <c r="E339" i="3"/>
  <c r="E325" i="3"/>
  <c r="E392" i="3"/>
  <c r="AQ6" i="3"/>
  <c r="E52" i="3"/>
  <c r="E36" i="3"/>
  <c r="E112" i="3"/>
  <c r="E123" i="3"/>
  <c r="E147" i="3"/>
  <c r="E289" i="3"/>
  <c r="E340" i="3"/>
  <c r="E274" i="3"/>
  <c r="E214" i="3"/>
  <c r="E256" i="3"/>
  <c r="E171" i="3"/>
  <c r="E203" i="3"/>
  <c r="E146" i="3"/>
  <c r="E73" i="3"/>
  <c r="E106" i="3"/>
  <c r="E26" i="3"/>
  <c r="E470" i="3"/>
  <c r="E494" i="3"/>
  <c r="E497" i="3"/>
  <c r="E360" i="3"/>
  <c r="E408" i="3"/>
  <c r="E469" i="3"/>
  <c r="E405" i="3"/>
  <c r="E534" i="3"/>
  <c r="E105" i="3"/>
  <c r="E369" i="3"/>
  <c r="E306" i="3"/>
  <c r="E238" i="3"/>
  <c r="E313" i="3"/>
  <c r="E519" i="3"/>
  <c r="E532" i="3"/>
  <c r="E573" i="3"/>
  <c r="E529" i="3"/>
  <c r="E458" i="3"/>
  <c r="E474" i="3"/>
  <c r="E527" i="3"/>
  <c r="E57" i="40"/>
  <c r="B6" i="71"/>
  <c r="B5" i="71" s="1"/>
  <c r="S7" i="71"/>
  <c r="AA34" i="35"/>
  <c r="S34" i="35"/>
  <c r="AZ551" i="3"/>
  <c r="BA5" i="3"/>
  <c r="W36" i="35"/>
  <c r="AC36" i="35"/>
  <c r="U12" i="35"/>
  <c r="AB12" i="35"/>
  <c r="AB19" i="21"/>
  <c r="U19" i="21"/>
  <c r="E63" i="40"/>
  <c r="D65" i="40"/>
  <c r="AZ550" i="3"/>
  <c r="C48" i="11"/>
  <c r="C30" i="11"/>
  <c r="E27" i="6"/>
  <c r="Q50" i="71"/>
  <c r="F49" i="71"/>
  <c r="E49" i="71"/>
  <c r="P50" i="71"/>
  <c r="C57" i="71"/>
  <c r="D57" i="71" s="1"/>
  <c r="D58" i="71"/>
  <c r="D26" i="71"/>
  <c r="C27" i="71"/>
  <c r="D22" i="71"/>
  <c r="C23" i="71"/>
  <c r="T15" i="71"/>
  <c r="D15" i="71"/>
  <c r="AC34" i="35"/>
  <c r="W34" i="35"/>
  <c r="J7" i="34"/>
  <c r="F7" i="34"/>
  <c r="S7" i="34" s="1"/>
  <c r="C30" i="69"/>
  <c r="E63" i="39"/>
  <c r="O50" i="71"/>
  <c r="C49" i="71"/>
  <c r="D50" i="71"/>
  <c r="C5" i="71"/>
  <c r="D5" i="71" s="1"/>
  <c r="D6" i="71"/>
  <c r="D42" i="71"/>
  <c r="C43" i="71"/>
  <c r="D38" i="71"/>
  <c r="C39" i="71"/>
  <c r="D34" i="71"/>
  <c r="C35" i="71"/>
  <c r="T47" i="71"/>
  <c r="D47" i="71"/>
  <c r="AA25" i="37"/>
  <c r="S25" i="37"/>
  <c r="AB34" i="35"/>
  <c r="U34" i="35"/>
  <c r="AA9" i="36"/>
  <c r="S9" i="36"/>
  <c r="AB36" i="35"/>
  <c r="U36" i="35"/>
  <c r="S12" i="35"/>
  <c r="AA12" i="35"/>
  <c r="C48" i="68"/>
  <c r="C30" i="68"/>
  <c r="F27" i="68"/>
  <c r="C47" i="68" s="1"/>
  <c r="D45" i="68" s="1"/>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AC42" i="21"/>
  <c r="W42" i="21"/>
  <c r="W37" i="21"/>
  <c r="AC37" i="21"/>
  <c r="AA37" i="21"/>
  <c r="S37" i="21"/>
  <c r="U37" i="21"/>
  <c r="AB37" i="21"/>
  <c r="AE11" i="43"/>
  <c r="AE13" i="43" s="1"/>
  <c r="AH11" i="43"/>
  <c r="AH13" i="43" s="1"/>
  <c r="J101" i="43"/>
  <c r="J104" i="43" s="1"/>
  <c r="N101" i="43"/>
  <c r="E16" i="6"/>
  <c r="AA11" i="43"/>
  <c r="AA13" i="43" s="1"/>
  <c r="AI11" i="43"/>
  <c r="AI13" i="43" s="1"/>
  <c r="AD11" i="43"/>
  <c r="AD13" i="43" s="1"/>
  <c r="E101" i="43"/>
  <c r="E104" i="43" s="1"/>
  <c r="H22" i="43"/>
  <c r="G101" i="43"/>
  <c r="G107" i="43" s="1"/>
  <c r="L101" i="43"/>
  <c r="L106" i="43" s="1"/>
  <c r="K101" i="43"/>
  <c r="K103" i="43" s="1"/>
  <c r="Y11" i="43"/>
  <c r="Y13" i="43" s="1"/>
  <c r="AC11" i="43"/>
  <c r="AC13" i="43" s="1"/>
  <c r="AG11" i="43"/>
  <c r="AG13" i="43" s="1"/>
  <c r="Z7" i="43"/>
  <c r="AB11" i="43"/>
  <c r="AB13" i="43" s="1"/>
  <c r="AF11" i="43"/>
  <c r="AF13" i="43" s="1"/>
  <c r="AJ11" i="43"/>
  <c r="AJ13" i="43" s="1"/>
  <c r="I101" i="43"/>
  <c r="I109" i="43" s="1"/>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F27" i="11"/>
  <c r="C6" i="78"/>
  <c r="M59" i="78"/>
  <c r="L59" i="78" s="1"/>
  <c r="L58" i="78"/>
  <c r="N59" i="78"/>
  <c r="Q71" i="78"/>
  <c r="F65" i="78"/>
  <c r="F66" i="78"/>
  <c r="F51" i="78"/>
  <c r="J57" i="78"/>
  <c r="J55" i="78" s="1"/>
  <c r="J58" i="78" s="1"/>
  <c r="Q50" i="78" s="1"/>
  <c r="I54" i="78"/>
  <c r="F68" i="78"/>
  <c r="F71" i="78"/>
  <c r="M7" i="78"/>
  <c r="F50" i="78"/>
  <c r="L56" i="80"/>
  <c r="I54" i="80"/>
  <c r="J57" i="80"/>
  <c r="J55" i="80" s="1"/>
  <c r="J58" i="80" s="1"/>
  <c r="Q50" i="80" s="1"/>
  <c r="F51" i="80"/>
  <c r="F66" i="80"/>
  <c r="F65" i="80"/>
  <c r="N59" i="80"/>
  <c r="L58" i="80"/>
  <c r="L59" i="80"/>
  <c r="M59" i="80"/>
  <c r="F50" i="80"/>
  <c r="M7" i="80"/>
  <c r="F69" i="80"/>
  <c r="F11" i="80"/>
  <c r="M11" i="80"/>
  <c r="E60" i="40"/>
  <c r="E65" i="39"/>
  <c r="K24" i="6"/>
  <c r="M24" i="6" s="1"/>
  <c r="I24" i="6" s="1"/>
  <c r="S24" i="6" s="1"/>
  <c r="K26" i="6"/>
  <c r="M26" i="6" s="1"/>
  <c r="I26" i="6" s="1"/>
  <c r="S26" i="6" s="1"/>
  <c r="K22" i="6"/>
  <c r="K19" i="6"/>
  <c r="S6" i="1" s="1"/>
  <c r="K25" i="6"/>
  <c r="M25" i="6" s="1"/>
  <c r="I25" i="6" s="1"/>
  <c r="S25" i="6" s="1"/>
  <c r="K21" i="6"/>
  <c r="H6" i="3"/>
  <c r="E107" i="43"/>
  <c r="E109" i="43"/>
  <c r="E103" i="43"/>
  <c r="M109" i="43"/>
  <c r="M104" i="43"/>
  <c r="M107" i="43"/>
  <c r="M105" i="43"/>
  <c r="M106" i="43"/>
  <c r="M102" i="43"/>
  <c r="M103" i="43"/>
  <c r="J107" i="43"/>
  <c r="J102" i="43"/>
  <c r="J109" i="43"/>
  <c r="J103" i="43"/>
  <c r="J106" i="43"/>
  <c r="G105" i="43"/>
  <c r="G104" i="43"/>
  <c r="G106" i="43"/>
  <c r="G102" i="43"/>
  <c r="G109" i="43"/>
  <c r="L109" i="43"/>
  <c r="L107" i="43"/>
  <c r="L102" i="43"/>
  <c r="L104" i="43"/>
  <c r="N105" i="43"/>
  <c r="N104" i="43"/>
  <c r="N109" i="43"/>
  <c r="N102" i="43"/>
  <c r="N103" i="43"/>
  <c r="N106" i="43"/>
  <c r="N107" i="43"/>
  <c r="K102" i="43"/>
  <c r="K105" i="43"/>
  <c r="K109" i="43"/>
  <c r="K107" i="43"/>
  <c r="K104" i="43"/>
  <c r="K106" i="43"/>
  <c r="I104" i="43"/>
  <c r="I107" i="43"/>
  <c r="I105" i="43"/>
  <c r="I106" i="43"/>
  <c r="I103" i="43"/>
  <c r="D109" i="43"/>
  <c r="C107" i="43"/>
  <c r="C102" i="43"/>
  <c r="B115" i="43"/>
  <c r="G118" i="43"/>
  <c r="H118" i="43" s="1"/>
  <c r="B118" i="43"/>
  <c r="C118" i="43" s="1"/>
  <c r="B117" i="43"/>
  <c r="C117"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E53" i="33"/>
  <c r="F53" i="33" s="1"/>
  <c r="E52" i="33"/>
  <c r="F52" i="33" s="1"/>
  <c r="I53" i="33"/>
  <c r="J53" i="33" s="1"/>
  <c r="D70" i="39"/>
  <c r="E68" i="39"/>
  <c r="S7" i="37"/>
  <c r="AA7" i="37"/>
  <c r="R42" i="37" s="1"/>
  <c r="AA7" i="34"/>
  <c r="R49" i="34" s="1"/>
  <c r="AB7" i="21"/>
  <c r="U7" i="21"/>
  <c r="C49" i="33"/>
  <c r="C48" i="33"/>
  <c r="Q60" i="67"/>
  <c r="Q73" i="67"/>
  <c r="F11" i="67"/>
  <c r="M11" i="15"/>
  <c r="M11" i="67"/>
  <c r="J10" i="67" s="1"/>
  <c r="J5" i="67" s="1"/>
  <c r="F11" i="15"/>
  <c r="J6" i="15"/>
  <c r="Q61" i="15"/>
  <c r="Q74" i="15"/>
  <c r="Q74" i="67"/>
  <c r="Q61" i="67"/>
  <c r="C16" i="15"/>
  <c r="C76" i="80"/>
  <c r="D7" i="73"/>
  <c r="F36" i="78"/>
  <c r="F13" i="80"/>
  <c r="M6" i="78"/>
  <c r="F9" i="80"/>
  <c r="F26" i="80"/>
  <c r="M6" i="80"/>
  <c r="D4" i="73"/>
  <c r="M9" i="80"/>
  <c r="F43" i="80"/>
  <c r="C16" i="80"/>
  <c r="D5" i="73"/>
  <c r="F36" i="80"/>
  <c r="D6" i="73"/>
  <c r="D3" i="73"/>
  <c r="M26" i="78"/>
  <c r="C16" i="78"/>
  <c r="M28" i="78"/>
  <c r="M26" i="80"/>
  <c r="F40" i="80"/>
  <c r="F26" i="78"/>
  <c r="M8" i="80"/>
  <c r="Q60" i="15" l="1"/>
  <c r="F64" i="78"/>
  <c r="C27" i="78"/>
  <c r="E61" i="39"/>
  <c r="E56" i="40"/>
  <c r="U23" i="21"/>
  <c r="AB23" i="21"/>
  <c r="F27" i="6"/>
  <c r="F31" i="6" s="1"/>
  <c r="E56" i="39"/>
  <c r="E66" i="39" s="1"/>
  <c r="E51" i="40"/>
  <c r="I118" i="43"/>
  <c r="J118" i="43" s="1"/>
  <c r="K118" i="43" s="1"/>
  <c r="L118" i="43" s="1"/>
  <c r="M118" i="43" s="1"/>
  <c r="I115" i="43"/>
  <c r="J115" i="43" s="1"/>
  <c r="K115" i="43" s="1"/>
  <c r="L115" i="43" s="1"/>
  <c r="M115" i="43" s="1"/>
  <c r="D103" i="43"/>
  <c r="I102" i="43"/>
  <c r="G103" i="43"/>
  <c r="J105" i="43"/>
  <c r="E106" i="43"/>
  <c r="E105" i="43"/>
  <c r="K23" i="6"/>
  <c r="M23" i="6" s="1"/>
  <c r="I23" i="6" s="1"/>
  <c r="S23" i="6" s="1"/>
  <c r="K20" i="6"/>
  <c r="J6" i="78"/>
  <c r="J10" i="78" s="1"/>
  <c r="J5" i="78" s="1"/>
  <c r="J18" i="78" s="1"/>
  <c r="F1" i="15"/>
  <c r="AC39" i="39"/>
  <c r="W39" i="39"/>
  <c r="E64" i="39"/>
  <c r="E59" i="40"/>
  <c r="AC17" i="39"/>
  <c r="W17" i="39"/>
  <c r="E102" i="43"/>
  <c r="AA17" i="39"/>
  <c r="S17" i="39"/>
  <c r="S23" i="21"/>
  <c r="AA23" i="21"/>
  <c r="D9" i="69"/>
  <c r="C9" i="69" s="1"/>
  <c r="D9" i="68"/>
  <c r="C9" i="68" s="1"/>
  <c r="D9" i="11"/>
  <c r="C9" i="11" s="1"/>
  <c r="D19" i="12"/>
  <c r="C19" i="12" s="1"/>
  <c r="C29" i="68"/>
  <c r="D27" i="68" s="1"/>
  <c r="M19" i="6"/>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E30" i="6"/>
  <c r="E31" i="6" s="1"/>
  <c r="M14" i="1"/>
  <c r="C34" i="69"/>
  <c r="K16" i="1"/>
  <c r="E6" i="3"/>
  <c r="F64" i="80"/>
  <c r="F71" i="80"/>
  <c r="Q71" i="80"/>
  <c r="C6" i="80"/>
  <c r="C27" i="80"/>
  <c r="E20" i="43"/>
  <c r="F68" i="80"/>
  <c r="T35" i="71"/>
  <c r="D35" i="71"/>
  <c r="T39" i="71"/>
  <c r="D39" i="71"/>
  <c r="T43" i="71"/>
  <c r="D43" i="71"/>
  <c r="P49" i="71"/>
  <c r="P48" i="71"/>
  <c r="F63" i="40"/>
  <c r="E65" i="40"/>
  <c r="J6" i="80"/>
  <c r="J10" i="80" s="1"/>
  <c r="J5" i="80" s="1"/>
  <c r="J26" i="80" s="1"/>
  <c r="J29" i="80" s="1"/>
  <c r="D49" i="71"/>
  <c r="O48" i="71"/>
  <c r="O49" i="71"/>
  <c r="T23" i="71"/>
  <c r="D23" i="71"/>
  <c r="M20" i="43" s="1"/>
  <c r="C19" i="43" s="1"/>
  <c r="T27" i="71"/>
  <c r="D27" i="71"/>
  <c r="Q49" i="71"/>
  <c r="Q48" i="71"/>
  <c r="E3" i="6"/>
  <c r="AY6" i="3"/>
  <c r="Q52" i="78"/>
  <c r="F1" i="78"/>
  <c r="C49" i="78"/>
  <c r="D22" i="43"/>
  <c r="F107" i="43"/>
  <c r="F102" i="43"/>
  <c r="H102" i="43"/>
  <c r="C106" i="43"/>
  <c r="D107" i="43"/>
  <c r="D106" i="43"/>
  <c r="L105" i="43"/>
  <c r="L103" i="43"/>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C47" i="11"/>
  <c r="D45" i="11" s="1"/>
  <c r="C29" i="11"/>
  <c r="D27" i="11" s="1"/>
  <c r="C49" i="80"/>
  <c r="Q74" i="80"/>
  <c r="Q61" i="80"/>
  <c r="Q60" i="78"/>
  <c r="Q73" i="78"/>
  <c r="Q61" i="78"/>
  <c r="Q74" i="78"/>
  <c r="Q73" i="80"/>
  <c r="Q60" i="80"/>
  <c r="C53" i="80"/>
  <c r="C10" i="80"/>
  <c r="W10" i="39"/>
  <c r="AA10" i="40"/>
  <c r="AC10" i="40"/>
  <c r="I19" i="6"/>
  <c r="U10" i="40"/>
  <c r="C115" i="43"/>
  <c r="D113" i="43" s="1"/>
  <c r="S2" i="43"/>
  <c r="C23" i="43"/>
  <c r="C21" i="43" s="1"/>
  <c r="S4" i="43"/>
  <c r="S5" i="43"/>
  <c r="S3" i="43"/>
  <c r="S6" i="43"/>
  <c r="S7" i="43"/>
  <c r="C53" i="78"/>
  <c r="C10" i="78"/>
  <c r="C5" i="78" s="1"/>
  <c r="S10" i="39"/>
  <c r="AB10" i="39"/>
  <c r="E49" i="34"/>
  <c r="I54" i="34" s="1"/>
  <c r="J54" i="34" s="1"/>
  <c r="R50" i="34"/>
  <c r="R43" i="37"/>
  <c r="E42" i="37"/>
  <c r="F68" i="39"/>
  <c r="E70" i="39"/>
  <c r="S7" i="21"/>
  <c r="AA7" i="21"/>
  <c r="U7" i="37"/>
  <c r="AB7" i="37"/>
  <c r="T42" i="37" s="1"/>
  <c r="G42" i="37" s="1"/>
  <c r="G48" i="35"/>
  <c r="H48" i="35" s="1"/>
  <c r="I48" i="35" s="1"/>
  <c r="J48" i="35" s="1"/>
  <c r="K48" i="35" s="1"/>
  <c r="L48" i="35" s="1"/>
  <c r="M48" i="35" s="1"/>
  <c r="N48" i="35" s="1"/>
  <c r="O48" i="35" s="1"/>
  <c r="AC7" i="21"/>
  <c r="W7" i="21"/>
  <c r="G53" i="34"/>
  <c r="H53" i="34" s="1"/>
  <c r="G54" i="34"/>
  <c r="H54" i="34" s="1"/>
  <c r="AC7" i="37"/>
  <c r="V42" i="37" s="1"/>
  <c r="I42" i="37" s="1"/>
  <c r="W7" i="37"/>
  <c r="H46" i="36"/>
  <c r="F7" i="35"/>
  <c r="H7" i="35"/>
  <c r="I53" i="34"/>
  <c r="J53" i="34" s="1"/>
  <c r="J24" i="67"/>
  <c r="J18" i="67"/>
  <c r="J26" i="67"/>
  <c r="C53" i="15"/>
  <c r="C48" i="15" s="1"/>
  <c r="C10" i="15"/>
  <c r="C5" i="15" s="1"/>
  <c r="J10" i="15"/>
  <c r="J5" i="15" s="1"/>
  <c r="C53" i="67"/>
  <c r="C48" i="67" s="1"/>
  <c r="C10" i="67"/>
  <c r="C5" i="67" s="1"/>
  <c r="C17" i="78"/>
  <c r="C17" i="80"/>
  <c r="C14" i="67"/>
  <c r="G1" i="73"/>
  <c r="AE7" i="1"/>
  <c r="F41" i="15" s="1"/>
  <c r="C17" i="67"/>
  <c r="C17" i="15"/>
  <c r="AE8" i="1"/>
  <c r="J7" i="35" l="1"/>
  <c r="E2" i="70"/>
  <c r="M27" i="6"/>
  <c r="C35" i="69"/>
  <c r="C38" i="69"/>
  <c r="O14" i="1"/>
  <c r="M16" i="1"/>
  <c r="B40" i="1"/>
  <c r="F22" i="69" s="1"/>
  <c r="C5" i="80"/>
  <c r="C32" i="80" s="1"/>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T7" i="43"/>
  <c r="V7" i="43" s="1"/>
  <c r="T3" i="43"/>
  <c r="V3" i="43" s="1"/>
  <c r="T4" i="43"/>
  <c r="V4" i="43" s="1"/>
  <c r="T2" i="43"/>
  <c r="V2" i="43" s="1"/>
  <c r="T6" i="43"/>
  <c r="V6" i="43" s="1"/>
  <c r="T5" i="43"/>
  <c r="V5" i="43" s="1"/>
  <c r="C29" i="43"/>
  <c r="F65" i="40"/>
  <c r="G63" i="40"/>
  <c r="P17" i="43"/>
  <c r="M17" i="43"/>
  <c r="O17" i="43"/>
  <c r="N17" i="43"/>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AQ7" i="1"/>
  <c r="AR7" i="1"/>
  <c r="T7" i="1"/>
  <c r="AR9" i="1"/>
  <c r="T9" i="1"/>
  <c r="AQ9" i="1"/>
  <c r="AR8" i="1"/>
  <c r="T8" i="1"/>
  <c r="AQ8" i="1"/>
  <c r="J18" i="80"/>
  <c r="C48" i="80"/>
  <c r="C60" i="80" s="1"/>
  <c r="J24" i="80"/>
  <c r="S19" i="6"/>
  <c r="S27" i="6" s="1"/>
  <c r="I27" i="6"/>
  <c r="E29" i="43"/>
  <c r="C30" i="43"/>
  <c r="E30" i="43" s="1"/>
  <c r="C38" i="78"/>
  <c r="C32" i="78"/>
  <c r="AB7" i="35"/>
  <c r="T38" i="35" s="1"/>
  <c r="G38" i="35" s="1"/>
  <c r="U7" i="35"/>
  <c r="I46" i="36"/>
  <c r="I47" i="37"/>
  <c r="J47" i="37" s="1"/>
  <c r="I46" i="37"/>
  <c r="J46" i="37" s="1"/>
  <c r="AC7" i="35"/>
  <c r="V38" i="35" s="1"/>
  <c r="I38" i="35" s="1"/>
  <c r="W7" i="35"/>
  <c r="G47" i="37"/>
  <c r="H47" i="37" s="1"/>
  <c r="G46" i="37"/>
  <c r="H46" i="37" s="1"/>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F41" i="67"/>
  <c r="C14" i="15"/>
  <c r="F41" i="78"/>
  <c r="C14" i="78"/>
  <c r="C14" i="80"/>
  <c r="J29" i="67" l="1"/>
  <c r="F69" i="67"/>
  <c r="H19" i="6"/>
  <c r="C38" i="80"/>
  <c r="L16" i="1"/>
  <c r="N16" i="1"/>
  <c r="P14" i="1"/>
  <c r="P16" i="1" s="1"/>
  <c r="C11" i="12" s="1"/>
  <c r="O16" i="1"/>
  <c r="F22" i="11"/>
  <c r="C44" i="11" s="1"/>
  <c r="D41" i="11" s="1"/>
  <c r="F22" i="68"/>
  <c r="C26" i="68" s="1"/>
  <c r="D22" i="68" s="1"/>
  <c r="C26" i="69"/>
  <c r="D22" i="69" s="1"/>
  <c r="C44" i="69"/>
  <c r="D41" i="69" s="1"/>
  <c r="F25" i="12"/>
  <c r="C26" i="12" s="1"/>
  <c r="D25" i="12" s="1"/>
  <c r="F24" i="80"/>
  <c r="C24" i="80" s="1"/>
  <c r="F24" i="67"/>
  <c r="C24" i="67" s="1"/>
  <c r="F24" i="78"/>
  <c r="C24" i="78" s="1"/>
  <c r="F24" i="15"/>
  <c r="C24" i="15" s="1"/>
  <c r="C44" i="68"/>
  <c r="D41" i="68" s="1"/>
  <c r="C66" i="78"/>
  <c r="G34" i="43"/>
  <c r="I34" i="43" s="1"/>
  <c r="E34" i="43"/>
  <c r="G38" i="43"/>
  <c r="I38" i="43" s="1"/>
  <c r="E38" i="43"/>
  <c r="E37" i="43"/>
  <c r="G37" i="43"/>
  <c r="I37" i="43" s="1"/>
  <c r="G65" i="40"/>
  <c r="H63" i="40"/>
  <c r="G36" i="43"/>
  <c r="I36" i="43" s="1"/>
  <c r="E36" i="43"/>
  <c r="G33" i="43"/>
  <c r="I33" i="43" s="1"/>
  <c r="C27" i="43" s="1"/>
  <c r="E33" i="43"/>
  <c r="C26" i="43" s="1"/>
  <c r="E35" i="43"/>
  <c r="G35" i="43"/>
  <c r="I35" i="43" s="1"/>
  <c r="E39" i="43"/>
  <c r="G39" i="43"/>
  <c r="I39" i="43" s="1"/>
  <c r="J29" i="78"/>
  <c r="F69" i="78"/>
  <c r="F33" i="21"/>
  <c r="H33" i="21"/>
  <c r="J33" i="21"/>
  <c r="C20" i="11"/>
  <c r="C25"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66" i="80"/>
  <c r="C19" i="67"/>
  <c r="C20" i="67" s="1"/>
  <c r="C26" i="67" s="1"/>
  <c r="C18" i="80"/>
  <c r="C15" i="80"/>
  <c r="C18" i="78"/>
  <c r="C15" i="78"/>
  <c r="C15" i="15"/>
  <c r="C18" i="15"/>
  <c r="T16" i="1"/>
  <c r="H68" i="39"/>
  <c r="G70" i="39"/>
  <c r="R39" i="35"/>
  <c r="E38" i="35"/>
  <c r="I43" i="35" s="1"/>
  <c r="J43" i="35" s="1"/>
  <c r="I42" i="35"/>
  <c r="J42" i="35" s="1"/>
  <c r="J46" i="36"/>
  <c r="G43" i="35"/>
  <c r="H43" i="35" s="1"/>
  <c r="G42" i="35"/>
  <c r="H42" i="35" s="1"/>
  <c r="F35" i="80"/>
  <c r="E6" i="76"/>
  <c r="M21" i="15"/>
  <c r="F35" i="15"/>
  <c r="M21" i="80"/>
  <c r="M21" i="67"/>
  <c r="F35" i="67"/>
  <c r="C12" i="12" l="1"/>
  <c r="C15" i="12"/>
  <c r="F34" i="11"/>
  <c r="F11" i="12"/>
  <c r="C14" i="12" s="1"/>
  <c r="F34" i="68"/>
  <c r="C23" i="11"/>
  <c r="C26" i="11"/>
  <c r="D22" i="11" s="1"/>
  <c r="C24" i="11"/>
  <c r="H27" i="6"/>
  <c r="E2" i="76"/>
  <c r="B2" i="43"/>
  <c r="H65" i="40"/>
  <c r="I63" i="40"/>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6" i="1" s="1"/>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K46" i="36"/>
  <c r="L46" i="36" s="1"/>
  <c r="M46" i="36" s="1"/>
  <c r="N46" i="36" s="1"/>
  <c r="O46" i="36" s="1"/>
  <c r="F7" i="36"/>
  <c r="H7" i="36"/>
  <c r="C39" i="35"/>
  <c r="B2" i="35" s="1"/>
  <c r="B3" i="35" s="1"/>
  <c r="C38" i="35"/>
  <c r="I68" i="39"/>
  <c r="H70" i="39"/>
  <c r="J7" i="36"/>
  <c r="E43" i="35"/>
  <c r="F43" i="35" s="1"/>
  <c r="E42" i="35"/>
  <c r="F42" i="35" s="1"/>
  <c r="F35" i="78"/>
  <c r="M21" i="78"/>
  <c r="B6" i="76"/>
  <c r="C22" i="11" l="1"/>
  <c r="C31" i="11" s="1"/>
  <c r="C16" i="12"/>
  <c r="C21" i="12" s="1"/>
  <c r="C22" i="12" s="1"/>
  <c r="C36" i="68"/>
  <c r="C34" i="68"/>
  <c r="C34" i="11"/>
  <c r="C36" i="11"/>
  <c r="C37" i="11"/>
  <c r="D31" i="6"/>
  <c r="R16" i="1"/>
  <c r="B2" i="76"/>
  <c r="B3" i="76" s="1"/>
  <c r="J20" i="78"/>
  <c r="C34" i="78"/>
  <c r="F63" i="78"/>
  <c r="C62" i="78" s="1"/>
  <c r="R27" i="6"/>
  <c r="I65" i="40"/>
  <c r="J63" i="40"/>
  <c r="B3" i="43"/>
  <c r="J13" i="67"/>
  <c r="J23" i="67" s="1"/>
  <c r="D37" i="68"/>
  <c r="C37"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J68" i="39"/>
  <c r="I70" i="39"/>
  <c r="S7" i="36"/>
  <c r="AA7" i="36"/>
  <c r="R36" i="36" s="1"/>
  <c r="W7" i="36"/>
  <c r="AC7" i="36"/>
  <c r="V36" i="36" s="1"/>
  <c r="I36" i="36" s="1"/>
  <c r="U7" i="36"/>
  <c r="AB7" i="36"/>
  <c r="T36" i="36" s="1"/>
  <c r="G36" i="36" s="1"/>
  <c r="C64" i="67" l="1"/>
  <c r="C75" i="67"/>
  <c r="C38" i="11"/>
  <c r="C35" i="11"/>
  <c r="C33" i="11" s="1"/>
  <c r="C35" i="68"/>
  <c r="C38" i="68"/>
  <c r="I5" i="6"/>
  <c r="I6" i="6"/>
  <c r="J65" i="40"/>
  <c r="K63" i="40"/>
  <c r="J16" i="67"/>
  <c r="J25" i="67" s="1"/>
  <c r="C20" i="69"/>
  <c r="C28" i="69" s="1"/>
  <c r="C27" i="69" s="1"/>
  <c r="C39" i="69"/>
  <c r="C42" i="69"/>
  <c r="C24" i="68"/>
  <c r="C37" i="67"/>
  <c r="C30" i="67" s="1"/>
  <c r="C39" i="67" s="1"/>
  <c r="Q69" i="67" s="1"/>
  <c r="Q68" i="67" s="1"/>
  <c r="C56" i="67"/>
  <c r="C65"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K68" i="39"/>
  <c r="J70" i="39"/>
  <c r="L51" i="67"/>
  <c r="C58" i="67" l="1"/>
  <c r="C67" i="67" s="1"/>
  <c r="C68" i="67" s="1"/>
  <c r="C71" i="67" s="1"/>
  <c r="C33" i="68"/>
  <c r="C42" i="68" s="1"/>
  <c r="C39" i="11"/>
  <c r="C43" i="11" s="1"/>
  <c r="C42" i="11"/>
  <c r="H11" i="21"/>
  <c r="F11" i="21"/>
  <c r="J11" i="21"/>
  <c r="K65" i="40"/>
  <c r="L63" i="40"/>
  <c r="C25" i="69"/>
  <c r="C22" i="69" s="1"/>
  <c r="C31" i="69" s="1"/>
  <c r="C80" i="67"/>
  <c r="C79" i="67" s="1"/>
  <c r="C46" i="69"/>
  <c r="C45" i="69" s="1"/>
  <c r="C43" i="69"/>
  <c r="C41" i="69" s="1"/>
  <c r="C61" i="78"/>
  <c r="C59" i="78" s="1"/>
  <c r="J22" i="78"/>
  <c r="J16" i="78" s="1"/>
  <c r="J25" i="78" s="1"/>
  <c r="C37" i="78"/>
  <c r="C30" i="78" s="1"/>
  <c r="C39" i="78" s="1"/>
  <c r="Q69" i="78" s="1"/>
  <c r="Q67" i="67"/>
  <c r="L57" i="67"/>
  <c r="L60" i="67" s="1"/>
  <c r="L46" i="67" s="1"/>
  <c r="Q70" i="78"/>
  <c r="C40" i="67"/>
  <c r="C56" i="78"/>
  <c r="C65"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C64" i="80"/>
  <c r="C61" i="80"/>
  <c r="C59" i="80" s="1"/>
  <c r="C36" i="36"/>
  <c r="C37" i="36"/>
  <c r="B2" i="36" s="1"/>
  <c r="B3" i="36" s="1"/>
  <c r="L68" i="39"/>
  <c r="K70" i="39"/>
  <c r="E40" i="36"/>
  <c r="F40" i="36" s="1"/>
  <c r="E41" i="36"/>
  <c r="F41" i="36" s="1"/>
  <c r="I41" i="36"/>
  <c r="J41" i="36" s="1"/>
  <c r="L51" i="15"/>
  <c r="L51" i="80"/>
  <c r="C80" i="78" l="1"/>
  <c r="C79" i="78" s="1"/>
  <c r="C45" i="67"/>
  <c r="C46" i="67" s="1"/>
  <c r="C41" i="11"/>
  <c r="C49" i="11" s="1"/>
  <c r="C51" i="11" s="1"/>
  <c r="C46" i="11"/>
  <c r="C45" i="11" s="1"/>
  <c r="C39" i="68"/>
  <c r="AA11" i="21"/>
  <c r="R48" i="21" s="1"/>
  <c r="S11" i="21"/>
  <c r="AC11" i="21"/>
  <c r="V48" i="21" s="1"/>
  <c r="I48" i="21" s="1"/>
  <c r="I52" i="21" s="1"/>
  <c r="J52" i="21" s="1"/>
  <c r="W11" i="21"/>
  <c r="U11" i="21"/>
  <c r="AB11" i="21"/>
  <c r="T48" i="21" s="1"/>
  <c r="G48" i="21" s="1"/>
  <c r="M63" i="40"/>
  <c r="L65" i="40"/>
  <c r="Q66" i="67"/>
  <c r="C49" i="69"/>
  <c r="C51" i="69" s="1"/>
  <c r="C52" i="69" s="1"/>
  <c r="B2" i="69" s="1"/>
  <c r="B3" i="69" s="1"/>
  <c r="Q57" i="67"/>
  <c r="C40" i="78"/>
  <c r="Q47" i="78" s="1"/>
  <c r="Q53" i="78" s="1"/>
  <c r="C58" i="78"/>
  <c r="C67" i="78" s="1"/>
  <c r="C68" i="78" s="1"/>
  <c r="C71" i="78" s="1"/>
  <c r="Q68"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L51" i="78"/>
  <c r="Q67" i="78" l="1"/>
  <c r="C43" i="68"/>
  <c r="C41" i="68" s="1"/>
  <c r="C46" i="68"/>
  <c r="C45" i="68" s="1"/>
  <c r="C52" i="11"/>
  <c r="B2" i="11" s="1"/>
  <c r="B3" i="11" s="1"/>
  <c r="G53" i="21"/>
  <c r="H53" i="21" s="1"/>
  <c r="G52" i="21"/>
  <c r="H52" i="21" s="1"/>
  <c r="E48" i="21"/>
  <c r="R49" i="21"/>
  <c r="M65" i="40"/>
  <c r="N63" i="40"/>
  <c r="C57" i="69"/>
  <c r="C56" i="69" s="1"/>
  <c r="Q75" i="67"/>
  <c r="L46" i="78"/>
  <c r="B2" i="78" s="1"/>
  <c r="E8" i="12" s="1"/>
  <c r="Q65" i="78"/>
  <c r="Q75" i="78" s="1"/>
  <c r="C83" i="78"/>
  <c r="C82" i="78" s="1"/>
  <c r="Q56" i="78"/>
  <c r="C43" i="78"/>
  <c r="C46" i="78"/>
  <c r="Q62" i="67"/>
  <c r="Q57" i="78"/>
  <c r="B3" i="67"/>
  <c r="D6" i="12" s="1"/>
  <c r="B2" i="67"/>
  <c r="D8" i="12" s="1"/>
  <c r="Q65" i="15"/>
  <c r="Q56" i="15"/>
  <c r="C43" i="15"/>
  <c r="Q47" i="15"/>
  <c r="Q53" i="15" s="1"/>
  <c r="C83" i="15"/>
  <c r="C82" i="15" s="1"/>
  <c r="C46" i="15"/>
  <c r="C43" i="80"/>
  <c r="Q56" i="80"/>
  <c r="Q47" i="80"/>
  <c r="Q53" i="80" s="1"/>
  <c r="Q65" i="80"/>
  <c r="C83" i="80"/>
  <c r="C82" i="80" s="1"/>
  <c r="C71" i="80"/>
  <c r="C46" i="80"/>
  <c r="L46" i="15"/>
  <c r="B2" i="15" s="1"/>
  <c r="Q57" i="15"/>
  <c r="Q66" i="15"/>
  <c r="Q66" i="80"/>
  <c r="Q57" i="80"/>
  <c r="L46" i="80"/>
  <c r="B2" i="80" s="1"/>
  <c r="B3" i="80" s="1"/>
  <c r="N68" i="39"/>
  <c r="M70" i="39"/>
  <c r="AO7" i="1"/>
  <c r="AO8" i="1"/>
  <c r="C49" i="68" l="1"/>
  <c r="C51" i="68" s="1"/>
  <c r="C56" i="11"/>
  <c r="C57" i="11" s="1"/>
  <c r="E53" i="21"/>
  <c r="F53" i="21" s="1"/>
  <c r="E52" i="21"/>
  <c r="F52" i="21" s="1"/>
  <c r="C48" i="21"/>
  <c r="C49" i="21"/>
  <c r="I53" i="21"/>
  <c r="J53" i="21" s="1"/>
  <c r="O63" i="40"/>
  <c r="O65" i="40" s="1"/>
  <c r="H7" i="40" s="1"/>
  <c r="N65" i="40"/>
  <c r="Q62" i="78"/>
  <c r="B8" i="70"/>
  <c r="B3" i="78"/>
  <c r="E6" i="12" s="1"/>
  <c r="B7" i="70"/>
  <c r="B3" i="15"/>
  <c r="Q75" i="15"/>
  <c r="Q75" i="80"/>
  <c r="Q62" i="15"/>
  <c r="Q62" i="80"/>
  <c r="O68" i="39"/>
  <c r="O70" i="39" s="1"/>
  <c r="N70" i="39"/>
  <c r="B2" i="21" l="1"/>
  <c r="C8" i="12" s="1"/>
  <c r="C4" i="12" s="1"/>
  <c r="C31" i="12" s="1"/>
  <c r="B3" i="21"/>
  <c r="C6" i="12" s="1"/>
  <c r="F7" i="40"/>
  <c r="J7" i="40"/>
  <c r="AB7" i="40"/>
  <c r="T42" i="40" s="1"/>
  <c r="G42" i="40" s="1"/>
  <c r="U7" i="40"/>
  <c r="B2" i="70"/>
  <c r="B3" i="70" s="1"/>
  <c r="F7" i="39"/>
  <c r="J7" i="39"/>
  <c r="H7" i="39"/>
  <c r="C23" i="12" l="1"/>
  <c r="C27" i="12" s="1"/>
  <c r="C25" i="12" s="1"/>
  <c r="W7" i="40"/>
  <c r="AC7" i="40"/>
  <c r="V42" i="40" s="1"/>
  <c r="I42" i="40" s="1"/>
  <c r="G47" i="40" s="1"/>
  <c r="H47" i="40" s="1"/>
  <c r="G46" i="40"/>
  <c r="H46" i="40" s="1"/>
  <c r="AA7" i="40"/>
  <c r="R42" i="40" s="1"/>
  <c r="S7" i="40"/>
  <c r="AB7" i="39"/>
  <c r="T47" i="39" s="1"/>
  <c r="G47" i="39" s="1"/>
  <c r="U7" i="39"/>
  <c r="AC7" i="39"/>
  <c r="V47" i="39" s="1"/>
  <c r="I47" i="39" s="1"/>
  <c r="W7" i="39"/>
  <c r="S7" i="39"/>
  <c r="AA7" i="39"/>
  <c r="R47" i="39" s="1"/>
  <c r="C30" i="12" l="1"/>
  <c r="C28" i="12" s="1"/>
  <c r="C32" i="12" s="1"/>
  <c r="B2" i="12" s="1"/>
  <c r="B3" i="12" s="1"/>
  <c r="I46" i="40"/>
  <c r="J46" i="40" s="1"/>
  <c r="R43" i="40"/>
  <c r="E42" i="40"/>
  <c r="I51" i="39"/>
  <c r="J51" i="39" s="1"/>
  <c r="E47" i="39"/>
  <c r="I52" i="39" s="1"/>
  <c r="J52" i="39" s="1"/>
  <c r="R48" i="39"/>
  <c r="G52" i="39"/>
  <c r="H52" i="39" s="1"/>
  <c r="G51" i="39"/>
  <c r="H51" i="39" s="1"/>
  <c r="D20" i="9"/>
  <c r="D19" i="9"/>
  <c r="D21" i="9" l="1"/>
  <c r="D102" i="9"/>
  <c r="E46" i="40"/>
  <c r="F46" i="40" s="1"/>
  <c r="E47" i="40"/>
  <c r="F47" i="40" s="1"/>
  <c r="C42" i="40"/>
  <c r="C43" i="40"/>
  <c r="I47" i="40"/>
  <c r="J47" i="40" s="1"/>
  <c r="D103" i="9"/>
  <c r="C47" i="39"/>
  <c r="C48" i="39"/>
  <c r="E51" i="39"/>
  <c r="F51" i="39" s="1"/>
  <c r="E52" i="39"/>
  <c r="F52"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l="1"/>
  <c r="C57" i="68"/>
  <c r="C56" i="68" s="1"/>
  <c r="C19" i="9"/>
  <c r="C21" i="9" l="1"/>
  <c r="C102" i="9"/>
  <c r="G19" i="9"/>
  <c r="D22" i="9"/>
  <c r="B3" i="68"/>
  <c r="C20" i="9"/>
  <c r="D34" i="9"/>
  <c r="D35" i="9"/>
  <c r="C103" i="9" l="1"/>
  <c r="G20" i="9"/>
  <c r="G21" i="9"/>
  <c r="C32" i="9"/>
  <c r="H118" i="9" l="1"/>
  <c r="C35" i="9"/>
  <c r="F118" i="9" s="1"/>
  <c r="F4" i="52" l="1"/>
  <c r="B51" i="72" s="1"/>
  <c r="G118" i="9"/>
  <c r="G4" i="52" s="1"/>
  <c r="B52" i="72" s="1"/>
  <c r="F119" i="9"/>
  <c r="F5" i="52" s="1"/>
  <c r="B53" i="72" s="1"/>
  <c r="C34" i="9"/>
  <c r="D118" i="9" s="1"/>
  <c r="I118" i="9"/>
  <c r="H119" i="9"/>
  <c r="H5" i="52" s="1"/>
  <c r="H4" i="52"/>
  <c r="C104" i="9"/>
  <c r="D14" i="74"/>
  <c r="H101" i="9"/>
  <c r="D5" i="53" l="1"/>
  <c r="M48" i="9"/>
  <c r="D45" i="9"/>
  <c r="H107" i="9"/>
  <c r="D119" i="9"/>
  <c r="D5" i="52" s="1"/>
  <c r="B49" i="72" s="1"/>
  <c r="D4" i="52"/>
  <c r="B47" i="72" s="1"/>
  <c r="E14" i="74"/>
  <c r="F14" i="74"/>
  <c r="C105" i="9"/>
  <c r="I4" i="52"/>
  <c r="H102" i="9"/>
  <c r="D7" i="53" s="1"/>
  <c r="B21" i="72" s="1"/>
  <c r="E118" i="9"/>
  <c r="E4" i="52" s="1"/>
  <c r="B48" i="72" s="1"/>
  <c r="D122" i="9" l="1"/>
  <c r="M49" i="9"/>
  <c r="H108" i="9"/>
  <c r="D15" i="53" s="1"/>
  <c r="B31" i="72" s="1"/>
  <c r="D13" i="53"/>
  <c r="C72" i="9"/>
  <c r="D52" i="9"/>
  <c r="C93" i="9"/>
  <c r="C86" i="9" s="1"/>
  <c r="D53" i="9"/>
  <c r="C64" i="9"/>
  <c r="C63" i="9" s="1"/>
  <c r="C67" i="9" s="1"/>
  <c r="C68" i="9" s="1"/>
  <c r="D54" i="9" s="1"/>
  <c r="C85" i="9"/>
  <c r="C78" i="9"/>
  <c r="C73" i="9" s="1"/>
  <c r="D55" i="9"/>
  <c r="M53" i="9" s="1"/>
  <c r="B20" i="72"/>
  <c r="D6" i="53"/>
  <c r="B22" i="72" s="1"/>
  <c r="C95" i="9" l="1"/>
  <c r="C96" i="9" s="1"/>
  <c r="E96" i="9" s="1"/>
  <c r="E97" i="9" s="1"/>
  <c r="B30" i="72"/>
  <c r="D14" i="53"/>
  <c r="B32" i="72" s="1"/>
  <c r="L66" i="9"/>
  <c r="M66" i="9" s="1"/>
  <c r="L65" i="9"/>
  <c r="M65" i="9" s="1"/>
  <c r="L68" i="9"/>
  <c r="M68" i="9" s="1"/>
  <c r="L64" i="9"/>
  <c r="M64" i="9" s="1"/>
  <c r="L67" i="9"/>
  <c r="M67" i="9" s="1"/>
  <c r="L63" i="9"/>
  <c r="M63" i="9" s="1"/>
  <c r="C79" i="9"/>
  <c r="D8" i="52"/>
  <c r="D123" i="9"/>
  <c r="D9" i="52" s="1"/>
  <c r="G14" i="74"/>
  <c r="B6" i="74" s="1"/>
  <c r="M69" i="9" l="1"/>
  <c r="N69" i="9" s="1"/>
  <c r="C97" i="9"/>
  <c r="D58" i="9" s="1"/>
  <c r="D56" i="9" s="1"/>
  <c r="M54" i="9" s="1"/>
  <c r="N57" i="9" s="1"/>
  <c r="N59" i="9" s="1"/>
  <c r="N61" i="9" s="1"/>
  <c r="C80" i="9"/>
  <c r="E80" i="9" s="1"/>
  <c r="E81" i="9" s="1"/>
  <c r="C6" i="74"/>
  <c r="D6" i="74"/>
  <c r="N60" i="9" l="1"/>
  <c r="P57" i="9"/>
  <c r="N58" i="9"/>
  <c r="C81" i="9"/>
  <c r="E15" i="74" l="1"/>
  <c r="F15" i="74" l="1"/>
  <c r="B5" i="74"/>
  <c r="C5" i="74" s="1"/>
  <c r="D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<sst xmlns="http://schemas.openxmlformats.org/spreadsheetml/2006/main" count="9020" uniqueCount="3390">
  <si>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</si>
  <si>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</si>
  <si>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</si>
  <si>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</si>
  <si>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</si>
  <si>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</si>
  <si>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</si>
  <si>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</si>
  <si>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</si>
  <si>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</si>
  <si>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</si>
  <si>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</si>
  <si>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</si>
  <si>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</si>
  <si>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</si>
  <si>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</si>
  <si>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</si>
  <si>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</si>
  <si>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</si>
  <si>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</si>
  <si>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</si>
  <si>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</si>
  <si>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</si>
  <si>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</si>
  <si>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</si>
  <si>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</si>
  <si>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</si>
  <si>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</si>
  <si>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</si>
  <si>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</si>
  <si>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</si>
  <si>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</si>
  <si>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</si>
  <si>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</si>
  <si>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</si>
  <si>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</si>
  <si>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</si>
  <si>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</si>
  <si>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</si>
  <si>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</si>
  <si>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</si>
  <si>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</si>
  <si>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</si>
  <si>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</si>
  <si>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</si>
  <si>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</si>
  <si>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</si>
  <si>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</si>
  <si>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</si>
  <si>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</si>
  <si>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</si>
  <si>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</si>
  <si>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</si>
  <si>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</si>
  <si>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</si>
  <si>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</si>
  <si>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</si>
  <si>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</si>
  <si>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</si>
  <si>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</si>
  <si>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</si>
  <si>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</si>
  <si>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</si>
  <si>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</si>
  <si>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</si>
  <si>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</si>
  <si>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</si>
  <si>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</si>
  <si>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</si>
  <si>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</si>
  <si>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</si>
  <si>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</si>
  <si>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</si>
  <si>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</si>
  <si>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</si>
  <si>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</si>
  <si>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</si>
  <si>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</si>
  <si>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</si>
  <si>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</si>
  <si>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</si>
  <si>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</si>
  <si>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</si>
  <si>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</si>
  <si>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</si>
  <si>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</si>
  <si>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</si>
  <si>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</si>
  <si>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</si>
  <si>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</si>
  <si>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</si>
  <si>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</si>
  <si>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</si>
  <si>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</si>
  <si>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</si>
  <si>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</si>
  <si>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</si>
  <si>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</si>
  <si>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</si>
  <si>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</si>
  <si>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</si>
  <si>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</si>
  <si>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</si>
  <si>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</si>
  <si>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</si>
  <si>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</si>
  <si>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</si>
  <si>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</si>
  <si>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</si>
  <si>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</si>
  <si>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</si>
  <si>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</si>
  <si>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</si>
  <si>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</si>
  <si>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</si>
  <si>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</si>
  <si>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</si>
  <si>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</si>
  <si>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</si>
  <si>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</si>
  <si>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</si>
  <si>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</si>
  <si>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</si>
  <si>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</si>
  <si>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</si>
  <si>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</si>
  <si>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</si>
  <si>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</si>
  <si>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</si>
  <si>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</si>
  <si>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</si>
  <si>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</si>
  <si>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</si>
  <si>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</si>
  <si>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</si>
  <si>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</si>
  <si>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</si>
  <si>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</si>
  <si>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</si>
  <si>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</si>
  <si>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</si>
  <si>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</si>
  <si>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</si>
  <si>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</si>
  <si>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</si>
  <si>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</si>
  <si>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</si>
  <si>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</si>
  <si>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</si>
  <si>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</si>
  <si>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</si>
  <si>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</si>
  <si>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</si>
  <si>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</si>
  <si>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</si>
  <si>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</si>
  <si>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</si>
  <si>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</si>
  <si>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</si>
  <si>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</si>
  <si>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</si>
  <si>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</si>
  <si>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</si>
  <si>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</si>
  <si>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</si>
  <si>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</si>
  <si>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</si>
  <si>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</si>
  <si>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</si>
  <si>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</si>
  <si>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</si>
  <si>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</si>
  <si>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</si>
  <si>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</si>
  <si>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</si>
  <si>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</si>
  <si>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</si>
  <si>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</si>
  <si>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</si>
  <si>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</si>
  <si>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</si>
  <si>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</si>
  <si>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</si>
  <si>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</si>
  <si>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</si>
  <si>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</si>
  <si>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</si>
  <si>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</si>
  <si>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</si>
  <si>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</si>
  <si>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</si>
  <si>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</si>
  <si>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</si>
  <si>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</si>
  <si>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</si>
  <si>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</si>
  <si>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</si>
  <si>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</si>
  <si>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</si>
  <si>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</si>
  <si>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</si>
  <si>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</si>
  <si>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</si>
  <si>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</si>
  <si>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</si>
  <si>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</si>
  <si>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</si>
  <si>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</si>
  <si>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</si>
  <si>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</si>
  <si>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</si>
  <si>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</si>
  <si>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</si>
  <si>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</si>
  <si>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</si>
  <si>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</si>
  <si>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</si>
  <si>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</si>
  <si>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</si>
  <si>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</si>
  <si>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</si>
  <si>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</si>
  <si>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</si>
  <si>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</si>
  <si>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</si>
  <si>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</si>
  <si>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</si>
  <si>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</si>
  <si>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</si>
  <si>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</si>
  <si>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</si>
  <si>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</si>
  <si>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</si>
  <si>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</si>
  <si>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</si>
  <si>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</si>
  <si>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</si>
  <si>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</si>
  <si>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</si>
  <si>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</si>
  <si>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</si>
  <si>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</si>
  <si>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</si>
  <si>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</si>
  <si>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</si>
  <si>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</si>
  <si>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</si>
  <si>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</si>
  <si>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</si>
  <si>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</si>
  <si>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</si>
  <si>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</si>
  <si>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</si>
  <si>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</si>
  <si>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</si>
  <si>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</si>
  <si>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</si>
  <si>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</si>
  <si>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</si>
  <si>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</si>
  <si>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</si>
  <si>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</si>
  <si>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</si>
  <si>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</si>
  <si>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</si>
  <si>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</si>
  <si>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</si>
  <si>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</si>
  <si>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</si>
  <si>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</si>
  <si>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</si>
  <si>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</si>
  <si>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</si>
  <si>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</si>
  <si>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</si>
  <si>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</si>
  <si>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</si>
  <si>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</si>
  <si>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</si>
  <si>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</si>
  <si>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</si>
  <si>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</si>
  <si>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</si>
  <si>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</si>
  <si>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</si>
  <si>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</si>
  <si>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</si>
  <si>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</si>
  <si>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</si>
  <si>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</si>
  <si>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</si>
  <si>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</si>
  <si>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</si>
  <si>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</si>
  <si>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</si>
  <si>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</si>
  <si>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</si>
  <si>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</si>
  <si>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</si>
  <si>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</si>
  <si>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</si>
  <si>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</si>
  <si>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</si>
  <si>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</si>
  <si>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</si>
  <si>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</si>
  <si>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</si>
  <si>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</si>
  <si>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</si>
  <si>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</si>
  <si>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</si>
  <si>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</si>
  <si>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</si>
  <si>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</si>
  <si>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</si>
  <si>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</si>
  <si>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</si>
  <si>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</si>
  <si>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</si>
  <si>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</si>
  <si>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</si>
  <si>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</si>
  <si>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</si>
  <si>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</si>
  <si>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</si>
  <si>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</si>
  <si>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</si>
  <si>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</si>
  <si>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</si>
  <si>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</si>
  <si>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</si>
  <si>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</si>
  <si>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</si>
  <si>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</si>
  <si>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</si>
  <si>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</si>
  <si>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</si>
  <si>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</si>
  <si>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</si>
  <si>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</si>
  <si>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</si>
  <si>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</si>
  <si>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</si>
  <si>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</si>
  <si>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</si>
  <si>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</si>
  <si>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</si>
  <si>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</si>
  <si>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</si>
  <si>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</si>
  <si>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</si>
  <si>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</si>
  <si>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</si>
  <si>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</si>
  <si>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</si>
  <si>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</si>
  <si>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</si>
  <si>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</si>
  <si>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</si>
  <si>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</si>
  <si>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</si>
  <si>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</si>
  <si>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</si>
  <si>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</si>
  <si>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</si>
  <si>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</si>
  <si>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</si>
  <si>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</si>
  <si>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</si>
  <si>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</si>
  <si>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</si>
  <si>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</si>
  <si>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</si>
  <si>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</si>
  <si>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</si>
  <si>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</si>
  <si>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</si>
  <si>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</si>
  <si>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</si>
  <si>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</si>
  <si>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</si>
  <si>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</si>
  <si>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</si>
  <si>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</si>
  <si>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</si>
  <si>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</si>
  <si>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</si>
  <si>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</si>
  <si>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</si>
  <si>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</si>
  <si>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</si>
  <si>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</si>
  <si>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</si>
  <si>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</si>
  <si>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</si>
  <si>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</si>
  <si>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</si>
  <si>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</si>
  <si>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</si>
  <si>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</si>
  <si>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</si>
  <si>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</si>
  <si>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</si>
  <si>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</si>
  <si>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</si>
  <si>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</si>
  <si>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</si>
  <si>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</si>
  <si>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</si>
  <si>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</si>
  <si>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</si>
  <si>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</si>
  <si>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</si>
  <si>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</si>
  <si>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</si>
  <si>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</si>
  <si>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</si>
  <si>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</si>
  <si>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</si>
  <si>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</si>
  <si>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</si>
  <si>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</si>
  <si>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</si>
  <si>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</si>
  <si>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</si>
  <si>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</si>
  <si>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</si>
  <si>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</si>
  <si>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</si>
  <si>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</si>
  <si>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</si>
  <si>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</si>
  <si>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</si>
  <si>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</si>
  <si>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</si>
  <si>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</si>
  <si>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</si>
  <si>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</si>
  <si>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</si>
  <si>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</si>
  <si>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</si>
  <si>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</si>
  <si>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</si>
  <si>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</si>
  <si>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</si>
  <si>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</si>
  <si>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</si>
  <si>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</si>
  <si>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</si>
  <si>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</si>
  <si>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</si>
  <si>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</si>
  <si>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</si>
  <si>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</si>
  <si>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</si>
  <si>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</si>
  <si>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</si>
  <si>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</si>
  <si>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</si>
  <si>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</si>
  <si>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</si>
  <si>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</si>
  <si>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</si>
  <si>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</si>
  <si>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</si>
  <si>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</si>
  <si>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</si>
  <si>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</si>
  <si>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</si>
  <si>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</si>
  <si>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</si>
  <si>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</si>
  <si>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</si>
  <si>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</si>
  <si>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</si>
  <si>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</si>
  <si>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</si>
  <si>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</si>
  <si>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</si>
  <si>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</si>
  <si>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</si>
  <si>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</si>
  <si>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</si>
  <si>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</si>
  <si>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</si>
  <si>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</si>
  <si>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</si>
  <si>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</si>
  <si>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</si>
  <si>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</si>
  <si>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</si>
  <si>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</si>
  <si>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</si>
  <si>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</si>
  <si>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</si>
  <si>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</si>
  <si>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</si>
  <si>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</si>
  <si>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</si>
  <si>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</si>
  <si>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</si>
  <si>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</si>
  <si>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</si>
  <si>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</si>
  <si>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</si>
  <si>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</si>
  <si>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</si>
  <si>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</si>
  <si>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</si>
  <si>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</si>
  <si>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</si>
  <si>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</si>
  <si>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</si>
  <si>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</si>
  <si>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</si>
  <si>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</si>
  <si>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</si>
  <si>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</si>
  <si>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</si>
  <si>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</si>
  <si>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</si>
  <si>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</si>
  <si>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</si>
  <si>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</si>
  <si>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</si>
  <si>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</si>
  <si>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</si>
  <si>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</si>
  <si>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</si>
  <si>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</si>
  <si>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</si>
  <si>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</si>
  <si>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</si>
  <si>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</si>
  <si>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</si>
  <si>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</si>
  <si>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</si>
  <si>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</si>
  <si>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</si>
  <si>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</si>
  <si>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</si>
  <si>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</si>
  <si>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</si>
  <si>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</si>
  <si>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</si>
  <si>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</si>
  <si>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</si>
  <si>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</si>
  <si>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</si>
  <si>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</si>
  <si>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</si>
  <si>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</si>
  <si>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</si>
  <si>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</si>
  <si>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</si>
  <si>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</si>
  <si>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</si>
  <si>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</si>
  <si>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</si>
  <si>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</si>
  <si>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</si>
  <si>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</si>
  <si>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</si>
  <si>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</si>
  <si>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</si>
  <si>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</si>
  <si>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</si>
  <si>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</si>
  <si>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</si>
  <si>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</si>
  <si>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</si>
  <si>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</si>
  <si>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</si>
  <si>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</si>
  <si>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</si>
  <si>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</si>
  <si>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</si>
  <si>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</si>
  <si>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</si>
  <si>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</si>
  <si>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</si>
  <si>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</si>
  <si>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</si>
  <si>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</si>
  <si>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</si>
  <si>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</si>
  <si>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</si>
  <si>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</si>
  <si>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</si>
  <si>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</si>
  <si>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</si>
  <si>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</si>
  <si>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</si>
  <si>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</si>
  <si>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</si>
  <si>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</si>
  <si>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</si>
  <si>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</si>
  <si>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</si>
  <si>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</si>
  <si>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</si>
  <si>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</si>
  <si>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</si>
  <si>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</si>
  <si>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</si>
  <si>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</si>
  <si>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</si>
  <si>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</si>
  <si>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</si>
  <si>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</si>
  <si>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</si>
  <si>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</si>
  <si>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</si>
  <si>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</si>
  <si>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</si>
  <si>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</si>
  <si>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</si>
  <si>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</si>
  <si>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</si>
  <si>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</si>
  <si>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</si>
  <si>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</si>
  <si>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</si>
  <si>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</si>
  <si>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</si>
  <si>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</si>
  <si>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</si>
  <si>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</si>
  <si>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</si>
  <si>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</si>
  <si>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</si>
  <si>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</si>
  <si>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</si>
  <si>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</si>
  <si>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</si>
  <si>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</si>
  <si>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</si>
  <si>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</si>
  <si>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</si>
  <si>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</si>
  <si>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</si>
  <si>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</si>
  <si>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</si>
  <si>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</si>
  <si>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</si>
  <si>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</si>
  <si>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</si>
  <si>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</si>
  <si>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</si>
  <si>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</si>
  <si>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</si>
  <si>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</si>
  <si>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</si>
  <si>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</si>
  <si>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</si>
  <si>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</si>
  <si>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</si>
  <si>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</si>
  <si>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</si>
  <si>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</si>
  <si>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</si>
  <si>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</si>
  <si>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</si>
  <si>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</si>
  <si>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</si>
  <si>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</si>
  <si>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</si>
  <si>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</si>
  <si>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</si>
  <si>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</si>
  <si>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</si>
  <si>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</si>
  <si>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</si>
  <si>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</si>
  <si>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</si>
  <si>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</si>
  <si>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</si>
  <si>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</si>
  <si>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</si>
  <si>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</si>
  <si>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</si>
  <si>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</si>
  <si>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</si>
  <si>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</si>
  <si>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</si>
  <si>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</si>
  <si>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</si>
  <si>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</si>
  <si>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</si>
  <si>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</si>
  <si>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</si>
  <si>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</si>
  <si>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</si>
  <si>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</si>
  <si>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</si>
  <si>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</si>
  <si>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</si>
  <si>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</si>
  <si>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</si>
  <si>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</si>
  <si>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</si>
  <si>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</si>
  <si>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</si>
  <si>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</si>
  <si>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</si>
  <si>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</si>
  <si>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</si>
  <si>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</si>
  <si>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</si>
  <si>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</si>
  <si>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</si>
  <si>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</si>
  <si>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</si>
  <si>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</si>
  <si>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</si>
  <si>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</si>
  <si>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</si>
  <si>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</si>
  <si>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</si>
  <si>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</si>
  <si>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</si>
  <si>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</si>
  <si>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</si>
  <si>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</si>
  <si>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</si>
  <si>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</si>
  <si>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</si>
  <si>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</si>
  <si>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</si>
  <si>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</si>
  <si>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</si>
  <si>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</si>
  <si>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</si>
  <si>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</si>
  <si>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</si>
  <si>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</si>
  <si>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</si>
  <si>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</si>
  <si>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</si>
  <si>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</si>
  <si>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</si>
  <si>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</si>
  <si>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</si>
  <si>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</si>
  <si>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</si>
  <si>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</si>
  <si>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</si>
  <si>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</si>
  <si>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</si>
  <si>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</si>
  <si>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</si>
  <si>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</si>
  <si>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</si>
  <si>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</si>
  <si>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</si>
  <si>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</si>
  <si>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</si>
  <si>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</si>
  <si>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</si>
  <si>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</si>
  <si>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</si>
  <si>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</si>
  <si>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</si>
  <si>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</si>
  <si>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</si>
  <si>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</si>
  <si>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</si>
  <si>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</si>
  <si>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</si>
  <si>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</si>
  <si>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</si>
  <si>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</si>
  <si>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</si>
  <si>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</si>
  <si>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</si>
  <si>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</si>
  <si>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</si>
  <si>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</si>
  <si>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</si>
  <si>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</si>
  <si>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</si>
  <si>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</si>
  <si>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</si>
  <si>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</si>
  <si>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</si>
  <si>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</si>
  <si>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</si>
  <si>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</si>
  <si>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</si>
  <si>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</si>
  <si>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</si>
  <si>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</si>
  <si>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</si>
  <si>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</si>
  <si>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</si>
  <si>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</si>
  <si>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</si>
  <si>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</si>
  <si>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</si>
  <si>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</si>
  <si>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</si>
  <si>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</si>
  <si>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</si>
  <si>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</si>
  <si>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</si>
  <si>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</si>
  <si>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</si>
  <si>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</si>
  <si>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</si>
  <si>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</si>
  <si>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</si>
  <si>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</si>
  <si>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</si>
  <si>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</si>
  <si>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</si>
  <si>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</si>
  <si>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</si>
  <si>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</si>
  <si>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</si>
  <si>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</si>
  <si>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</si>
  <si>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</si>
  <si>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</si>
  <si>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</si>
  <si>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</si>
  <si>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</si>
  <si>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</si>
  <si>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</si>
  <si>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</si>
  <si>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</si>
  <si>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</si>
  <si>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</si>
  <si>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</si>
  <si>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</si>
  <si>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</si>
  <si>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</si>
  <si>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</si>
  <si>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</si>
  <si>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</si>
  <si>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</si>
  <si>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</si>
  <si>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</si>
  <si>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</si>
  <si>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</si>
  <si>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</si>
  <si>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</si>
  <si>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</si>
  <si>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</si>
  <si>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</si>
  <si>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</si>
  <si>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</si>
  <si>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</si>
  <si>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</si>
  <si>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</si>
  <si>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</si>
  <si>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</si>
  <si>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</si>
  <si>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</si>
  <si>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</si>
  <si>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</si>
  <si>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</si>
  <si>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</si>
  <si>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</si>
  <si>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</si>
  <si>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</si>
  <si>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</si>
  <si>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</si>
  <si>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</si>
  <si>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</si>
  <si>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</si>
  <si>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</si>
  <si>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</si>
  <si>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</si>
  <si>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</si>
  <si>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</si>
  <si>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</si>
  <si>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</si>
  <si>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</si>
  <si>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</si>
  <si>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</si>
  <si>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</si>
  <si>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</si>
  <si>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</si>
  <si>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</si>
  <si>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</si>
  <si>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</si>
  <si>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</si>
  <si>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</si>
  <si>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</si>
  <si>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</si>
  <si>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</si>
  <si>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</si>
  <si>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</si>
  <si>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</si>
  <si>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</si>
  <si>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</si>
  <si>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</si>
  <si>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</si>
  <si>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</si>
  <si>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</si>
  <si>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</si>
  <si>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</si>
  <si>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</si>
  <si>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</si>
  <si>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</si>
  <si>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</si>
  <si>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</si>
  <si>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</si>
  <si>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</si>
  <si>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</si>
  <si>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</si>
  <si>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</si>
  <si>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</si>
  <si>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</si>
  <si>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</si>
  <si>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</si>
  <si>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</si>
  <si>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</si>
  <si>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</si>
  <si>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</si>
  <si>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</si>
  <si>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</si>
  <si>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</si>
  <si>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</si>
  <si>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</si>
  <si>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</si>
  <si>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</si>
  <si>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</si>
  <si>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</si>
  <si>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</si>
  <si>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</si>
  <si>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</si>
  <si>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</si>
  <si>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</si>
  <si>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</si>
  <si>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</si>
  <si>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</si>
  <si>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</si>
  <si>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</si>
  <si>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</si>
  <si>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</si>
  <si>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</si>
  <si>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</si>
  <si>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</si>
  <si>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</si>
  <si>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</si>
  <si>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</si>
  <si>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</si>
  <si>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</si>
  <si>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</si>
  <si>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</si>
  <si>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</si>
  <si>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</si>
  <si>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</si>
  <si>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</si>
  <si>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</si>
  <si>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</si>
  <si>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</si>
  <si>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</si>
  <si>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</si>
  <si>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</si>
  <si>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</si>
  <si>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</si>
  <si>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</si>
  <si>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</si>
  <si>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</si>
  <si>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</si>
  <si>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</si>
  <si>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</si>
  <si>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</si>
  <si>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</si>
  <si>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</si>
  <si>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</si>
  <si>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</si>
  <si>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</si>
  <si>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</si>
  <si>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</si>
  <si>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</si>
  <si>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</si>
  <si>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</si>
  <si>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</si>
  <si>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</si>
  <si>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</si>
  <si>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</si>
  <si>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</si>
  <si>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</si>
  <si>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</si>
  <si>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</si>
  <si>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</si>
  <si>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</si>
  <si>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</si>
  <si>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</si>
  <si>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</si>
  <si>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</si>
  <si>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</si>
  <si>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</si>
  <si>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</si>
  <si>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</si>
  <si>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</si>
  <si>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</si>
  <si>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</si>
  <si>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</si>
  <si>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</si>
  <si>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</si>
  <si>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</si>
  <si>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</si>
  <si>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</si>
  <si>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</si>
  <si>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</si>
  <si>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</si>
  <si>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</si>
  <si>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</si>
  <si>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</si>
  <si>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</si>
  <si>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</si>
  <si>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</si>
  <si>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</si>
  <si>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</si>
  <si>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</si>
  <si>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</si>
  <si>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</si>
  <si>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</si>
  <si>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</si>
  <si>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</si>
  <si>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</si>
  <si>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</si>
  <si>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</si>
  <si>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</si>
  <si>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</si>
  <si>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</si>
  <si>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</si>
  <si>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</si>
  <si>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</si>
  <si>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</si>
  <si>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</si>
  <si>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</si>
  <si>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</si>
  <si>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</si>
  <si>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</si>
  <si>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</si>
  <si>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</si>
  <si>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</si>
  <si>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</si>
  <si>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</si>
  <si>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</si>
  <si>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</si>
  <si>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</si>
  <si>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</si>
  <si>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</si>
  <si>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</si>
  <si>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</si>
  <si>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</si>
  <si>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</si>
  <si>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</si>
  <si>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</si>
  <si>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</si>
  <si>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</si>
  <si>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</si>
  <si>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</si>
  <si>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</si>
  <si>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</si>
  <si>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</si>
  <si>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</si>
  <si>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</si>
  <si>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</si>
  <si>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</si>
  <si>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</si>
  <si>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</si>
  <si>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</si>
  <si>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</si>
  <si>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</si>
  <si>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</si>
  <si>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</si>
  <si>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</si>
  <si>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</si>
  <si>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</si>
  <si>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</si>
  <si>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</si>
  <si>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</si>
  <si>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</si>
  <si>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</si>
  <si>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</si>
  <si>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</si>
  <si>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</si>
  <si>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</si>
  <si>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</si>
  <si>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</si>
  <si>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</si>
  <si>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</si>
  <si>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</si>
  <si>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</si>
  <si>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</si>
  <si>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</si>
  <si>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</si>
  <si>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</si>
  <si>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</si>
  <si>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</si>
  <si>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</si>
  <si>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</si>
  <si>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</si>
  <si>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</si>
  <si>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</si>
  <si>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</si>
  <si>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</si>
  <si>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</si>
  <si>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</si>
  <si>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</si>
  <si>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</si>
  <si>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</si>
  <si>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</si>
  <si>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</si>
  <si>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</si>
  <si>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</si>
  <si>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</si>
  <si>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</si>
  <si>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</si>
  <si>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</si>
  <si>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</si>
  <si>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</si>
  <si>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</si>
  <si>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</si>
  <si>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</si>
  <si>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</si>
  <si>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</si>
  <si>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</si>
  <si>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</si>
  <si>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</si>
  <si>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</si>
  <si>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</si>
  <si>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</si>
  <si>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</si>
  <si>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</si>
  <si>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</si>
  <si>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</si>
  <si>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</si>
  <si>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</si>
  <si>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</si>
  <si>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</si>
  <si>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</si>
  <si>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</si>
  <si>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</si>
  <si>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</si>
  <si>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</si>
  <si>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</si>
  <si>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</si>
  <si>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</si>
  <si>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</si>
  <si>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</si>
  <si>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</si>
  <si>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</si>
  <si>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</si>
  <si>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</si>
  <si>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</si>
  <si>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</si>
  <si>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</si>
  <si>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</si>
  <si>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</si>
  <si>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</si>
  <si>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</si>
  <si>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</si>
  <si>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</si>
  <si>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</si>
  <si>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</si>
  <si>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</si>
  <si>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</si>
  <si>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</si>
  <si>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</si>
  <si>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</si>
  <si>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</si>
  <si>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</si>
  <si>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</si>
  <si>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</si>
  <si>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</si>
  <si>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</si>
  <si>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</si>
  <si>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</si>
  <si>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</si>
  <si>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</si>
  <si>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</si>
  <si>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</si>
  <si>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</si>
  <si>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</si>
  <si>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</si>
  <si>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</si>
  <si>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</si>
  <si>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</si>
  <si>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</si>
  <si>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</si>
  <si>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</si>
  <si>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</si>
  <si>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</si>
  <si>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</si>
  <si>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</si>
  <si>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</si>
  <si>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</si>
  <si>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</si>
  <si>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</si>
  <si>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</si>
  <si>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</si>
  <si>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</si>
  <si>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</si>
  <si>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</si>
  <si>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</si>
  <si>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</si>
  <si>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</si>
  <si>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</si>
  <si>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</si>
  <si>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</si>
  <si>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</si>
  <si>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</si>
  <si>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</si>
  <si>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</si>
  <si>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</si>
  <si>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</si>
  <si>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</si>
  <si>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</si>
  <si>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</si>
  <si>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</si>
  <si>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</si>
  <si>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</si>
  <si>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</si>
  <si>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</si>
  <si>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</si>
  <si>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</si>
  <si>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</si>
  <si>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</si>
  <si>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</si>
  <si>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</si>
  <si>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</si>
  <si>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</si>
  <si>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</si>
  <si>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</si>
  <si>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</si>
  <si>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</si>
  <si>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</si>
  <si>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</si>
  <si>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</si>
  <si>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</si>
  <si>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</si>
  <si>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</si>
  <si>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</si>
  <si>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</si>
  <si>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</si>
  <si>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</si>
  <si>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</si>
  <si>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</si>
  <si>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</si>
  <si>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</si>
  <si>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</si>
  <si>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</si>
  <si>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</si>
  <si>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</si>
  <si>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</si>
  <si>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</si>
  <si>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</si>
  <si>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</si>
  <si>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</si>
  <si>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</si>
  <si>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</si>
  <si>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</si>
  <si>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</si>
  <si>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</si>
  <si>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</si>
  <si>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</si>
  <si>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</si>
  <si>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</si>
  <si>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</si>
  <si>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</si>
  <si>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</si>
  <si>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</si>
  <si>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</si>
  <si>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</si>
  <si>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</si>
  <si>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</si>
  <si>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</si>
  <si>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</si>
  <si>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</si>
  <si>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</si>
  <si>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</si>
  <si>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</si>
  <si>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</si>
  <si>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</si>
  <si>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</si>
  <si>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</si>
  <si>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</si>
  <si>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</si>
  <si>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</si>
  <si>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</si>
  <si>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</si>
  <si>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</si>
  <si>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</si>
  <si>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</si>
  <si>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</si>
  <si>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</si>
  <si>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</si>
  <si>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</si>
  <si>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</si>
  <si>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</si>
  <si>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</si>
  <si>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</si>
  <si>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</si>
  <si>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</si>
  <si>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</si>
  <si>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</si>
  <si>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</si>
  <si>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</si>
  <si>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</si>
  <si>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</si>
  <si>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</si>
  <si>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</si>
  <si>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</si>
  <si>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</si>
  <si>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</si>
  <si>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</si>
  <si>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</si>
  <si>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</si>
  <si>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</si>
  <si>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</si>
  <si>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</si>
  <si>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</si>
  <si>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</si>
  <si>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</si>
  <si>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</si>
  <si>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</si>
  <si>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</si>
  <si>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</si>
  <si>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</si>
  <si>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</si>
  <si>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</si>
  <si>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</si>
  <si>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</si>
  <si>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</si>
  <si>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</si>
  <si>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</si>
  <si>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</si>
  <si>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</si>
  <si>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</si>
  <si>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</si>
  <si>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</si>
  <si>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</si>
  <si>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</si>
  <si>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</si>
  <si>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</si>
  <si>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</si>
  <si>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</si>
  <si>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</si>
  <si>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</si>
  <si>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</si>
  <si>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</si>
  <si>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</si>
  <si>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</si>
  <si>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</si>
  <si>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</si>
  <si>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</si>
  <si>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</si>
  <si>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</si>
  <si>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</si>
  <si>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</si>
  <si>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</si>
  <si>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</si>
  <si>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</si>
  <si>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</si>
  <si>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</si>
  <si>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</si>
  <si>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</si>
  <si>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</si>
  <si>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</si>
  <si>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</si>
  <si>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</si>
  <si>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</si>
  <si>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</si>
  <si>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</si>
  <si>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</si>
  <si>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</si>
  <si>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</si>
  <si>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</si>
  <si>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</si>
  <si>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</si>
  <si>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</si>
  <si>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</si>
  <si>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</si>
  <si>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</si>
  <si>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</si>
  <si>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</si>
  <si>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</si>
  <si>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</si>
  <si>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</si>
  <si>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</si>
  <si>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</si>
  <si>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</si>
  <si>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</si>
  <si>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</si>
  <si>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</si>
  <si>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</si>
  <si>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</si>
  <si>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</si>
  <si>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</si>
  <si>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</si>
  <si>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</si>
  <si>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</si>
  <si>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</si>
  <si>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</si>
  <si>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</si>
  <si>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</si>
  <si>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</si>
  <si>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</si>
  <si>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</si>
  <si>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</si>
  <si>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</si>
  <si>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</si>
  <si>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</si>
  <si>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</si>
  <si>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</si>
  <si>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</si>
  <si>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</si>
  <si>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</si>
  <si>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</si>
  <si>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</si>
  <si>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</si>
  <si>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</si>
  <si>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</si>
  <si>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</si>
  <si>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</si>
  <si>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</si>
  <si>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</si>
  <si>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</si>
  <si>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</si>
  <si>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</si>
  <si>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</si>
  <si>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</si>
  <si>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</si>
  <si>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</si>
  <si>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</si>
  <si>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</si>
  <si>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</si>
  <si>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</si>
  <si>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</si>
  <si>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</si>
  <si>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</si>
  <si>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</si>
  <si>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</si>
  <si>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</si>
  <si>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</si>
  <si>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</si>
  <si>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</si>
  <si>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</si>
  <si>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</si>
  <si>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</si>
  <si>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</si>
  <si>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</si>
  <si>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</si>
  <si>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</si>
  <si>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</si>
  <si>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</si>
  <si>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</si>
  <si>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</si>
  <si>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</si>
  <si>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</si>
  <si>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</si>
  <si>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</si>
  <si>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</si>
  <si>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</si>
  <si>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</si>
  <si>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</si>
  <si>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</si>
  <si>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</si>
  <si>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</si>
  <si>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</si>
  <si>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</si>
  <si>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</si>
  <si>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</si>
  <si>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</si>
  <si>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</si>
  <si>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</si>
  <si>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</si>
  <si>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</si>
  <si>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</si>
  <si>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</si>
  <si>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</si>
  <si>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</si>
  <si>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</si>
  <si>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</si>
  <si>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</si>
  <si>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</si>
  <si>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</si>
  <si>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</si>
  <si>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</si>
  <si>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</si>
  <si>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</si>
  <si>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</si>
  <si>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</si>
  <si>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</si>
  <si>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</si>
  <si>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</si>
  <si>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</si>
  <si>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</si>
  <si>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</si>
  <si>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</si>
  <si>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</si>
  <si>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</si>
  <si>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</si>
  <si>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</si>
  <si>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</si>
  <si>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</si>
  <si>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</si>
  <si>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</si>
  <si>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</si>
  <si>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</si>
  <si>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</si>
  <si>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</si>
  <si>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</si>
  <si>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</si>
  <si>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</si>
  <si>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</si>
  <si>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</si>
  <si>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</si>
  <si>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</si>
  <si>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</si>
  <si>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</si>
  <si>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</si>
  <si>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</si>
  <si>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</si>
  <si>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</si>
  <si>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</si>
  <si>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</si>
  <si>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</si>
  <si>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</si>
  <si>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</si>
  <si>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</si>
  <si>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</si>
  <si>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</si>
  <si>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</si>
  <si>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</si>
  <si>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</si>
  <si>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</si>
  <si>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</si>
  <si>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</si>
  <si>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</si>
  <si>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</si>
  <si>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</si>
  <si>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</si>
  <si>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</si>
  <si>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</si>
  <si>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</si>
  <si>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</si>
  <si>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</si>
  <si>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</si>
  <si>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</si>
  <si>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</si>
  <si>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</si>
  <si>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</si>
  <si>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</si>
  <si>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</si>
  <si>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</si>
  <si>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</si>
  <si>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</si>
  <si>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</si>
  <si>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</si>
  <si>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</si>
  <si>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</si>
  <si>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</si>
  <si>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</si>
  <si>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</si>
  <si>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</si>
  <si>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</si>
  <si>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</si>
  <si>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</si>
  <si>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</si>
  <si>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</si>
  <si>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</si>
  <si>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</si>
  <si>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</si>
  <si>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</si>
  <si>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</si>
  <si>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</si>
  <si>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</si>
  <si>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</si>
  <si>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</si>
  <si>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</si>
  <si>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</si>
  <si>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</si>
  <si>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</si>
  <si>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</si>
  <si>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</si>
  <si>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</si>
  <si>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</si>
  <si>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</si>
  <si>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</si>
  <si>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</si>
  <si>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</si>
  <si>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</si>
  <si>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</si>
  <si>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</si>
  <si>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</si>
  <si>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</si>
  <si>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</si>
  <si>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</si>
  <si>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</si>
  <si>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</si>
  <si>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</si>
  <si>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</si>
  <si>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</si>
  <si>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</si>
  <si>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</si>
  <si>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</si>
  <si>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</si>
  <si>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</si>
  <si>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</si>
  <si>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</si>
  <si>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</si>
  <si>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</si>
  <si>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</si>
  <si>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</si>
  <si>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</si>
  <si>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</si>
  <si>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</si>
  <si>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</si>
  <si>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</si>
  <si>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</si>
  <si>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</si>
  <si>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</si>
  <si>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</si>
  <si>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</si>
  <si>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</si>
  <si>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</si>
  <si>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</si>
  <si>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</si>
  <si>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</si>
  <si>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</si>
  <si>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</si>
  <si>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</si>
  <si>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</si>
  <si>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</si>
  <si>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</si>
  <si>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</si>
  <si>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</si>
  <si>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</si>
  <si>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</si>
  <si>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</si>
  <si>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</si>
  <si>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</si>
  <si>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</si>
  <si>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</si>
  <si>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</si>
  <si>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</si>
  <si>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</si>
  <si>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</si>
  <si>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</si>
  <si>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</si>
  <si>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</si>
  <si>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</si>
  <si>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</si>
  <si>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</si>
  <si>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</si>
  <si>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</si>
  <si>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</si>
  <si>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</si>
  <si>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</si>
  <si>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</si>
  <si>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</si>
  <si>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</si>
  <si>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</si>
  <si>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</si>
  <si>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</si>
  <si>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</si>
  <si>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</si>
  <si>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</si>
  <si>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</si>
  <si>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</si>
  <si>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</si>
  <si>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</si>
  <si>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</si>
  <si>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</si>
  <si>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</si>
  <si>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</si>
  <si>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</si>
  <si>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</si>
  <si>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</si>
  <si>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</si>
  <si>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</si>
  <si>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</si>
  <si>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</si>
  <si>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</si>
  <si>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</si>
  <si>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</si>
  <si>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</si>
  <si>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</si>
  <si>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</si>
  <si>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</si>
  <si>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</si>
  <si>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</si>
  <si>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</si>
  <si>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</si>
  <si>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</si>
  <si>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</si>
  <si>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</si>
  <si>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</si>
  <si>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</si>
  <si>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</si>
  <si>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</si>
  <si>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</si>
  <si>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</si>
  <si>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</si>
  <si>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</si>
  <si>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</si>
  <si>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</si>
  <si>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</si>
  <si>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</si>
  <si>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</si>
  <si>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</si>
  <si>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</si>
  <si>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</si>
  <si>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</si>
  <si>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</si>
  <si>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</si>
  <si>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</si>
  <si>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</si>
  <si>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</si>
  <si>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</si>
  <si>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</si>
  <si>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</si>
  <si>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</si>
  <si>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</si>
  <si>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</si>
  <si>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</si>
  <si>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</si>
  <si>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</si>
  <si>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</si>
  <si>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</si>
  <si>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</si>
  <si>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</si>
  <si>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</si>
  <si>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</si>
  <si>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</si>
  <si>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</si>
  <si>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</si>
  <si>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</si>
  <si>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</si>
  <si>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</si>
  <si>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</si>
  <si>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</si>
  <si>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</si>
  <si>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</si>
  <si>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</si>
  <si>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</si>
  <si>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</si>
  <si>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</si>
  <si>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</si>
  <si>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</si>
  <si>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</si>
  <si>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</si>
  <si>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</si>
  <si>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</si>
  <si>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</si>
  <si>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</si>
  <si>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</si>
  <si>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</si>
  <si>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</si>
  <si>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</si>
  <si>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</si>
  <si>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</si>
  <si>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</si>
  <si>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</si>
  <si>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</si>
  <si>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</si>
  <si>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</si>
  <si>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</si>
  <si>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</si>
  <si>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</si>
  <si>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</si>
  <si>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</si>
  <si>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</si>
  <si>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</si>
  <si>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</si>
  <si>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</si>
  <si>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</si>
  <si>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</si>
  <si>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</si>
  <si>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</si>
  <si>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</si>
  <si>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</si>
  <si>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</si>
  <si>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</si>
  <si>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</si>
  <si>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</si>
  <si>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</si>
  <si>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</si>
  <si>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</si>
  <si>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</si>
  <si>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</si>
  <si>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</si>
  <si>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</si>
  <si>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</si>
  <si>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</si>
  <si>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</si>
  <si>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</si>
  <si>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</si>
  <si>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</si>
  <si>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</si>
  <si>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</si>
  <si>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</si>
  <si>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</si>
  <si>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</si>
  <si>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</si>
  <si>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</si>
  <si>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</si>
  <si>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</si>
  <si>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</si>
  <si>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</si>
  <si>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</si>
  <si>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</si>
  <si>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</si>
  <si>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</si>
  <si>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</si>
  <si>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</si>
  <si>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</si>
  <si>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</si>
  <si>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</si>
  <si>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</si>
  <si>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</si>
  <si>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</si>
  <si>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</si>
  <si>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</si>
  <si>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</si>
  <si>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</si>
  <si>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</si>
  <si>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</si>
  <si>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</si>
  <si>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</si>
  <si>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</si>
  <si>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</si>
  <si>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</si>
  <si>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</si>
  <si>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</si>
  <si>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</si>
  <si>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</si>
  <si>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</si>
  <si>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</si>
  <si>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</si>
  <si>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</si>
  <si>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</si>
  <si>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</si>
  <si>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</si>
  <si>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</si>
  <si>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</si>
  <si>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</si>
  <si>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</si>
  <si>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</si>
  <si>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</si>
  <si>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</si>
  <si>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</si>
  <si>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</si>
  <si>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</si>
  <si>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</si>
  <si>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</si>
  <si>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</si>
  <si>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</si>
  <si>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</si>
  <si>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</si>
  <si>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</si>
  <si>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</si>
  <si>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</si>
  <si>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</si>
  <si>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</si>
  <si>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</si>
  <si>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</si>
  <si>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</si>
  <si>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</si>
  <si>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</si>
  <si>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</si>
  <si>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</si>
  <si>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</si>
  <si>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</si>
  <si>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</si>
  <si>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</si>
  <si>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</si>
  <si>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</si>
  <si>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</si>
  <si>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</si>
  <si>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</si>
  <si>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</si>
  <si>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</si>
  <si>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</si>
  <si>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</si>
  <si>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</si>
  <si>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</si>
  <si>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</si>
  <si>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</si>
  <si>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</si>
  <si>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</si>
  <si>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</si>
  <si>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</si>
  <si>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</si>
  <si>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</si>
  <si>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</si>
  <si>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</si>
  <si>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</si>
  <si>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</si>
  <si>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</si>
  <si>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</si>
  <si>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</si>
  <si>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</si>
  <si>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</si>
  <si>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</si>
  <si>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</si>
  <si>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</si>
  <si>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</si>
  <si>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</si>
  <si>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</si>
  <si>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</si>
  <si>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</si>
  <si>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</si>
  <si>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</si>
  <si>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</si>
  <si>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</si>
  <si>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</si>
  <si>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</si>
  <si>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</si>
  <si>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</si>
  <si>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</si>
  <si>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</si>
  <si>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</si>
  <si>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</si>
  <si>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</si>
  <si>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</si>
  <si>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</si>
  <si>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</si>
  <si>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</si>
  <si>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</si>
  <si>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</si>
  <si>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</si>
  <si>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</si>
  <si>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</si>
  <si>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</si>
  <si>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</si>
  <si>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</si>
  <si>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</si>
  <si>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</si>
  <si>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</si>
  <si>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</si>
  <si>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</si>
  <si>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</si>
  <si>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</si>
  <si>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</si>
  <si>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</si>
  <si>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</si>
  <si>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</si>
  <si>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</si>
  <si>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</si>
  <si>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</si>
  <si>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</si>
  <si>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</si>
  <si>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</si>
  <si>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</si>
  <si>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</si>
  <si>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</si>
  <si>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</si>
  <si>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</si>
  <si>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</si>
  <si>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</si>
  <si>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</si>
  <si>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</si>
  <si>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</si>
  <si>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</si>
  <si>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</si>
  <si>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</si>
  <si>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</si>
  <si>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</si>
  <si>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</si>
  <si>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</si>
  <si>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</si>
  <si>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</si>
  <si>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</si>
  <si>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</si>
  <si>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</si>
  <si>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</si>
  <si>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</si>
  <si>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</si>
  <si>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</si>
  <si>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</si>
  <si>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</si>
  <si>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</si>
  <si>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</si>
  <si>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</si>
  <si>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</si>
  <si>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</si>
  <si>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</si>
  <si>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</si>
  <si>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</si>
  <si>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</si>
  <si>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</si>
  <si>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</si>
  <si>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</si>
  <si>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</si>
  <si>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</si>
  <si>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</si>
  <si>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</si>
  <si>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</si>
  <si>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</si>
  <si>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</si>
  <si>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</si>
  <si>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</si>
  <si>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</si>
  <si>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</si>
  <si>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</si>
  <si>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</si>
  <si>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</si>
  <si>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</si>
  <si>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</si>
  <si>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</si>
  <si>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</si>
  <si>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</si>
  <si>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</si>
  <si>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</si>
  <si>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</si>
  <si>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</si>
  <si>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</si>
  <si>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</si>
  <si>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</si>
  <si>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</si>
  <si>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</si>
  <si>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</si>
  <si>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</si>
  <si>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</si>
  <si>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</si>
  <si>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</si>
  <si>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</si>
  <si>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</si>
  <si>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</si>
  <si>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</si>
  <si>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</si>
  <si>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</si>
  <si>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</si>
  <si>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</si>
  <si>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</si>
  <si>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</si>
  <si>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</si>
  <si>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</si>
  <si>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</si>
  <si>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</si>
  <si>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</si>
  <si>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</si>
  <si>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</si>
  <si>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</si>
  <si>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</si>
  <si>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</si>
  <si>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</si>
  <si>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</si>
  <si>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</si>
  <si>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</si>
  <si>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</si>
  <si>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</si>
  <si>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</si>
  <si>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</si>
  <si>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</si>
  <si>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</si>
  <si>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</si>
  <si>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</si>
  <si>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</si>
  <si>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</si>
  <si>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</si>
  <si>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</si>
  <si>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</si>
  <si>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</si>
  <si>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</si>
  <si>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</si>
  <si>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</si>
  <si>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</si>
  <si>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</si>
  <si>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</si>
  <si>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</si>
  <si>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</si>
  <si>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</si>
  <si>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</si>
  <si>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</si>
  <si>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</si>
  <si>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</si>
  <si>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</si>
  <si>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</si>
  <si>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</si>
  <si>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</si>
  <si>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</si>
  <si>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</si>
  <si>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</si>
  <si>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</si>
  <si>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</si>
  <si>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</si>
  <si>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</si>
  <si>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</si>
  <si>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</si>
  <si>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</si>
  <si>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</si>
  <si>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</si>
  <si>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</si>
  <si>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</si>
  <si>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</si>
  <si>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</si>
  <si>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</si>
  <si>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</si>
  <si>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</si>
  <si>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</si>
  <si>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</si>
  <si>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</si>
  <si>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</si>
  <si>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</si>
  <si>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</si>
  <si>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</si>
  <si>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</si>
  <si>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</si>
  <si>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</si>
  <si>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</si>
  <si>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</si>
  <si>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</si>
  <si>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</si>
  <si>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</si>
  <si>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</si>
  <si>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</si>
  <si>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</si>
  <si>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</si>
  <si>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</si>
  <si>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</si>
  <si>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</si>
  <si>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</si>
  <si>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</si>
  <si>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</si>
  <si>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</si>
  <si>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</si>
  <si>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</si>
  <si>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</si>
  <si>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</si>
  <si>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</si>
  <si>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</si>
  <si>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</si>
  <si>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</si>
  <si>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</si>
  <si>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</si>
  <si>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</si>
  <si>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</si>
  <si>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</si>
  <si>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</si>
  <si>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</si>
  <si>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</si>
  <si>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</si>
  <si>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</si>
  <si>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</si>
  <si>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</si>
  <si>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</si>
  <si>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</si>
  <si>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</si>
  <si>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</si>
  <si>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</si>
  <si>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</si>
  <si>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</si>
  <si>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</si>
  <si>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</si>
  <si>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</si>
  <si>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</si>
  <si>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</si>
  <si>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</si>
  <si>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</si>
  <si>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</si>
  <si>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</si>
  <si>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</si>
  <si>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</si>
  <si>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</si>
  <si>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</si>
  <si>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</si>
  <si>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</si>
  <si>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</si>
  <si>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</si>
  <si>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</si>
  <si>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</si>
  <si>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</si>
  <si>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</si>
  <si>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</si>
  <si>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</si>
  <si>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</si>
  <si>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</si>
  <si>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</si>
  <si>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</si>
  <si>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</si>
  <si>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</si>
  <si>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</si>
  <si>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</si>
  <si>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</si>
  <si>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</si>
  <si>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</si>
  <si>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</si>
  <si>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</si>
  <si>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</si>
  <si>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</si>
  <si>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</si>
  <si>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</si>
  <si>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</si>
  <si>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</si>
  <si>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</si>
  <si>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</si>
  <si>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</si>
  <si>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</si>
  <si>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</si>
  <si>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</si>
  <si>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</si>
  <si>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</si>
  <si>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</si>
  <si>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</si>
  <si>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</si>
  <si>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</si>
  <si>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</si>
  <si>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</si>
  <si>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</si>
  <si>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</si>
  <si>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</si>
  <si>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</si>
  <si>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</si>
  <si>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</si>
  <si>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</si>
  <si>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</si>
  <si>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</si>
  <si>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</si>
  <si>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</si>
  <si>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</si>
  <si>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</si>
  <si>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</si>
  <si>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</si>
  <si>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</si>
  <si>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</si>
  <si>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</si>
  <si>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</si>
  <si>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</si>
  <si>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</si>
  <si>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</si>
  <si>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</si>
  <si>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</si>
  <si>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</si>
  <si>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</si>
  <si>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</si>
  <si>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</si>
  <si>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</si>
  <si>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</si>
  <si>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</si>
  <si>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</si>
  <si>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</si>
  <si>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</si>
  <si>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</si>
  <si>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</si>
  <si>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</si>
  <si>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</si>
  <si>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</si>
  <si>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</si>
  <si>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</si>
  <si>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</si>
  <si>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</si>
  <si>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</si>
  <si>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</si>
  <si>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</si>
  <si>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</si>
  <si>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</si>
  <si>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</si>
  <si>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</si>
  <si>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</si>
  <si>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</si>
  <si>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</si>
  <si>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</si>
  <si>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</si>
  <si>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</si>
  <si>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</si>
  <si>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</si>
  <si>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</si>
  <si>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</si>
  <si>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</si>
  <si>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</si>
  <si>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</si>
  <si>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</si>
  <si>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</si>
  <si>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</si>
  <si>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</si>
  <si>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</si>
  <si>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</si>
  <si>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</si>
  <si>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</si>
  <si>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</si>
  <si>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</si>
  <si>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</si>
  <si>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</si>
  <si>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</si>
  <si>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</si>
  <si>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</si>
  <si>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</si>
  <si>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</si>
  <si>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</si>
  <si>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</si>
  <si>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</si>
  <si>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</si>
  <si>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</si>
  <si>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</si>
  <si>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</si>
  <si>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</si>
  <si>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</si>
  <si>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</si>
  <si>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</si>
  <si>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</si>
  <si>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</si>
  <si>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</si>
  <si>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</si>
  <si>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</si>
  <si>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</si>
  <si>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</si>
  <si>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</si>
  <si>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</si>
  <si>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</si>
  <si>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</si>
  <si>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</si>
  <si>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</si>
  <si>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</si>
  <si>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</si>
  <si>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</si>
  <si>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</si>
  <si>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</si>
  <si>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</si>
  <si>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</si>
  <si>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</si>
  <si>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</si>
  <si>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</si>
  <si>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</si>
  <si>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</si>
  <si>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</si>
  <si>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</si>
  <si>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</si>
  <si>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</si>
  <si>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</si>
  <si>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</si>
  <si>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</si>
  <si>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</si>
  <si>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</si>
  <si>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</si>
  <si>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</si>
  <si>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</si>
  <si>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</si>
  <si>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</si>
  <si>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</si>
  <si>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</si>
  <si>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</si>
  <si>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</si>
  <si>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</si>
  <si>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</si>
  <si>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</si>
  <si>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</si>
  <si>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</si>
  <si>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</si>
  <si>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</si>
  <si>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</si>
  <si>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</si>
  <si>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</si>
  <si>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</si>
  <si>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</si>
  <si>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</si>
  <si>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</si>
  <si>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</si>
  <si>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</si>
  <si>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</si>
  <si>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</si>
  <si>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</si>
  <si>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</si>
  <si>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</si>
  <si>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</si>
  <si>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</si>
  <si>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</si>
  <si>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</si>
  <si>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</si>
  <si>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</si>
  <si>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</si>
  <si>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</si>
  <si>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</si>
  <si>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</si>
  <si>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</si>
  <si>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</si>
  <si>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</si>
  <si>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</si>
  <si>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</si>
  <si>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</si>
  <si>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</si>
  <si>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</si>
  <si>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</si>
  <si>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</si>
  <si>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</si>
  <si>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</si>
  <si>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</si>
  <si>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</si>
  <si>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</si>
  <si>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</si>
  <si>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</si>
  <si>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</si>
  <si>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</si>
  <si>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</si>
  <si>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</si>
  <si>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</si>
  <si>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</si>
  <si>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</si>
  <si>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</si>
  <si>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</si>
  <si>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</si>
  <si>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</si>
  <si>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</si>
  <si>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</si>
  <si>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</si>
  <si>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</si>
  <si>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</si>
  <si>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</si>
  <si>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</si>
  <si>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</si>
  <si>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</si>
  <si>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</si>
  <si>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</si>
  <si>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</si>
  <si>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</si>
  <si>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</si>
  <si>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</si>
  <si>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</si>
  <si>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</si>
  <si>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</si>
  <si>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</si>
  <si>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</si>
  <si>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</si>
  <si>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</si>
  <si>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</si>
  <si>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</si>
  <si>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</si>
  <si>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</si>
  <si>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</si>
  <si>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</si>
  <si>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</si>
  <si>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</si>
  <si>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</si>
  <si>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</si>
  <si>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</si>
  <si>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</si>
  <si>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</si>
  <si>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</si>
  <si>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</si>
  <si>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</si>
  <si>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</si>
  <si>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</si>
  <si>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</si>
  <si>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</si>
  <si>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</si>
  <si>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</si>
  <si>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</si>
  <si>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</si>
  <si>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</si>
  <si>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</si>
  <si>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</si>
  <si>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</si>
  <si>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</si>
  <si>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</si>
  <si>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</si>
  <si>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</si>
  <si>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</si>
  <si>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</si>
  <si>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</si>
  <si>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</si>
  <si>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</si>
  <si>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</si>
  <si>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</si>
  <si>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</si>
  <si>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</si>
  <si>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</si>
  <si>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</si>
  <si>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</si>
  <si>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</si>
  <si>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</si>
  <si>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</si>
  <si>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</si>
  <si>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</si>
  <si>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</si>
  <si>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</si>
  <si>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</si>
  <si>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</si>
  <si>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</si>
  <si>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</si>
  <si>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</si>
  <si>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</si>
  <si>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</si>
  <si>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</si>
  <si>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</si>
  <si>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</si>
  <si>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</si>
  <si>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</si>
  <si>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</si>
  <si>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</si>
  <si>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</si>
  <si>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</si>
  <si>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</si>
  <si>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</si>
  <si>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</si>
  <si>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</si>
  <si>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</si>
  <si>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</si>
  <si>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</si>
  <si>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</si>
  <si>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</si>
  <si>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</si>
  <si>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</si>
  <si>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</si>
  <si>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</si>
  <si>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</si>
  <si>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</si>
  <si>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</si>
  <si>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</si>
  <si>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</si>
  <si>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</si>
  <si>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</si>
  <si>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</si>
  <si>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</si>
  <si>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</si>
  <si>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</si>
  <si>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</si>
  <si>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</si>
  <si>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</si>
  <si>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</si>
  <si>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</si>
  <si>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</si>
  <si>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</si>
  <si>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</si>
  <si>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</si>
  <si>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</si>
  <si>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</si>
  <si>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</si>
  <si>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</si>
  <si>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</si>
  <si>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</si>
  <si>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</si>
  <si>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</si>
  <si>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</si>
  <si>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</si>
  <si>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</si>
  <si>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</si>
  <si>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</si>
  <si>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</si>
  <si>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</si>
  <si>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</si>
  <si>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</si>
  <si>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</si>
  <si>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</si>
  <si>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</si>
  <si>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</si>
  <si>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</si>
  <si>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</si>
  <si>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</si>
  <si>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</si>
  <si>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</si>
  <si>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</si>
  <si>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</si>
  <si>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</si>
  <si>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</si>
  <si>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</si>
  <si>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</si>
  <si>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</si>
  <si>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</si>
  <si>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</si>
  <si>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</si>
  <si>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</si>
  <si>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</si>
  <si>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</si>
  <si>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</si>
  <si>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</si>
  <si>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</si>
  <si>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</si>
  <si>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</si>
  <si>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</si>
  <si>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</si>
  <si>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</si>
  <si>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</si>
  <si>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</si>
  <si>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</si>
  <si>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</si>
  <si>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</si>
  <si>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</si>
  <si>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</si>
  <si>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</si>
  <si>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</si>
  <si>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</si>
  <si>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</si>
  <si>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</si>
  <si>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</si>
  <si>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</si>
  <si>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</si>
  <si>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</si>
  <si>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</si>
  <si>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</si>
  <si>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</si>
  <si>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</si>
  <si>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</si>
  <si>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</si>
  <si>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</si>
  <si>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</si>
  <si>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</si>
  <si>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</si>
  <si>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</si>
  <si>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</si>
  <si>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</si>
  <si>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</si>
  <si>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</si>
  <si>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</si>
  <si>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</si>
  <si>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</si>
  <si>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</si>
  <si>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</si>
  <si>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</si>
  <si>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</si>
  <si>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</si>
  <si>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</si>
  <si>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</si>
  <si>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</si>
  <si>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</si>
  <si>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</si>
  <si>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</si>
  <si>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</si>
  <si>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</si>
  <si>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</si>
  <si>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</si>
  <si>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</si>
  <si>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</si>
  <si>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</si>
  <si>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</si>
  <si>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</si>
  <si>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</si>
  <si>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</si>
  <si>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</si>
  <si>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</si>
  <si>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</si>
  <si>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</si>
  <si>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</si>
  <si>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</si>
  <si>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</si>
  <si>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</si>
  <si>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</si>
  <si>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</si>
  <si>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</si>
  <si>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</si>
  <si>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</si>
  <si>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</si>
  <si>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</si>
  <si>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</si>
  <si>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</si>
  <si>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</si>
  <si>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</si>
  <si>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</si>
  <si>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</si>
  <si>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</si>
  <si>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</si>
  <si>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</si>
  <si>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</si>
  <si>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</si>
  <si>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</si>
  <si>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</si>
  <si>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</si>
  <si>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</si>
  <si>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</si>
  <si>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</si>
  <si>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</si>
  <si>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</si>
  <si>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</si>
  <si>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</si>
  <si>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</si>
  <si>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</si>
  <si>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</si>
  <si>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</si>
  <si>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</si>
  <si>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</si>
  <si>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</si>
  <si>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</si>
  <si>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</si>
  <si>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</si>
  <si>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</si>
  <si>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</si>
  <si>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</si>
  <si>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</si>
  <si>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</si>
  <si>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</si>
  <si>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</si>
  <si>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</si>
  <si>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</si>
  <si>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</si>
  <si>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</si>
  <si>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</si>
  <si>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</si>
  <si>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</si>
  <si>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</si>
  <si>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</si>
  <si>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</si>
  <si>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</si>
  <si>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</si>
  <si>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</si>
  <si>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</si>
  <si>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</si>
  <si>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</si>
  <si>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</si>
  <si>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</si>
  <si>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</si>
  <si>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</si>
  <si>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</si>
  <si>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</si>
  <si>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</si>
  <si>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</si>
  <si>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</si>
  <si>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</si>
  <si>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</si>
  <si>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</si>
  <si>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</si>
  <si>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</si>
  <si>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</si>
  <si>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</si>
  <si>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</si>
  <si>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</si>
  <si>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</si>
  <si>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</si>
  <si>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</si>
  <si>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</si>
  <si>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</si>
  <si>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</si>
  <si>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</si>
  <si>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</si>
  <si>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</si>
  <si>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</si>
  <si>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</si>
  <si>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</si>
  <si>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</si>
  <si>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</si>
  <si>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</si>
  <si>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</si>
  <si>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</si>
  <si>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</si>
  <si>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</si>
  <si>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</si>
  <si>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</si>
  <si>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</si>
  <si>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</si>
  <si>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</si>
  <si>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</si>
  <si>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</si>
  <si>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</si>
  <si>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</si>
  <si>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</si>
  <si>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</si>
  <si>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</si>
  <si>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</si>
  <si>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</si>
  <si>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</si>
  <si>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</si>
  <si>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</si>
  <si>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</si>
  <si>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</si>
  <si>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</si>
  <si>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</si>
  <si>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</si>
  <si>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</si>
  <si>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</si>
  <si>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</si>
  <si>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</si>
  <si>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</si>
  <si>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</si>
  <si>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</si>
  <si>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</si>
  <si>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</si>
  <si>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</si>
  <si>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</si>
  <si>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</si>
  <si>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</si>
  <si>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</si>
  <si>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</si>
  <si>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</si>
  <si>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</si>
  <si>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</si>
  <si>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</si>
  <si>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</si>
  <si>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</si>
  <si>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</si>
  <si>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</si>
  <si>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</si>
  <si>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</si>
  <si>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</si>
  <si>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</si>
  <si>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</si>
  <si>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</si>
  <si>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</si>
  <si>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</si>
  <si>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</si>
  <si>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</si>
  <si>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</si>
  <si>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</si>
  <si>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</si>
  <si>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</si>
  <si>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</si>
  <si>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</si>
  <si>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</si>
  <si>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</si>
  <si>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</si>
  <si>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</si>
  <si>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</si>
  <si>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</si>
  <si>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</si>
  <si>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</si>
  <si>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</si>
  <si>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</si>
  <si>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</si>
  <si>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</si>
  <si>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</si>
  <si>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</si>
  <si>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</si>
  <si>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</si>
  <si>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</si>
  <si>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</si>
  <si>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</si>
  <si>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</si>
  <si>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</si>
  <si>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</si>
  <si>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</si>
  <si>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</si>
  <si>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</si>
  <si>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</si>
  <si>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</si>
  <si>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</si>
  <si>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</si>
  <si>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</si>
  <si>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</si>
  <si>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</si>
  <si>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</si>
  <si>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</si>
  <si>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</si>
  <si>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</si>
  <si>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</si>
  <si>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</si>
  <si>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</si>
  <si>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</si>
  <si>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</si>
  <si>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</si>
  <si>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</si>
  <si>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</si>
  <si>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</si>
  <si>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</si>
  <si>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</si>
  <si>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</si>
  <si>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</si>
  <si>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</si>
  <si>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</si>
  <si>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</si>
  <si>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</si>
  <si>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</si>
  <si>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</si>
  <si>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</si>
  <si>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</si>
  <si>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</si>
  <si>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</si>
  <si>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</si>
  <si>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</si>
  <si>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</si>
  <si>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</si>
  <si>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</si>
  <si>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</si>
  <si>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</si>
  <si>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</si>
  <si>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</si>
  <si>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</si>
  <si>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</si>
  <si>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</si>
  <si>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</si>
  <si>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</si>
  <si>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</si>
  <si>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</si>
  <si>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</si>
  <si>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</si>
  <si>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</si>
  <si>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</si>
  <si>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</si>
  <si>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</si>
  <si>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</si>
  <si>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</si>
  <si>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</si>
  <si>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</si>
  <si>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</si>
  <si>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</si>
  <si>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</si>
  <si>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</si>
  <si>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</si>
  <si>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</si>
  <si>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</si>
  <si>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</si>
  <si>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</si>
  <si>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</si>
  <si>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</si>
  <si>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</si>
  <si>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</si>
  <si>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</si>
  <si>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</si>
  <si>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</si>
  <si>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</si>
  <si>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</si>
  <si>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</si>
  <si>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</si>
  <si>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</si>
  <si>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</si>
  <si>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</si>
  <si>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</si>
  <si>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</si>
  <si>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</si>
  <si>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</si>
  <si>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</si>
  <si>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</si>
  <si>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</si>
  <si>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</si>
  <si>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</si>
  <si>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</si>
  <si>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</si>
  <si>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</si>
  <si>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</si>
  <si>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</si>
  <si>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</si>
  <si>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</si>
  <si>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</si>
  <si>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</si>
  <si>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</si>
  <si>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</si>
  <si>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</si>
  <si>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</si>
  <si>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</si>
  <si>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</si>
  <si>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</si>
  <si>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</si>
  <si>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</si>
  <si>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</si>
  <si>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</si>
  <si>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</si>
  <si>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</si>
  <si>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</si>
  <si>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</si>
  <si>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</si>
  <si>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</si>
  <si>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</si>
  <si>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</si>
  <si>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</si>
  <si>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</si>
  <si>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</si>
  <si>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</si>
  <si>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</si>
  <si>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</si>
  <si>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</si>
  <si>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</si>
  <si>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</si>
  <si>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</si>
  <si>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</si>
  <si>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</si>
  <si>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</si>
  <si>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</si>
  <si>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</si>
  <si>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</si>
  <si>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</si>
  <si>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</si>
  <si>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</si>
  <si>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</si>
  <si>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</si>
  <si>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</si>
  <si>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</si>
  <si>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</si>
  <si>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</si>
  <si>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</si>
  <si>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</si>
  <si>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</si>
  <si>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</si>
  <si>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</si>
  <si>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</si>
  <si>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</si>
  <si>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</si>
  <si>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</si>
  <si>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</si>
  <si>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</si>
  <si>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</si>
  <si>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</si>
  <si>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</si>
  <si>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</si>
  <si>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</si>
  <si>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</si>
  <si>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</si>
  <si>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</si>
  <si>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</si>
  <si>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</si>
  <si>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</si>
  <si>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</si>
  <si>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</si>
  <si>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</si>
  <si>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</si>
  <si>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</si>
  <si>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</si>
  <si>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</si>
  <si>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</si>
  <si>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</si>
  <si>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</si>
  <si>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</si>
  <si>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</si>
  <si>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</si>
  <si>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</si>
  <si>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</si>
  <si>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</si>
  <si>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</si>
  <si>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</si>
  <si>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</si>
  <si>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</si>
  <si>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</si>
  <si>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</si>
  <si>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</si>
  <si>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</si>
  <si>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</si>
  <si>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</si>
  <si>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</si>
  <si>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</si>
  <si>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</si>
  <si>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</si>
  <si>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</si>
  <si>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</si>
  <si>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</si>
  <si>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</si>
  <si>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</si>
  <si>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</si>
  <si>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</si>
  <si>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</si>
  <si>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</si>
  <si>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</si>
  <si>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</si>
  <si>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</si>
  <si>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</si>
  <si>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</si>
  <si>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</si>
  <si>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</si>
  <si>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</si>
  <si>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</si>
  <si>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</si>
  <si>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</si>
  <si>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</si>
  <si>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</si>
  <si>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</si>
  <si>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</si>
  <si>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</si>
  <si>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</si>
  <si>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</si>
  <si>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</si>
  <si>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</si>
  <si>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</si>
  <si>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</si>
  <si>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</si>
  <si>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</si>
  <si>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</si>
  <si>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</si>
  <si>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</si>
  <si>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</si>
  <si>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</si>
  <si>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</si>
  <si>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</si>
  <si>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</si>
  <si>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</si>
  <si>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</si>
  <si>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</si>
  <si>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</si>
  <si>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</si>
  <si>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</si>
  <si>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</si>
  <si>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</si>
  <si>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</si>
  <si>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</si>
  <si>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</si>
  <si>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</si>
  <si>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</si>
  <si>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</si>
  <si>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</si>
  <si>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</si>
  <si>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</si>
  <si>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</si>
  <si>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</si>
  <si>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</si>
  <si>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</si>
  <si>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</si>
  <si>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</si>
  <si>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</si>
  <si>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</si>
  <si>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</si>
  <si>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</si>
  <si>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</si>
  <si>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</si>
  <si>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</si>
  <si>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</si>
  <si>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</si>
  <si>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</si>
  <si>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</si>
  <si>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</si>
  <si>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</si>
  <si>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</si>
  <si>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</si>
  <si>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</si>
  <si>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</si>
  <si>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</si>
  <si>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</si>
  <si>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</si>
  <si>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</si>
  <si>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</si>
  <si>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</si>
  <si>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</si>
  <si>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</si>
  <si>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</si>
  <si>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</si>
  <si>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</si>
  <si>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</si>
  <si>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</si>
  <si>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</si>
  <si>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</si>
  <si>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</si>
  <si>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</si>
  <si>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</si>
  <si>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</si>
  <si>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</si>
  <si>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</si>
  <si>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</si>
  <si>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</si>
  <si>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</si>
  <si>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</si>
  <si>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</si>
  <si>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</si>
  <si>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</si>
  <si>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</si>
  <si>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</si>
  <si>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</si>
  <si>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</si>
  <si>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</si>
  <si>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</si>
  <si>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</si>
  <si>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</si>
  <si>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</si>
  <si>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</si>
  <si>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</si>
  <si>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</si>
  <si>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</si>
  <si>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</si>
  <si>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</si>
  <si>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</si>
  <si>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</si>
  <si>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</si>
  <si>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</si>
  <si>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</si>
  <si>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</si>
  <si>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</si>
  <si>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</si>
  <si>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</si>
  <si>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</si>
  <si>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</si>
  <si>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</si>
  <si>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</si>
  <si>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</si>
  <si>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</si>
  <si>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</si>
  <si>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</si>
  <si>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</si>
  <si>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</si>
  <si>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</si>
  <si>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</si>
  <si>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</si>
  <si>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</si>
  <si>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</si>
  <si>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</si>
  <si>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</si>
  <si>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</si>
  <si>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</si>
  <si>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</si>
  <si>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</si>
  <si>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</si>
  <si>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</si>
  <si>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</si>
  <si>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</si>
  <si>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</si>
  <si>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</si>
  <si>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</si>
  <si>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</si>
  <si>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</si>
  <si>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</si>
  <si>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</si>
  <si>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</si>
  <si>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</si>
  <si>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</si>
  <si>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</si>
  <si>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</si>
  <si>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</si>
  <si>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</si>
  <si>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</si>
  <si>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</si>
  <si>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</si>
  <si>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</si>
  <si>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</si>
  <si>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</si>
  <si>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</si>
  <si>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</si>
  <si>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</si>
  <si>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</si>
  <si>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</si>
  <si>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</si>
  <si>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</si>
  <si>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</si>
  <si>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</si>
  <si>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</si>
  <si>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</si>
  <si>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</si>
  <si>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</si>
  <si>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</si>
  <si>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</si>
  <si>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</si>
  <si>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</si>
  <si>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</si>
  <si>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</si>
  <si>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</si>
  <si>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</si>
  <si>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</si>
  <si>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</si>
  <si>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</si>
  <si>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</si>
  <si>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</si>
  <si>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</si>
  <si>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</si>
  <si>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</si>
  <si>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</si>
  <si>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</si>
  <si>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</si>
  <si>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</si>
  <si>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</si>
  <si>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</si>
  <si>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</si>
  <si>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</si>
  <si>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</si>
  <si>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</si>
  <si>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</si>
  <si>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</si>
  <si>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</si>
  <si>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</si>
  <si>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</si>
  <si>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</si>
  <si>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</si>
  <si>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住宅</t>
    <phoneticPr fontId="7" type="noConversion"/>
  </si>
  <si>
    <t>商业</t>
    <phoneticPr fontId="7"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</si>
  <si>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</si>
  <si>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</si>
  <si>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</si>
  <si>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</si>
  <si>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</si>
  <si>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</si>
  <si>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</si>
  <si>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</si>
  <si>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周边有三山新新家园、金地悦景台等住宅项目、密集度一般，综合评价居住社区成熟度一般。</t>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</si>
  <si>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</si>
  <si>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</si>
  <si>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</si>
  <si>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</si>
  <si>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</si>
  <si>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</si>
  <si>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</si>
  <si>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精装修</t>
  </si>
  <si>
    <t>专业</t>
  </si>
  <si>
    <t>七通</t>
  </si>
  <si>
    <t>毛坯</t>
  </si>
  <si>
    <t>清锦园</t>
    <phoneticPr fontId="3" type="noConversion"/>
  </si>
  <si>
    <t>一般</t>
  </si>
  <si>
    <t>较好</t>
  </si>
  <si>
    <t>收益法-商业</t>
    <phoneticPr fontId="16" type="noConversion"/>
  </si>
  <si>
    <t>收益法-车库</t>
  </si>
  <si>
    <t>收益法-车库</t>
    <phoneticPr fontId="16" type="noConversion"/>
  </si>
  <si>
    <t>在建（套用方法）</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</si>
  <si>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</si>
  <si>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</si>
  <si>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</si>
  <si>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</si>
  <si>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</si>
  <si>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</si>
  <si>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</si>
  <si>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</si>
  <si>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</si>
  <si>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</si>
  <si>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</si>
  <si>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</si>
  <si>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</si>
  <si>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</si>
  <si>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</si>
  <si>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</si>
  <si>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</si>
  <si>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</si>
  <si>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</si>
  <si>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</si>
  <si>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</si>
  <si>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</si>
  <si>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</si>
  <si>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</si>
  <si>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</si>
  <si>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</si>
  <si>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</si>
  <si>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</si>
  <si>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</si>
  <si>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</si>
  <si>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</si>
  <si>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</si>
  <si>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</si>
  <si>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</si>
  <si>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</si>
  <si>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</si>
  <si>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</si>
  <si>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</si>
  <si>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</si>
  <si>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</si>
  <si>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</si>
  <si>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</si>
  <si>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</si>
  <si>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</si>
  <si>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</si>
  <si>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</si>
  <si>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</si>
  <si>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</si>
  <si>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</si>
  <si>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</si>
  <si>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</si>
  <si>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</si>
  <si>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</si>
  <si>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</si>
  <si>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</si>
  <si>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</si>
  <si>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</si>
  <si>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</si>
  <si>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</si>
  <si>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</si>
  <si>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</si>
  <si>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</si>
  <si>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</si>
  <si>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</si>
  <si>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</si>
  <si>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</si>
  <si>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</si>
  <si>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</si>
  <si>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</si>
  <si>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</si>
  <si>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</si>
  <si>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</si>
  <si>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</si>
  <si>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</si>
  <si>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</si>
  <si>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</si>
  <si>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</si>
  <si>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</si>
  <si>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</si>
  <si>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</si>
  <si>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</si>
  <si>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</si>
  <si>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</si>
  <si>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</si>
  <si>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</si>
  <si>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</si>
  <si>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</si>
  <si>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</si>
  <si>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</si>
  <si>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</si>
  <si>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</si>
  <si>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</si>
  <si>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</si>
  <si>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</si>
  <si>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</si>
  <si>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</si>
  <si>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</si>
  <si>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</si>
  <si>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假设开发法</t>
  </si>
  <si>
    <t>成本比率</t>
  </si>
  <si>
    <t>已售</t>
    <phoneticPr fontId="3" type="noConversion"/>
  </si>
  <si>
    <t>无</t>
    <phoneticPr fontId="31" type="noConversion"/>
  </si>
  <si>
    <t>有</t>
    <phoneticPr fontId="31" type="noConversion"/>
  </si>
  <si>
    <t>有</t>
    <phoneticPr fontId="31" type="noConversion"/>
  </si>
  <si>
    <t>无自然环境设施，自然环境较差；无人文环境场所；综合评价自然及人文环境状况较差。</t>
    <phoneticPr fontId="25" type="noConversion"/>
  </si>
  <si>
    <t>叠拼</t>
    <phoneticPr fontId="25" type="noConversion"/>
  </si>
  <si>
    <t>邻近京平高速；公共交通情况较差、停车较便捷，综合评价交通便捷度一般。</t>
    <phoneticPr fontId="25" type="noConversion"/>
  </si>
  <si>
    <t>所在区域公共配套设施齐备情况一般。</t>
    <phoneticPr fontId="25" type="noConversion"/>
  </si>
  <si>
    <t>押一</t>
  </si>
  <si>
    <t>无</t>
    <phoneticPr fontId="31" type="noConversion"/>
  </si>
  <si>
    <t>周边有龙湖双珑原著、禧瑞春秋等住宅项目、密集度一般，综合评价居住社区成熟度一般。</t>
    <phoneticPr fontId="25" type="noConversion"/>
  </si>
  <si>
    <t>首开琅越</t>
    <phoneticPr fontId="3" type="noConversion"/>
  </si>
  <si>
    <t>景粼原著</t>
    <phoneticPr fontId="3" type="noConversion"/>
  </si>
  <si>
    <t>政府土地收益</t>
    <phoneticPr fontId="143" type="noConversion"/>
  </si>
  <si>
    <t>居住地下车库</t>
    <phoneticPr fontId="143" type="noConversion"/>
  </si>
  <si>
    <t>办公地下车库</t>
    <phoneticPr fontId="143" type="noConversion"/>
  </si>
  <si>
    <t>地下仓储</t>
    <phoneticPr fontId="143" type="noConversion"/>
  </si>
  <si>
    <t>总价</t>
    <phoneticPr fontId="143" type="noConversion"/>
  </si>
  <si>
    <t>税费</t>
    <phoneticPr fontId="143" type="noConversion"/>
  </si>
  <si>
    <t>综合</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</si>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</sst>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6" fillId="18" borderId="61" xfId="1" applyNumberFormat="1" applyFont="1" applyFill="1" applyBorder="1" applyAlignment="1" applyProtection="1">
      <alignment horizontal="center" vertical="center"/>
      <protection locked="0"/>
    </xf>
    <xf numFmtId="49" fontId="54" fillId="18" borderId="41" xfId="0" applyNumberFormat="1"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protection locked="0"/>
    </xf>
    <xf numFmtId="0" fontId="47" fillId="18" borderId="23" xfId="0" applyNumberFormat="1"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0" fontId="53" fillId="18" borderId="38" xfId="0" applyNumberFormat="1" applyFont="1" applyFill="1" applyBorder="1" applyAlignment="1" applyProtection="1">
      <alignment vertical="center" wrapText="1"/>
    </xf>
    <xf numFmtId="181" fontId="55" fillId="18" borderId="61" xfId="0" applyNumberFormat="1" applyFont="1" applyFill="1" applyBorder="1" applyAlignment="1" applyProtection="1">
      <alignment horizontal="center" vertical="center"/>
      <protection locked="0"/>
    </xf>
    <xf numFmtId="186" fontId="50" fillId="18" borderId="1" xfId="0" applyNumberFormat="1" applyFont="1" applyFill="1" applyBorder="1" applyAlignment="1" applyProtection="1">
      <alignment horizontal="center" vertical="center"/>
      <protection locked="0"/>
    </xf>
    <xf numFmtId="0" fontId="50" fillId="18" borderId="24" xfId="0" applyFont="1" applyFill="1" applyBorder="1" applyProtection="1">
      <alignment vertical="center"/>
      <protection locked="0"/>
    </xf>
    <xf numFmtId="0" fontId="47" fillId="18" borderId="23" xfId="0" applyFont="1" applyFill="1" applyBorder="1" applyAlignment="1" applyProtection="1">
      <alignment vertical="center"/>
      <protection locked="0"/>
    </xf>
    <xf numFmtId="177" fontId="56" fillId="18" borderId="1" xfId="1" applyNumberFormat="1" applyFont="1" applyFill="1" applyBorder="1" applyAlignment="1" applyProtection="1">
      <alignment horizont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28575</xdr:colOff>
      <xdr:row>22</xdr:row>
      <xdr:rowOff>171449</xdr:rowOff>
    </xdr:from>
    <xdr:to>
      <xdr:col>12</xdr:col>
      <xdr:colOff>390525</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0</xdr:col>
      <xdr:colOff>0</xdr:colOff>
      <xdr:row>69</xdr:row>
      <xdr:rowOff>38100</xdr:rowOff>
    </xdr:from>
    <xdr:to>
      <xdr:col>13</xdr:col>
      <xdr:colOff>231834</xdr:colOff>
      <xdr:row>114</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86815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1&#23457;-&#24352;&#24535;&#32753;20180717-17023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办公"/>
      <sheetName val="收益法-商业"/>
      <sheetName val="收益法 (元)"/>
      <sheetName val="收益法-车库"/>
      <sheetName val="收益法-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已售清单"/>
      <sheetName val="抵押物清单"/>
      <sheetName val="土地案例"/>
      <sheetName val="Sheet3"/>
      <sheetName val="Sheet4"/>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8">
          <cell r="L18">
            <v>31541.359999999997</v>
          </cell>
        </row>
        <row r="19">
          <cell r="G19">
            <v>119947</v>
          </cell>
          <cell r="L19">
            <v>17137.39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261813</v>
      </c>
    </row>
    <row r="21" spans="1:2" s="1594" customFormat="1">
      <c r="A21" s="1592" t="s">
        <v>1235</v>
      </c>
      <c r="B21" s="1593">
        <f ca="1">'预评函-2'!D7</f>
        <v>44055</v>
      </c>
    </row>
    <row r="22" spans="1:2" s="1594" customFormat="1">
      <c r="A22" s="1592" t="s">
        <v>1236</v>
      </c>
      <c r="B22" s="1593" t="str">
        <f ca="1">'预评函-2'!D6</f>
        <v>贰拾陆亿壹仟捌佰壹拾叁万元整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261813</v>
      </c>
    </row>
    <row r="31" spans="1:2" s="1594" customFormat="1">
      <c r="A31" s="1592" t="s">
        <v>1274</v>
      </c>
      <c r="B31" s="1593">
        <f ca="1">'预评函-2'!D15</f>
        <v>44055</v>
      </c>
    </row>
    <row r="32" spans="1:2" s="1594" customFormat="1">
      <c r="A32" s="1592" t="s">
        <v>1241</v>
      </c>
      <c r="B32" s="1593" t="str">
        <f ca="1">'预评函-2'!D14</f>
        <v>贰拾陆亿壹仟捌佰壹拾叁万元整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59428.920000000027</v>
      </c>
    </row>
    <row r="44" spans="1:2" s="1594" customFormat="1">
      <c r="A44" s="1592" t="s">
        <v>1273</v>
      </c>
      <c r="B44" s="1593" t="str">
        <f>'预评函-3'!C2</f>
        <v>(分摊)土地面积</v>
      </c>
    </row>
    <row r="45" spans="1:2" s="1594" customFormat="1">
      <c r="A45" s="1592" t="s">
        <v>1245</v>
      </c>
      <c r="B45" s="1593">
        <f>'预评函-3'!C4</f>
        <v>32289.56</v>
      </c>
    </row>
    <row r="46" spans="1:2" s="1594" customFormat="1">
      <c r="A46" s="1592" t="s">
        <v>1271</v>
      </c>
      <c r="B46" s="1593" t="str">
        <f>'预评函-3'!D2</f>
        <v>出让国有建设用地使用权价值</v>
      </c>
    </row>
    <row r="47" spans="1:2" s="1594" customFormat="1">
      <c r="A47" s="1592" t="s">
        <v>1246</v>
      </c>
      <c r="B47" s="1593">
        <f ca="1">'预评函-3'!D4</f>
        <v>226992</v>
      </c>
    </row>
    <row r="48" spans="1:2" s="1594" customFormat="1">
      <c r="A48" s="1592" t="s">
        <v>1247</v>
      </c>
      <c r="B48" s="1593">
        <f ca="1">'预评函-3'!E4</f>
        <v>38196</v>
      </c>
    </row>
    <row r="49" spans="1:2" s="1594" customFormat="1">
      <c r="A49" s="1592" t="s">
        <v>1248</v>
      </c>
      <c r="B49" s="1593" t="str">
        <f ca="1">'预评函-3'!D5</f>
        <v>贰拾贰亿陆仟玖佰玖拾贰万元整</v>
      </c>
    </row>
    <row r="50" spans="1:2" s="1594" customFormat="1">
      <c r="A50" s="1592" t="s">
        <v>1272</v>
      </c>
      <c r="B50" s="1593" t="str">
        <f>'预评函-3'!F2</f>
        <v>在建建筑物价值</v>
      </c>
    </row>
    <row r="51" spans="1:2" s="1594" customFormat="1">
      <c r="A51" s="1592" t="s">
        <v>1249</v>
      </c>
      <c r="B51" s="1593">
        <f ca="1">'预评函-3'!F4</f>
        <v>34821</v>
      </c>
    </row>
    <row r="52" spans="1:2" s="1594" customFormat="1">
      <c r="A52" s="1592" t="s">
        <v>1250</v>
      </c>
      <c r="B52" s="1593">
        <f ca="1">'预评函-3'!G4</f>
        <v>5859</v>
      </c>
    </row>
    <row r="53" spans="1:2" s="1594" customFormat="1">
      <c r="A53" s="1592" t="s">
        <v>1278</v>
      </c>
      <c r="B53" s="1593" t="str">
        <f ca="1">'预评函-3'!F5</f>
        <v>叁亿肆仟捌佰贰拾壹万元整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3265</v>
      </c>
      <c r="C17" s="2016"/>
    </row>
    <row r="18" spans="1:3">
      <c r="A18" s="2015" t="s">
        <v>1767</v>
      </c>
      <c r="B18" s="2015" t="s">
        <v>3267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49"/>
      <c r="B54" s="2023" t="s">
        <v>864</v>
      </c>
      <c r="C54" s="2020" t="s">
        <v>1281</v>
      </c>
    </row>
    <row r="55" spans="1:4">
      <c r="A55" s="3049"/>
      <c r="B55" s="2023" t="s">
        <v>865</v>
      </c>
      <c r="C55" s="2020" t="s">
        <v>1282</v>
      </c>
    </row>
    <row r="56" spans="1:4">
      <c r="A56" s="3049"/>
      <c r="B56" s="2023" t="s">
        <v>866</v>
      </c>
      <c r="C56" s="2020" t="s">
        <v>1286</v>
      </c>
    </row>
    <row r="57" spans="1:4">
      <c r="A57" s="3049"/>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50"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51"/>
      <c r="D1" s="3051"/>
      <c r="E1" s="3051"/>
      <c r="F1" s="3051"/>
      <c r="G1" s="3051"/>
      <c r="H1" s="3051"/>
      <c r="I1" s="305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3047</v>
      </c>
      <c r="C4" s="1039">
        <f ca="1">SUMIF(注册房地产估价师,B4,估价师及机构信息!B3:B24)</f>
        <v>1120140022</v>
      </c>
      <c r="D4" s="2040" t="s">
        <v>3048</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3050</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3049</v>
      </c>
      <c r="C7" s="2049"/>
      <c r="D7" s="2050"/>
      <c r="E7" s="2035"/>
      <c r="F7" s="2043"/>
      <c r="G7" s="2043"/>
      <c r="H7" s="2043"/>
      <c r="I7" s="2043"/>
      <c r="J7" s="2043"/>
      <c r="K7" s="2052"/>
      <c r="L7" s="2029"/>
      <c r="M7" s="2029"/>
      <c r="N7" s="2030"/>
      <c r="O7" s="2031"/>
      <c r="P7" s="2030"/>
      <c r="Q7" s="2030"/>
      <c r="R7" s="2030"/>
    </row>
    <row r="8" spans="1:19" ht="18" customHeight="1">
      <c r="A8" s="2048" t="s">
        <v>1784</v>
      </c>
      <c r="B8" s="2053" t="s">
        <v>3052</v>
      </c>
      <c r="C8" s="2054"/>
      <c r="D8" s="3053" t="s">
        <v>1785</v>
      </c>
      <c r="E8" s="2055" t="s">
        <v>3053</v>
      </c>
      <c r="F8" s="2056"/>
      <c r="G8" s="2027"/>
      <c r="H8" s="2027"/>
      <c r="I8" s="2027"/>
      <c r="J8" s="2043"/>
      <c r="K8" s="2044"/>
      <c r="L8" s="2029"/>
      <c r="M8" s="2029"/>
      <c r="N8" s="2030"/>
      <c r="O8" s="2031"/>
      <c r="P8" s="2030"/>
      <c r="Q8" s="2030"/>
      <c r="R8" s="2030"/>
    </row>
    <row r="9" spans="1:19" ht="18" customHeight="1" thickBot="1">
      <c r="A9" s="2041" t="s">
        <v>1786</v>
      </c>
      <c r="B9" s="2057" t="s">
        <v>3053</v>
      </c>
      <c r="C9" s="2058"/>
      <c r="D9" s="3054"/>
      <c r="E9" s="2057" t="s">
        <v>70</v>
      </c>
      <c r="F9" s="2059"/>
      <c r="G9" s="2060"/>
      <c r="H9" s="2060"/>
      <c r="I9" s="2060"/>
      <c r="J9" s="2043"/>
      <c r="K9" s="2052"/>
      <c r="L9" s="2029"/>
      <c r="M9" s="2029"/>
      <c r="N9" s="2030"/>
      <c r="O9" s="2031"/>
      <c r="P9" s="2030"/>
      <c r="Q9" s="2030"/>
      <c r="R9" s="2030"/>
    </row>
    <row r="10" spans="1:19" ht="18" customHeight="1" thickTop="1">
      <c r="A10" s="2061" t="s">
        <v>1787</v>
      </c>
      <c r="B10" s="2062" t="s">
        <v>3054</v>
      </c>
      <c r="C10" s="2063"/>
      <c r="D10" s="2047"/>
      <c r="E10" s="2064" t="s">
        <v>1788</v>
      </c>
      <c r="F10" s="2950" t="s">
        <v>3055</v>
      </c>
      <c r="G10" s="2065"/>
      <c r="H10" s="2066"/>
      <c r="I10" s="2047"/>
      <c r="J10" s="2043"/>
      <c r="K10" s="2052"/>
      <c r="L10" s="2029"/>
      <c r="M10" s="2029"/>
      <c r="N10" s="2030"/>
      <c r="O10" s="2031"/>
      <c r="P10" s="2030"/>
      <c r="Q10" s="2030"/>
      <c r="R10" s="2030"/>
    </row>
    <row r="11" spans="1:19" ht="18" customHeight="1">
      <c r="A11" s="2067" t="s">
        <v>1789</v>
      </c>
      <c r="B11" s="2068" t="s">
        <v>3056</v>
      </c>
      <c r="C11" s="2949" t="s">
        <v>3049</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3057</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60" t="s">
        <v>3058</v>
      </c>
      <c r="C16" s="3061"/>
      <c r="D16" s="3062"/>
      <c r="E16" s="2082" t="s">
        <v>1802</v>
      </c>
      <c r="F16" s="3063" t="s">
        <v>3331</v>
      </c>
      <c r="G16" s="3064"/>
      <c r="H16" s="3064"/>
      <c r="I16" s="3065"/>
      <c r="J16" s="2030"/>
      <c r="K16" s="2079"/>
      <c r="L16" s="2080"/>
      <c r="M16" s="2080"/>
      <c r="N16" s="2081"/>
      <c r="O16" s="2080"/>
      <c r="P16" s="2081"/>
      <c r="Q16" s="2030"/>
      <c r="R16" s="2030"/>
    </row>
    <row r="17" spans="1:22" ht="18" customHeight="1">
      <c r="A17" s="2083" t="s">
        <v>1803</v>
      </c>
      <c r="B17" s="2036" t="s">
        <v>1804</v>
      </c>
      <c r="C17" s="1056">
        <f>'数据-汇总表'!E3</f>
        <v>59428.920000000027</v>
      </c>
      <c r="D17" s="2084" t="s">
        <v>1805</v>
      </c>
      <c r="E17" s="3066" t="s">
        <v>3059</v>
      </c>
      <c r="F17" s="3067"/>
      <c r="G17" s="3067"/>
      <c r="H17" s="3067"/>
      <c r="I17" s="3068"/>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32289.56</v>
      </c>
      <c r="D18" s="2087" t="s">
        <v>1805</v>
      </c>
      <c r="E18" s="3069" t="s">
        <v>3060</v>
      </c>
      <c r="F18" s="3070"/>
      <c r="G18" s="3070"/>
      <c r="H18" s="3070"/>
      <c r="I18" s="3071"/>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3061</v>
      </c>
      <c r="D19" s="2089" t="s">
        <v>1810</v>
      </c>
      <c r="E19" s="2090" t="s">
        <v>3061</v>
      </c>
      <c r="F19" s="2091" t="str">
        <f>IF(AND(C19="是",E19="否"),"是否提供他项权证或相关说明","")</f>
        <v/>
      </c>
      <c r="G19" s="2092" t="s">
        <v>3062</v>
      </c>
      <c r="H19" s="2043"/>
      <c r="I19" s="2043"/>
      <c r="J19" s="2043"/>
      <c r="K19" s="2052"/>
      <c r="L19" s="2029"/>
      <c r="M19" s="2029"/>
      <c r="N19" s="2081"/>
      <c r="O19" s="2080"/>
      <c r="P19" s="2081"/>
      <c r="Q19" s="2030"/>
      <c r="R19" s="2030"/>
      <c r="S19" s="2030"/>
      <c r="T19" s="2030"/>
      <c r="U19" s="2030"/>
      <c r="V19" s="2030"/>
    </row>
    <row r="20" spans="1:22" ht="18" customHeight="1">
      <c r="A20" s="2093" t="s">
        <v>1811</v>
      </c>
      <c r="B20" s="3056" t="s">
        <v>1812</v>
      </c>
      <c r="C20" s="3057"/>
      <c r="D20" s="3058" t="s">
        <v>1813</v>
      </c>
      <c r="E20" s="3059"/>
      <c r="F20" s="2094" t="s">
        <v>1814</v>
      </c>
      <c r="G20" s="2043"/>
      <c r="H20" s="2043"/>
      <c r="I20" s="2043"/>
      <c r="J20" s="2043"/>
      <c r="K20" s="3055"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73" t="s">
        <v>1827</v>
      </c>
      <c r="B27" s="2061" t="s">
        <v>1828</v>
      </c>
      <c r="C27" s="2116" t="s">
        <v>3063</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73"/>
      <c r="B28" s="2036" t="s">
        <v>1829</v>
      </c>
      <c r="C28" s="2118" t="s">
        <v>3064</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73"/>
      <c r="B29" s="2036" t="s">
        <v>1830</v>
      </c>
      <c r="C29" s="2121" t="s">
        <v>3062</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74"/>
      <c r="B30" s="2036" t="s">
        <v>1831</v>
      </c>
      <c r="C30" s="3075"/>
      <c r="D30" s="3076"/>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77" t="s">
        <v>1832</v>
      </c>
      <c r="B31" s="2123" t="s">
        <v>3065</v>
      </c>
      <c r="C31" s="2124" t="str">
        <f>IF(B31="现房","成新及维护状况正常否",IF(B31="在建","工程状态是否正常",IF(B31="土地","是否闲置","-")))</f>
        <v>工程状态是否正常</v>
      </c>
      <c r="D31" s="2125"/>
      <c r="E31" s="2951" t="s">
        <v>3066</v>
      </c>
      <c r="F31" s="2043"/>
      <c r="G31" s="2043"/>
      <c r="H31" s="2043"/>
      <c r="I31" s="2043"/>
      <c r="J31" s="2043"/>
      <c r="K31" s="2051"/>
      <c r="L31" s="2029"/>
      <c r="M31" s="2029"/>
      <c r="N31" s="2030"/>
      <c r="O31" s="2031"/>
      <c r="P31" s="2030"/>
      <c r="Q31" s="2030"/>
      <c r="R31" s="2030"/>
      <c r="S31" s="2030"/>
      <c r="T31" s="2030"/>
      <c r="U31" s="2030"/>
      <c r="V31" s="2030"/>
    </row>
    <row r="32" spans="1:22" ht="18" customHeight="1">
      <c r="A32" s="3078"/>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78"/>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3068</v>
      </c>
      <c r="C34" s="2130" t="s">
        <v>3069</v>
      </c>
      <c r="D34" s="2130" t="s">
        <v>3070</v>
      </c>
      <c r="E34" s="2130" t="s">
        <v>3071</v>
      </c>
      <c r="F34" s="2130" t="s">
        <v>3072</v>
      </c>
      <c r="G34" s="2130" t="s">
        <v>3073</v>
      </c>
      <c r="H34" s="2130" t="s">
        <v>3074</v>
      </c>
      <c r="I34" s="2043"/>
      <c r="J34" s="2043"/>
      <c r="K34" s="1796">
        <f>COUNTIF(B34:H34,"——")</f>
        <v>0</v>
      </c>
      <c r="L34" s="2071" t="s">
        <v>1834</v>
      </c>
      <c r="M34" s="2071" t="s">
        <v>1835</v>
      </c>
      <c r="N34" s="2071" t="s">
        <v>1836</v>
      </c>
      <c r="O34" s="2071" t="s">
        <v>1837</v>
      </c>
      <c r="P34" s="2071" t="s">
        <v>1838</v>
      </c>
      <c r="Q34" s="2071" t="s">
        <v>1839</v>
      </c>
      <c r="R34" s="2071" t="s">
        <v>1840</v>
      </c>
      <c r="S34" s="3072" t="s">
        <v>1841</v>
      </c>
      <c r="T34" s="2131" t="str">
        <f>NUMBERSTRING(7-K34,1)&amp;"通"</f>
        <v>七通</v>
      </c>
      <c r="U34" s="2030"/>
      <c r="V34" s="2030"/>
    </row>
    <row r="35" spans="1:22" ht="18" customHeight="1">
      <c r="A35" s="2132"/>
      <c r="B35" s="3079" t="s">
        <v>1842</v>
      </c>
      <c r="C35" s="3079"/>
      <c r="D35" s="3079"/>
      <c r="E35" s="3079"/>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2"/>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3067</v>
      </c>
      <c r="C38" s="2139" t="s">
        <v>3067</v>
      </c>
      <c r="D38" s="2139" t="s">
        <v>3067</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59428.920000000027</v>
      </c>
      <c r="BA5" s="18">
        <f t="shared" si="1"/>
        <v>57566.510000000024</v>
      </c>
      <c r="BB5" s="18">
        <f t="shared" si="1"/>
        <v>28727.35</v>
      </c>
      <c r="BC5" s="18">
        <f t="shared" si="1"/>
        <v>110</v>
      </c>
      <c r="BD5" s="18">
        <f t="shared" si="1"/>
        <v>18009.650000000031</v>
      </c>
      <c r="BE5" s="18">
        <f t="shared" si="1"/>
        <v>0</v>
      </c>
      <c r="BF5" s="18">
        <f t="shared" si="1"/>
        <v>0</v>
      </c>
      <c r="BG5" s="18">
        <f t="shared" si="1"/>
        <v>10719.509999999998</v>
      </c>
      <c r="BH5" s="18">
        <f t="shared" si="1"/>
        <v>0</v>
      </c>
      <c r="BI5" s="18">
        <f t="shared" si="1"/>
        <v>0</v>
      </c>
      <c r="BJ5" s="18">
        <f t="shared" si="1"/>
        <v>0</v>
      </c>
      <c r="BK5" s="18">
        <f t="shared" si="1"/>
        <v>0</v>
      </c>
      <c r="BL5" s="18">
        <f t="shared" si="1"/>
        <v>1862.4100000000003</v>
      </c>
      <c r="BM5" s="18">
        <f t="shared" si="1"/>
        <v>0</v>
      </c>
      <c r="BN5" s="18">
        <f t="shared" si="1"/>
        <v>0</v>
      </c>
      <c r="BO5" s="18">
        <f t="shared" si="1"/>
        <v>0</v>
      </c>
      <c r="BP5" s="18">
        <f t="shared" si="1"/>
        <v>0</v>
      </c>
      <c r="BQ5" s="18">
        <f t="shared" si="1"/>
        <v>300</v>
      </c>
      <c r="BR5" s="18">
        <f t="shared" si="1"/>
        <v>1562.4100000000003</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32289.56</v>
      </c>
      <c r="AZ6" s="16" t="s">
        <v>3</v>
      </c>
      <c r="BA6" s="16">
        <f>ROUND($AY$6*BA5/$AZ$5,2)</f>
        <v>31277.66</v>
      </c>
      <c r="BB6" s="16">
        <f>ROUND($AY$6*BB5/$AZ$5,2)</f>
        <v>15608.45</v>
      </c>
      <c r="BC6" s="16">
        <f t="shared" ref="BC6:BH6" si="4">ROUND($AY$6*BC5/$AZ$5,2)</f>
        <v>59.77</v>
      </c>
      <c r="BD6" s="16">
        <f t="shared" si="4"/>
        <v>9785.2000000000007</v>
      </c>
      <c r="BE6" s="16">
        <f t="shared" si="4"/>
        <v>0</v>
      </c>
      <c r="BF6" s="16">
        <f t="shared" si="4"/>
        <v>0</v>
      </c>
      <c r="BG6" s="16">
        <f t="shared" si="4"/>
        <v>5824.24</v>
      </c>
      <c r="BH6" s="16">
        <f t="shared" si="4"/>
        <v>0</v>
      </c>
      <c r="BI6" s="16">
        <f t="shared" ref="BI6:BT6" si="5">ROUND($AY$6*BI5/$AZ$5,2)</f>
        <v>0</v>
      </c>
      <c r="BJ6" s="16">
        <f t="shared" si="5"/>
        <v>0</v>
      </c>
      <c r="BK6" s="16">
        <f t="shared" si="5"/>
        <v>0</v>
      </c>
      <c r="BL6" s="16">
        <f t="shared" si="5"/>
        <v>1011.9</v>
      </c>
      <c r="BM6" s="16">
        <f t="shared" si="5"/>
        <v>0</v>
      </c>
      <c r="BN6" s="16">
        <f t="shared" si="5"/>
        <v>0</v>
      </c>
      <c r="BO6" s="16">
        <f t="shared" si="5"/>
        <v>0</v>
      </c>
      <c r="BP6" s="16">
        <f t="shared" si="5"/>
        <v>0</v>
      </c>
      <c r="BQ6" s="16">
        <f t="shared" si="5"/>
        <v>163</v>
      </c>
      <c r="BR6" s="16">
        <f t="shared" si="5"/>
        <v>848.91</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3236</v>
      </c>
      <c r="J9" s="983"/>
      <c r="K9" s="2188" t="s">
        <v>3236</v>
      </c>
      <c r="L9" s="983"/>
      <c r="M9" s="2188" t="s">
        <v>3237</v>
      </c>
      <c r="N9" s="983"/>
      <c r="O9" s="2188" t="s">
        <v>3237</v>
      </c>
      <c r="P9" s="983"/>
      <c r="Q9" s="2188" t="s">
        <v>3236</v>
      </c>
      <c r="R9" s="983"/>
      <c r="S9" s="2188" t="s">
        <v>3237</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3086</v>
      </c>
      <c r="J10" s="983"/>
      <c r="K10" s="2194" t="s">
        <v>1377</v>
      </c>
      <c r="L10" s="983"/>
      <c r="M10" s="2194" t="s">
        <v>3087</v>
      </c>
      <c r="N10" s="983"/>
      <c r="O10" s="2194" t="s">
        <v>3088</v>
      </c>
      <c r="P10" s="983"/>
      <c r="Q10" s="2194" t="s">
        <v>27</v>
      </c>
      <c r="R10" s="983"/>
      <c r="S10" s="2194" t="s">
        <v>3086</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3238</v>
      </c>
      <c r="D13" s="2210" t="s">
        <v>3061</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32289.56</v>
      </c>
      <c r="AZ13" s="16">
        <f>BA13+BL13</f>
        <v>59428.920000000027</v>
      </c>
      <c r="BA13" s="16">
        <f>SUM(BB13:BK13)</f>
        <v>57566.510000000024</v>
      </c>
      <c r="BB13" s="16">
        <f>IF($D13="是",I13-J13,0)</f>
        <v>28727.35</v>
      </c>
      <c r="BC13" s="16">
        <f>IF($D13="是",K13-L13,0)</f>
        <v>110</v>
      </c>
      <c r="BD13" s="16">
        <f>IF($D13="是",M13-N13,0)</f>
        <v>18009.650000000031</v>
      </c>
      <c r="BE13" s="16">
        <f>IF($D13="是",O13-P13,0)</f>
        <v>0</v>
      </c>
      <c r="BF13" s="16">
        <f>IF($D13="是",Q13-R13,0)</f>
        <v>0</v>
      </c>
      <c r="BG13" s="16">
        <f>IF($D13="是",S13-T13,0)</f>
        <v>10719.509999999998</v>
      </c>
      <c r="BH13" s="16">
        <f>IF($D13="是",U13-V13,0)</f>
        <v>0</v>
      </c>
      <c r="BI13" s="16">
        <f>IF($D13="是",W13-X13,0)</f>
        <v>0</v>
      </c>
      <c r="BJ13" s="16">
        <f>IF($D13="是",Y13-Z13,0)</f>
        <v>0</v>
      </c>
      <c r="BK13" s="16">
        <f>IF($D13="是",AA13-AB13,0)</f>
        <v>0</v>
      </c>
      <c r="BL13" s="16">
        <f>SUM(BM13:BT13)</f>
        <v>1862.4100000000003</v>
      </c>
      <c r="BM13" s="16">
        <f>IF($D13="是",AD13-AE13,0)</f>
        <v>0</v>
      </c>
      <c r="BN13" s="16">
        <f>IF($D13="是",AF13-AG13,0)</f>
        <v>0</v>
      </c>
      <c r="BO13" s="16">
        <f>IF($D13="是",AH13-AI13,0)</f>
        <v>0</v>
      </c>
      <c r="BP13" s="16">
        <f>IF($D13="是",AJ13-AK13,0)</f>
        <v>0</v>
      </c>
      <c r="BQ13" s="16">
        <f>IF($D13="是",AL13-AM13,0)</f>
        <v>300</v>
      </c>
      <c r="BR13" s="16">
        <f>IF($D13="是",AN13-AO13,0)</f>
        <v>1562.4100000000003</v>
      </c>
      <c r="BS13" s="16">
        <f>IF($D13="是",AP13-AQ13,0)</f>
        <v>0</v>
      </c>
      <c r="BT13" s="22">
        <f>IF($D13="是",AR13-AS13,0)</f>
        <v>0</v>
      </c>
    </row>
    <row r="14" spans="1:72" s="2164" customFormat="1" ht="12.75">
      <c r="A14" s="1274"/>
      <c r="B14" s="1274"/>
      <c r="C14" s="2974" t="s">
        <v>3239</v>
      </c>
      <c r="D14" s="2210" t="s">
        <v>3062</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974" t="s">
        <v>3369</v>
      </c>
      <c r="D15" s="2210" t="s">
        <v>3062</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1" sqref="I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91" t="s">
        <v>1938</v>
      </c>
      <c r="B2" s="3091"/>
      <c r="C2" s="3091"/>
      <c r="D2" s="969" t="s">
        <v>1914</v>
      </c>
      <c r="E2" s="2224" t="s">
        <v>1915</v>
      </c>
      <c r="F2" s="1394"/>
      <c r="G2" s="2225"/>
      <c r="H2" s="2226"/>
      <c r="I2" s="2227" t="s">
        <v>1939</v>
      </c>
      <c r="J2" s="1394"/>
      <c r="K2" s="1394"/>
      <c r="L2" s="1394"/>
      <c r="M2" s="1394"/>
      <c r="N2" s="1429"/>
      <c r="O2" s="1394"/>
      <c r="P2" s="1394"/>
    </row>
    <row r="3" spans="1:16" ht="15.75" thickBot="1">
      <c r="A3" s="3092" t="s">
        <v>1912</v>
      </c>
      <c r="B3" s="3092"/>
      <c r="C3" s="3092"/>
      <c r="D3" s="46">
        <f>'数据-基础表'!AY6</f>
        <v>32289.56</v>
      </c>
      <c r="E3" s="46">
        <f>'数据-基础表'!AZ5</f>
        <v>59428.920000000027</v>
      </c>
      <c r="F3" s="1394"/>
      <c r="G3" s="1401"/>
      <c r="H3" s="1249" t="s">
        <v>1913</v>
      </c>
      <c r="I3" s="55">
        <f>ROUND('数据-基础表'!B3/'数据-基础表'!A3,2)</f>
        <v>1.84</v>
      </c>
      <c r="J3" s="1394"/>
      <c r="K3" s="1394"/>
      <c r="L3" s="1394"/>
      <c r="M3" s="1394"/>
      <c r="N3" s="1429"/>
      <c r="O3" s="1394"/>
      <c r="P3" s="1394"/>
    </row>
    <row r="4" spans="1:16" ht="15">
      <c r="A4" s="3093"/>
      <c r="B4" s="3094"/>
      <c r="C4" s="3095"/>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096" t="s">
        <v>1917</v>
      </c>
      <c r="C5" s="3096"/>
      <c r="D5" s="48">
        <f>ROUND($D$3*E5/$E$3,2)</f>
        <v>21432.69</v>
      </c>
      <c r="E5" s="49">
        <f>SUMIF('数据-基础表'!$11:$11,"住宅",'数据-基础表'!$5:$5)</f>
        <v>39446.86</v>
      </c>
      <c r="F5" s="1394"/>
      <c r="G5" s="1401"/>
      <c r="H5" s="1249" t="s">
        <v>1913</v>
      </c>
      <c r="I5" s="55">
        <f>ROUND(E31/D31,2)</f>
        <v>1.84</v>
      </c>
      <c r="J5" s="1394"/>
      <c r="K5" s="1394"/>
      <c r="L5" s="1394"/>
      <c r="M5" s="1394"/>
      <c r="N5" s="1394"/>
      <c r="O5" s="1394"/>
      <c r="P5" s="1394"/>
    </row>
    <row r="6" spans="1:16" ht="15" thickBot="1">
      <c r="A6" s="2231"/>
      <c r="B6" s="3096" t="s">
        <v>1918</v>
      </c>
      <c r="C6" s="3096"/>
      <c r="D6" s="48">
        <f>ROUND($D$3*E6/$E$3,2)</f>
        <v>10856.87</v>
      </c>
      <c r="E6" s="49">
        <f>E3-E5</f>
        <v>19982.060000000027</v>
      </c>
      <c r="F6" s="1394"/>
      <c r="G6" s="2232" t="s">
        <v>1919</v>
      </c>
      <c r="H6" s="1401" t="s">
        <v>1920</v>
      </c>
      <c r="I6" s="941">
        <f>ROUND(F31/D31,2)</f>
        <v>0.9</v>
      </c>
      <c r="J6" s="1394"/>
      <c r="K6" s="1394"/>
      <c r="L6" s="1394"/>
      <c r="M6" s="1394"/>
      <c r="N6" s="1394"/>
      <c r="O6" s="1394"/>
      <c r="P6" s="1394"/>
    </row>
    <row r="7" spans="1:16" ht="15">
      <c r="A7" s="3088"/>
      <c r="B7" s="3089"/>
      <c r="C7" s="3090"/>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15668.22</v>
      </c>
      <c r="E8" s="51">
        <f>SUMIF('数据-基础表'!BB10:BK10,"地上",'数据-基础表'!BB5:BK5)</f>
        <v>28837.35</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9785.2000000000007</v>
      </c>
      <c r="E13" s="51">
        <f>SUMPRODUCT(('数据-基础表'!BB10:BK10="地下")*('数据-基础表'!BB11:BK11="车库")*('数据-基础表'!BB5:BK5))</f>
        <v>18009.650000000031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25453.42</v>
      </c>
      <c r="E16" s="53">
        <f>SUM(E8:E15)</f>
        <v>46847.000000000029</v>
      </c>
      <c r="F16" s="1394"/>
      <c r="G16" s="2234"/>
      <c r="H16" s="2237" t="s">
        <v>1942</v>
      </c>
      <c r="I16" s="2238"/>
      <c r="J16" s="1394"/>
      <c r="K16" s="3085" t="s">
        <v>1942</v>
      </c>
      <c r="L16" s="3086"/>
      <c r="M16" s="3086"/>
      <c r="N16" s="3086"/>
      <c r="O16" s="3086"/>
      <c r="P16" s="3087"/>
    </row>
    <row r="17" spans="1:19" ht="15">
      <c r="A17" s="2239" t="s">
        <v>1943</v>
      </c>
      <c r="B17" s="2240" t="s">
        <v>1944</v>
      </c>
      <c r="C17" s="2241" t="s">
        <v>1945</v>
      </c>
      <c r="D17" s="2242" t="s">
        <v>1933</v>
      </c>
      <c r="E17" s="2243" t="s">
        <v>1934</v>
      </c>
      <c r="F17" s="2244"/>
      <c r="G17" s="2245"/>
      <c r="H17" s="2246" t="s">
        <v>1946</v>
      </c>
      <c r="I17" s="2247" t="s">
        <v>1931</v>
      </c>
      <c r="J17" s="1394"/>
      <c r="K17" s="3082" t="s">
        <v>1947</v>
      </c>
      <c r="L17" s="3083"/>
      <c r="M17" s="3084"/>
      <c r="N17" s="3082" t="s">
        <v>1948</v>
      </c>
      <c r="O17" s="3083"/>
      <c r="P17" s="3084"/>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84" t="s">
        <v>3240</v>
      </c>
      <c r="D19" s="48">
        <f>ROUND($D$3*E19/$E$3,2)</f>
        <v>21432.69</v>
      </c>
      <c r="E19" s="56">
        <f t="shared" ref="E19:E26" si="1">SUM(F19:G19)</f>
        <v>39446.86</v>
      </c>
      <c r="F19" s="57">
        <f>'数据-基础表'!I13</f>
        <v>28727.35</v>
      </c>
      <c r="G19" s="3001">
        <f>'数据-基础表'!S13</f>
        <v>10719.509999999998</v>
      </c>
      <c r="H19" s="723">
        <f>ROUND($D$3*I19/$E$3,2)</f>
        <v>693.4</v>
      </c>
      <c r="I19" s="51">
        <f t="shared" ref="I19:I26" si="2">IF($I$17="自定义",P19,M19)</f>
        <v>1276.2</v>
      </c>
      <c r="J19" s="1394"/>
      <c r="K19" s="1393">
        <f t="shared" ref="K19:K26" si="3">ROUND(E$28*E19/E$27,2)</f>
        <v>1276.2</v>
      </c>
      <c r="L19" s="1249">
        <f t="shared" ref="L19:L26" si="4">ROUND(IF(COUNTIF(C19,"*住宅*")&gt;0,E$29*E19/E$32,0),2)</f>
        <v>0</v>
      </c>
      <c r="M19" s="1405">
        <f>K19+L19</f>
        <v>1276.2</v>
      </c>
      <c r="N19" s="2257"/>
      <c r="O19" s="2258"/>
      <c r="P19" s="1405">
        <f>N19+O19</f>
        <v>0</v>
      </c>
      <c r="R19" s="1249">
        <f t="shared" ref="R19:S26" si="5">D19+H19</f>
        <v>22126.09</v>
      </c>
      <c r="S19" s="1250">
        <f t="shared" si="5"/>
        <v>40723.06</v>
      </c>
    </row>
    <row r="20" spans="1:19">
      <c r="A20" s="2259"/>
      <c r="B20" s="50" t="s">
        <v>1960</v>
      </c>
      <c r="C20" s="2984" t="s">
        <v>3241</v>
      </c>
      <c r="D20" s="48">
        <f t="shared" ref="D20:D26" si="6">ROUND($D$3*E20/$E$3,2)</f>
        <v>59.77</v>
      </c>
      <c r="E20" s="56">
        <f t="shared" si="1"/>
        <v>110</v>
      </c>
      <c r="F20" s="57">
        <f>'数据-基础表'!K13</f>
        <v>110</v>
      </c>
      <c r="G20" s="58"/>
      <c r="H20" s="723">
        <f t="shared" ref="H20:H26" si="7">ROUND($D$3*I20/$E$3,2)</f>
        <v>1.93</v>
      </c>
      <c r="I20" s="51">
        <f t="shared" si="2"/>
        <v>3.56</v>
      </c>
      <c r="J20" s="1394"/>
      <c r="K20" s="1393">
        <f t="shared" si="3"/>
        <v>3.56</v>
      </c>
      <c r="L20" s="1249">
        <f t="shared" si="4"/>
        <v>0</v>
      </c>
      <c r="M20" s="1405">
        <f t="shared" ref="M20:M26" si="8">K20+L20</f>
        <v>3.56</v>
      </c>
      <c r="N20" s="2257"/>
      <c r="O20" s="2258"/>
      <c r="P20" s="1405">
        <f t="shared" ref="P20:P26" si="9">N20+O20</f>
        <v>0</v>
      </c>
      <c r="R20" s="1249">
        <f t="shared" si="5"/>
        <v>61.7</v>
      </c>
      <c r="S20" s="1250">
        <f t="shared" si="5"/>
        <v>113.56</v>
      </c>
    </row>
    <row r="21" spans="1:19">
      <c r="A21" s="2259"/>
      <c r="B21" s="50" t="s">
        <v>1960</v>
      </c>
      <c r="C21" s="2984" t="s">
        <v>3242</v>
      </c>
      <c r="D21" s="48">
        <f t="shared" si="6"/>
        <v>9785.2000000000007</v>
      </c>
      <c r="E21" s="56">
        <f t="shared" si="1"/>
        <v>18009.650000000031</v>
      </c>
      <c r="F21" s="57"/>
      <c r="G21" s="58">
        <f>'数据-基础表'!M13</f>
        <v>18009.650000000031</v>
      </c>
      <c r="H21" s="723">
        <f t="shared" si="7"/>
        <v>316.57</v>
      </c>
      <c r="I21" s="51">
        <f t="shared" si="2"/>
        <v>582.65</v>
      </c>
      <c r="J21" s="1394"/>
      <c r="K21" s="1393">
        <f t="shared" si="3"/>
        <v>582.65</v>
      </c>
      <c r="L21" s="1249">
        <f t="shared" si="4"/>
        <v>0</v>
      </c>
      <c r="M21" s="1405">
        <f t="shared" si="8"/>
        <v>582.65</v>
      </c>
      <c r="N21" s="2257"/>
      <c r="O21" s="2258"/>
      <c r="P21" s="1405">
        <f t="shared" si="9"/>
        <v>0</v>
      </c>
      <c r="R21" s="1249">
        <f t="shared" si="5"/>
        <v>10101.77</v>
      </c>
      <c r="S21" s="1250">
        <f t="shared" si="5"/>
        <v>18592.300000000032</v>
      </c>
    </row>
    <row r="22" spans="1:19">
      <c r="A22" s="2259"/>
      <c r="B22" s="50" t="s">
        <v>1960</v>
      </c>
      <c r="C22" s="2985"/>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1961</v>
      </c>
      <c r="D27" s="1395">
        <f>SUM(D19:D26)</f>
        <v>31277.66</v>
      </c>
      <c r="E27" s="1396">
        <f>IF(SUM(E19:E26)='数据-基础表'!BA5,SUM(E19:E26),IF(F27="地上面积有误","面积有误","地下面积有误"))</f>
        <v>57566.510000000031</v>
      </c>
      <c r="F27" s="1395">
        <f>IF(SUM(F19:F26)=E8,SUM(F19:F26),"地上面积有误")</f>
        <v>28837.35</v>
      </c>
      <c r="G27" s="1397">
        <f>SUM(G19:G26)</f>
        <v>28729.160000000029</v>
      </c>
      <c r="H27" s="1398">
        <f>SUM(H19:H26)</f>
        <v>1011.8999999999999</v>
      </c>
      <c r="I27" s="1399">
        <f>SUM(I19:I26)</f>
        <v>1862.4099999999999</v>
      </c>
      <c r="J27" s="1394"/>
      <c r="K27" s="1402">
        <f t="shared" ref="K27:P27" si="10">SUM(K19:K26)</f>
        <v>1862.4099999999999</v>
      </c>
      <c r="L27" s="1403">
        <f t="shared" si="10"/>
        <v>0</v>
      </c>
      <c r="M27" s="1406">
        <f t="shared" si="10"/>
        <v>1862.4099999999999</v>
      </c>
      <c r="N27" s="1402">
        <f t="shared" si="10"/>
        <v>0</v>
      </c>
      <c r="O27" s="1403">
        <f t="shared" si="10"/>
        <v>0</v>
      </c>
      <c r="P27" s="1404">
        <f t="shared" si="10"/>
        <v>0</v>
      </c>
      <c r="R27" s="1251">
        <f>IF(SUM(R19:R26)=$D$3,SUM(R19:R26),SUM(R19:R26)&amp;"误差"&amp;ROUND(SUM(R19:R26)-$D$3,2))</f>
        <v>32289.56</v>
      </c>
      <c r="S27" s="1249">
        <f>IF(SUM(S19:S26)=$E$3,SUM(S19:S26),SUM(S19:S26)&amp;"误差"&amp;ROUND(SUM(S19:S26)-E3,2))</f>
        <v>59428.920000000027</v>
      </c>
    </row>
    <row r="28" spans="1:19">
      <c r="A28" s="2259"/>
      <c r="B28" s="50" t="s">
        <v>1962</v>
      </c>
      <c r="C28" s="1261" t="s">
        <v>1963</v>
      </c>
      <c r="D28" s="48">
        <f>ROUND($D$3*E28/$E$3,2)</f>
        <v>1011.9</v>
      </c>
      <c r="E28" s="56">
        <f>SUM(F28:G28)</f>
        <v>1862.4100000000003</v>
      </c>
      <c r="F28" s="64">
        <f>'数据-基础表'!BQ5+'数据-基础表'!BS5</f>
        <v>300</v>
      </c>
      <c r="G28" s="65">
        <f>'数据-基础表'!BR5+'数据-基础表'!BT5</f>
        <v>1562.4100000000003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1011.9</v>
      </c>
      <c r="E30" s="1395">
        <f>SUM(E28:E29)</f>
        <v>1862.4100000000003</v>
      </c>
      <c r="F30" s="1395">
        <f>SUM(F28:F29)</f>
        <v>300</v>
      </c>
      <c r="G30" s="1397">
        <f>SUM(G28:G29)</f>
        <v>1562.4100000000003</v>
      </c>
      <c r="H30" s="1394"/>
      <c r="I30" s="1394"/>
      <c r="J30" s="1394"/>
      <c r="K30" s="1394"/>
      <c r="L30" s="1394"/>
      <c r="M30" s="1394"/>
      <c r="N30" s="1394"/>
      <c r="O30" s="1394"/>
      <c r="P30" s="1394"/>
    </row>
    <row r="31" spans="1:19" ht="15.75" thickBot="1">
      <c r="A31" s="2265"/>
      <c r="B31" s="2266"/>
      <c r="C31" s="1009" t="s">
        <v>1965</v>
      </c>
      <c r="D31" s="728">
        <f>D27+D30</f>
        <v>32289.56</v>
      </c>
      <c r="E31" s="728">
        <f>E27+E30</f>
        <v>59428.920000000035</v>
      </c>
      <c r="F31" s="729">
        <f>F27+F30</f>
        <v>29137.35</v>
      </c>
      <c r="G31" s="730">
        <f>G27+G30</f>
        <v>30291.570000000029</v>
      </c>
      <c r="H31" s="1394"/>
      <c r="I31" s="1394"/>
      <c r="J31" s="1394"/>
      <c r="K31" s="1394"/>
      <c r="L31" s="1394"/>
      <c r="M31" s="1394"/>
      <c r="N31" s="1394"/>
      <c r="O31" s="1394"/>
      <c r="P31" s="1394"/>
    </row>
    <row r="32" spans="1:19">
      <c r="A32" s="2230"/>
      <c r="B32" s="2230" t="s">
        <v>1966</v>
      </c>
      <c r="C32" s="2230"/>
      <c r="D32" s="2230"/>
      <c r="E32" s="1276">
        <f>SUMIF(C19:C26,"*住宅*",E19:E26)</f>
        <v>39446.86</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29" sqref="Z29:Z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住宅</v>
      </c>
      <c r="B6" s="2303" t="str">
        <f>IF(A6=0,"","经营性")</f>
        <v>经营性</v>
      </c>
      <c r="C6" s="2304" t="s">
        <v>3086</v>
      </c>
      <c r="D6" s="1053">
        <f>SUMIF(项目基本情况!D$12:I$12,C6,项目基本情况!D$14:I$14)</f>
        <v>70</v>
      </c>
      <c r="E6" s="1050">
        <f>IF(B6="","",SUMIF(项目基本情况!D$12:I$12,C6,项目基本情况!D$13:I$13))</f>
        <v>67152</v>
      </c>
      <c r="F6" s="72">
        <f>SUMIF(项目基本情况!D$12:I$12,C6,项目基本情况!D$15:I$15)</f>
        <v>65.36</v>
      </c>
      <c r="G6" s="73">
        <f t="shared" ref="G6:G13" si="0">IF(ISERROR(ROUND(POWER(1+H6,D6-F6)*(POWER(1+H6,F6)-1)/(POWER(1+H6,D6)-1),3)),0,ROUND(POWER(1+H6,D6-F6)*(POWER(1+H6,F6)-1)/(POWER(1+H6,D6)-1),3))</f>
        <v>0.98899999999999999</v>
      </c>
      <c r="H6" s="801">
        <v>4.4999999999999998E-2</v>
      </c>
      <c r="I6" s="801">
        <v>0.05</v>
      </c>
      <c r="J6" s="74">
        <v>8.5000000000000006E-2</v>
      </c>
      <c r="K6" s="1253">
        <f>SUMIF('数据-汇总表'!C$19:C$33,A6,'数据-汇总表'!E$19:E$33)</f>
        <v>39446.86</v>
      </c>
      <c r="L6" s="802">
        <v>4200</v>
      </c>
      <c r="M6" s="75">
        <f t="shared" ref="M6:M14" si="1">ROUND(K6*L6/10000,0)</f>
        <v>16568</v>
      </c>
      <c r="N6" s="800">
        <v>0.9</v>
      </c>
      <c r="O6" s="75">
        <f>IF($N$5="成新度","——",ROUND(M6*N6,0))</f>
        <v>14911</v>
      </c>
      <c r="P6" s="76">
        <f>IF($N$5="成新度","——",M6-O6)</f>
        <v>1657</v>
      </c>
      <c r="Q6" s="803">
        <v>0.25</v>
      </c>
      <c r="R6" s="77">
        <f ca="1">SUMIF('数据-汇总表'!C$19:C$33,A6,'数据-汇总表'!R$19:R$27)</f>
        <v>22126.09</v>
      </c>
      <c r="S6" s="54">
        <f>IF('数据-汇总表'!$I$17="按面积比例",SUMIF('数据-汇总表'!C$19:C$33,A6,'数据-汇总表'!K$19:K$33),SUMIF('数据-汇总表'!C$19:C$33,A6,'数据-汇总表'!N$19:N$33))</f>
        <v>1276.2</v>
      </c>
      <c r="T6" s="1445">
        <f>ROUND($L$14*S6/10000,0)</f>
        <v>281</v>
      </c>
      <c r="U6" s="78"/>
      <c r="V6" s="79"/>
      <c r="W6" s="79"/>
      <c r="X6" s="1263"/>
      <c r="Y6" s="80"/>
      <c r="Z6" s="81"/>
      <c r="AA6" s="74"/>
      <c r="AB6" s="74"/>
      <c r="AC6" s="1263"/>
      <c r="AD6" s="82"/>
      <c r="AE6" s="1264">
        <f ca="1">IF(AN6="",0,SUMIF(INDIRECT("'"&amp;AN6&amp;"'"&amp;"!E:E"),$AE$5,INDIRECT("'"&amp;AN6&amp;"'"&amp;"!F:F")))</f>
        <v>0</v>
      </c>
      <c r="AF6" s="1805"/>
      <c r="AG6" s="147">
        <f>IF(AF6="",0,AE6-AF6)</f>
        <v>0</v>
      </c>
      <c r="AH6" s="83"/>
      <c r="AI6" s="85"/>
      <c r="AJ6" s="86"/>
      <c r="AK6" s="87"/>
      <c r="AL6" s="88"/>
      <c r="AM6" s="89"/>
      <c r="AN6" s="2305"/>
      <c r="AO6" s="55" t="e">
        <f ca="1">SUMIF(INDIRECT("'"&amp;AN6&amp;"'"&amp;"!A:A"),"总价",INDIRECT("'"&amp;AN6&amp;"'"&amp;"!B:B"))</f>
        <v>#REF!</v>
      </c>
      <c r="AP6" s="2306">
        <f>IF(C6="住宅",K6*L6,0)</f>
        <v>165676812</v>
      </c>
      <c r="AQ6" s="55">
        <f>ROUND($L$14*$N$14*S6/10000,0)</f>
        <v>253</v>
      </c>
      <c r="AR6" s="55">
        <f>ROUND($L$14*(1-$N$14)*S6/10000,0)</f>
        <v>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2">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si="0"/>
        <v>0.96199999999999997</v>
      </c>
      <c r="H7" s="801">
        <v>5.5E-2</v>
      </c>
      <c r="I7" s="801">
        <v>0.06</v>
      </c>
      <c r="J7" s="74">
        <v>8.5000000000000006E-2</v>
      </c>
      <c r="K7" s="1253">
        <f>SUMIF('数据-汇总表'!C$19:C$33,A7,'数据-汇总表'!E$19:E$33)</f>
        <v>110</v>
      </c>
      <c r="L7" s="802">
        <v>3000</v>
      </c>
      <c r="M7" s="75">
        <f t="shared" si="1"/>
        <v>33</v>
      </c>
      <c r="N7" s="800">
        <v>0.9</v>
      </c>
      <c r="O7" s="75">
        <f t="shared" ref="O7:O14" si="3">IF($N$5="成新度","——",ROUND(M7*N7,0))</f>
        <v>30</v>
      </c>
      <c r="P7" s="76">
        <f t="shared" ref="P7:P14" si="4">IF($N$5="成新度","——",M7-O7)</f>
        <v>3</v>
      </c>
      <c r="Q7" s="803">
        <v>0.2</v>
      </c>
      <c r="R7" s="77">
        <f ca="1">SUMIF('数据-汇总表'!C$19:C$33,A7,'数据-汇总表'!R$19:R$27)</f>
        <v>61.7</v>
      </c>
      <c r="S7" s="54">
        <f>IF('数据-汇总表'!$I$17="按面积比例",SUMIF('数据-汇总表'!C$19:C$33,A7,'数据-汇总表'!K$19:K$33),SUMIF('数据-汇总表'!C$19:C$33,A7,'数据-汇总表'!N$19:N$33))</f>
        <v>3.56</v>
      </c>
      <c r="T7" s="1445">
        <f t="shared" ref="T7:T13" si="5">ROUND($L$14*S7/10000,0)</f>
        <v>1</v>
      </c>
      <c r="U7" s="3002">
        <v>6.5</v>
      </c>
      <c r="V7" s="79">
        <v>0</v>
      </c>
      <c r="W7" s="79">
        <v>0.1</v>
      </c>
      <c r="X7" s="1263"/>
      <c r="Y7" s="80">
        <v>1</v>
      </c>
      <c r="Z7" s="81"/>
      <c r="AA7" s="74"/>
      <c r="AB7" s="74"/>
      <c r="AC7" s="1263"/>
      <c r="AD7" s="82"/>
      <c r="AE7" s="1264">
        <f t="shared" ref="AE7:AE13" ca="1" si="6">IF(AN7="",0,SUMIF(INDIRECT("'"&amp;AN7&amp;"'"&amp;"!E:E"),$AE$5,INDIRECT("'"&amp;AN7&amp;"'"&amp;"!F:F")))</f>
        <v>35.15</v>
      </c>
      <c r="AF7" s="1805"/>
      <c r="AG7" s="147">
        <f t="shared" ref="AG7:AG13" si="7">IF(AF7="",0,AE7-AF7)</f>
        <v>0</v>
      </c>
      <c r="AH7" s="83"/>
      <c r="AI7" s="85">
        <v>365</v>
      </c>
      <c r="AJ7" s="86"/>
      <c r="AK7" s="87">
        <v>1.4999999999999999E-2</v>
      </c>
      <c r="AL7" s="88">
        <v>2E-3</v>
      </c>
      <c r="AM7" s="89">
        <v>0.02</v>
      </c>
      <c r="AN7" s="2305" t="s">
        <v>3389</v>
      </c>
      <c r="AO7" s="55">
        <f t="shared" ref="AO7:AO13" ca="1" si="8">SUMIF(INDIRECT("'"&amp;AN7&amp;"'"&amp;"!A:A"),"总价",INDIRECT("'"&amp;AN7&amp;"'"&amp;"!B:B"))</f>
        <v>263</v>
      </c>
      <c r="AP7" s="2306">
        <f t="shared" ref="AP7:AP13" si="9">IF(C7="住宅",K7*L7,0)</f>
        <v>0</v>
      </c>
      <c r="AQ7" s="55">
        <f t="shared" ref="AQ7:AQ13" si="10">ROUND($L$14*$N$14*S7/10000,0)</f>
        <v>1</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2"/>
        <v>经营性</v>
      </c>
      <c r="C8" s="2304" t="s">
        <v>3087</v>
      </c>
      <c r="D8" s="1053">
        <f>SUMIF(项目基本情况!D$12:I$12,C8,项目基本情况!D$14:I$14)</f>
        <v>50</v>
      </c>
      <c r="E8" s="1050">
        <f>IF(B8="","",SUMIF(项目基本情况!D$12:I$12,C8,项目基本情况!D$13:I$13))</f>
        <v>59847</v>
      </c>
      <c r="F8" s="72">
        <f>SUMIF(项目基本情况!D$12:I$12,C8,项目基本情况!D$15:I$15)</f>
        <v>45.35</v>
      </c>
      <c r="G8" s="73">
        <f t="shared" si="0"/>
        <v>0.96699999999999997</v>
      </c>
      <c r="H8" s="801">
        <v>0.04</v>
      </c>
      <c r="I8" s="801">
        <v>4.4999999999999998E-2</v>
      </c>
      <c r="J8" s="74">
        <v>8.5000000000000006E-2</v>
      </c>
      <c r="K8" s="1253">
        <f>SUMIF('数据-汇总表'!C$19:C$33,A8,'数据-汇总表'!E$19:E$33)</f>
        <v>18009.650000000031</v>
      </c>
      <c r="L8" s="802">
        <v>2200</v>
      </c>
      <c r="M8" s="75">
        <f>ROUND(K8*L8/10000,0)</f>
        <v>3962</v>
      </c>
      <c r="N8" s="800">
        <v>0.9</v>
      </c>
      <c r="O8" s="75">
        <f t="shared" si="3"/>
        <v>3566</v>
      </c>
      <c r="P8" s="76">
        <f t="shared" si="4"/>
        <v>396</v>
      </c>
      <c r="Q8" s="803">
        <v>0.15</v>
      </c>
      <c r="R8" s="77">
        <f ca="1">SUMIF('数据-汇总表'!C$19:C$33,A8,'数据-汇总表'!R$19:R$27)</f>
        <v>10101.77</v>
      </c>
      <c r="S8" s="54">
        <f>IF('数据-汇总表'!$I$17="按面积比例",SUMIF('数据-汇总表'!C$19:C$33,A8,'数据-汇总表'!K$19:K$33),SUMIF('数据-汇总表'!C$19:C$33,A8,'数据-汇总表'!N$19:N$33))</f>
        <v>582.65</v>
      </c>
      <c r="T8" s="1445">
        <f t="shared" si="5"/>
        <v>128</v>
      </c>
      <c r="U8" s="804">
        <v>1.4</v>
      </c>
      <c r="V8" s="805">
        <v>0</v>
      </c>
      <c r="W8" s="805">
        <v>0.1</v>
      </c>
      <c r="X8" s="1263"/>
      <c r="Y8" s="806">
        <v>1</v>
      </c>
      <c r="Z8" s="81"/>
      <c r="AA8" s="74"/>
      <c r="AB8" s="74"/>
      <c r="AC8" s="1263"/>
      <c r="AD8" s="82"/>
      <c r="AE8" s="1264">
        <f t="shared" ca="1" si="6"/>
        <v>45.15</v>
      </c>
      <c r="AF8" s="1805"/>
      <c r="AG8" s="147">
        <f t="shared" si="7"/>
        <v>0</v>
      </c>
      <c r="AH8" s="807"/>
      <c r="AI8" s="85">
        <v>365</v>
      </c>
      <c r="AJ8" s="86"/>
      <c r="AK8" s="808">
        <v>1.4999999999999999E-2</v>
      </c>
      <c r="AL8" s="809">
        <v>1.5E-3</v>
      </c>
      <c r="AM8" s="810">
        <v>0.01</v>
      </c>
      <c r="AN8" s="2305" t="s">
        <v>3266</v>
      </c>
      <c r="AO8" s="55">
        <f t="shared" ca="1" si="8"/>
        <v>10969</v>
      </c>
      <c r="AP8" s="2306">
        <f t="shared" si="9"/>
        <v>0</v>
      </c>
      <c r="AQ8" s="55">
        <f t="shared" si="10"/>
        <v>115</v>
      </c>
      <c r="AR8" s="55">
        <f t="shared" si="11"/>
        <v>13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2"/>
        <v/>
      </c>
      <c r="C9" s="2304"/>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2"/>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2"/>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2"/>
        <v/>
      </c>
      <c r="C12" s="2304"/>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2"/>
        <v/>
      </c>
      <c r="C13" s="2304"/>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2013</v>
      </c>
      <c r="B14" s="2303" t="s">
        <v>2014</v>
      </c>
      <c r="C14" s="2308" t="s">
        <v>2013</v>
      </c>
      <c r="D14" s="1053"/>
      <c r="E14" s="1050"/>
      <c r="F14" s="72"/>
      <c r="G14" s="73"/>
      <c r="H14" s="1252"/>
      <c r="I14" s="1252"/>
      <c r="J14" s="1252"/>
      <c r="K14" s="1253">
        <f>SUMIF('数据-汇总表'!C$19:C$33,A14,'数据-汇总表'!E$19:E$33)</f>
        <v>1862.4100000000003</v>
      </c>
      <c r="L14" s="91">
        <v>2200</v>
      </c>
      <c r="M14" s="75">
        <f t="shared" si="1"/>
        <v>410</v>
      </c>
      <c r="N14" s="92">
        <v>0.9</v>
      </c>
      <c r="O14" s="75">
        <f t="shared" si="3"/>
        <v>369</v>
      </c>
      <c r="P14" s="76">
        <f t="shared" si="4"/>
        <v>41</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2017</v>
      </c>
      <c r="B16" s="97"/>
      <c r="C16" s="1007"/>
      <c r="D16" s="2310"/>
      <c r="E16" s="97"/>
      <c r="F16" s="97"/>
      <c r="G16" s="98">
        <f>ROUND(SUMPRODUCT(G6:G13,K6:K13)/SUMPRODUCT((G6:G13&gt;0)*(K6:K13)),3)</f>
        <v>0.98199999999999998</v>
      </c>
      <c r="H16" s="99">
        <f>ROUND(SUMPRODUCT(H6:H13,K6:K13)/SUMPRODUCT((H6:H13&gt;0)*(K6:K13)),3)</f>
        <v>4.2999999999999997E-2</v>
      </c>
      <c r="I16" s="100"/>
      <c r="J16" s="100"/>
      <c r="K16" s="101">
        <f>SUM(K6:K15)</f>
        <v>59428.920000000035</v>
      </c>
      <c r="L16" s="102">
        <f>ROUND(M16*10000/SUM(K6:K14),0)</f>
        <v>3529</v>
      </c>
      <c r="M16" s="102">
        <f>SUM(M6:M14)</f>
        <v>20973</v>
      </c>
      <c r="N16" s="103">
        <f>ROUND(SUMPRODUCT(M6:M14,N6:N14)/M16,3)</f>
        <v>0.9</v>
      </c>
      <c r="O16" s="102">
        <f>SUM(O6:O14)</f>
        <v>18876</v>
      </c>
      <c r="P16" s="102">
        <f>SUM(P6:P14)</f>
        <v>2097</v>
      </c>
      <c r="Q16" s="104">
        <f>ROUND(SUMPRODUCT(Q6:Q13,K6:K13)/SUMPRODUCT((Q6:Q13&gt;0)*(K6:K13)),2)</f>
        <v>0.22</v>
      </c>
      <c r="R16" s="1257">
        <f ca="1">SUM(R6:R13)</f>
        <v>32289.56</v>
      </c>
      <c r="S16" s="105">
        <f>SUM(S6:S13)</f>
        <v>1862.4099999999999</v>
      </c>
      <c r="T16" s="106">
        <f>IF(SUMIF(T6:T13,"&lt;9E307")=M14,SUMIF(T6:T13,"&lt;9E307"),"有误，请检查")</f>
        <v>410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2019</v>
      </c>
      <c r="B19" s="112">
        <v>0</v>
      </c>
      <c r="C19" s="2273" t="s">
        <v>2020</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2021</v>
      </c>
      <c r="B20" s="113">
        <v>1.5</v>
      </c>
      <c r="C20" s="2273" t="s">
        <v>2022</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2023</v>
      </c>
      <c r="B21" s="113">
        <v>1.3</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2024</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2025</v>
      </c>
      <c r="B23" s="114">
        <f>B19+B21</f>
        <v>1.3</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2026</v>
      </c>
      <c r="B24" s="115">
        <f>B20-B21</f>
        <v>0.19999999999999996</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2027</v>
      </c>
      <c r="B26" s="2316" t="s">
        <v>2028</v>
      </c>
      <c r="C26" s="2317" t="s">
        <v>2029</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2030</v>
      </c>
      <c r="B27" s="116"/>
      <c r="C27" s="1765" t="s">
        <v>2031</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2032</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2033</v>
      </c>
      <c r="B29" s="121"/>
      <c r="C29" s="1765" t="s">
        <v>2034</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2035</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2036</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2037</v>
      </c>
      <c r="B32" s="2993">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2038</v>
      </c>
      <c r="B33" s="725">
        <v>0.04</v>
      </c>
      <c r="C33" s="1764" t="s">
        <v>2039</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2040</v>
      </c>
      <c r="B34" s="122">
        <v>0.05</v>
      </c>
      <c r="C34" s="1764" t="s">
        <v>2041</v>
      </c>
      <c r="D34" s="2274" t="s">
        <v>2042</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2043</v>
      </c>
      <c r="B35" s="119">
        <v>200</v>
      </c>
      <c r="C35" s="1764" t="s">
        <v>2044</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2045</v>
      </c>
      <c r="B36" s="123">
        <v>1.4999999999999999E-2</v>
      </c>
      <c r="C36" s="1764" t="s">
        <v>2046</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2047</v>
      </c>
      <c r="B37" s="124">
        <v>0.03</v>
      </c>
      <c r="C37" s="1764" t="s">
        <v>2048</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2049</v>
      </c>
      <c r="B38" s="122">
        <v>0.03</v>
      </c>
      <c r="C38" s="1764" t="s">
        <v>2048</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2050</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2051</v>
      </c>
      <c r="B40" s="1302">
        <f ca="1">存贷款利率!G1</f>
        <v>4.7500000000000001E-2</v>
      </c>
      <c r="C40" s="1764" t="s">
        <v>2052</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2053</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2054</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2055</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2056</v>
      </c>
      <c r="B44" s="128">
        <v>0.05</v>
      </c>
      <c r="C44" s="1764" t="s">
        <v>2057</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2058</v>
      </c>
      <c r="B45" s="126">
        <v>0.03</v>
      </c>
      <c r="C45" s="1765" t="s">
        <v>2059</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2060</v>
      </c>
      <c r="B46" s="126">
        <v>0.02</v>
      </c>
      <c r="C46" s="1765" t="s">
        <v>2061</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2062</v>
      </c>
      <c r="B47" s="129">
        <v>0</v>
      </c>
      <c r="C47" s="1765" t="s">
        <v>2063</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2064</v>
      </c>
      <c r="B48" s="130">
        <v>0.03</v>
      </c>
      <c r="C48" s="1772" t="s">
        <v>2065</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2066</v>
      </c>
      <c r="B49" s="126">
        <v>5.0000000000000001E-4</v>
      </c>
      <c r="C49" s="1772" t="s">
        <v>2067</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2068</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2069</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2070</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2071</v>
      </c>
      <c r="B53" s="2332" t="s">
        <v>56</v>
      </c>
      <c r="C53" s="1429" t="s">
        <v>2072</v>
      </c>
      <c r="D53" s="2333" t="s">
        <v>2073</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2074</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2075</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2076</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2077</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2078</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2079</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2080</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2081</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2082</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2083</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97" t="s">
        <v>2084</v>
      </c>
      <c r="B1" s="3098"/>
      <c r="C1" s="3098"/>
      <c r="D1" s="3098"/>
      <c r="E1" s="3098"/>
      <c r="F1" s="3098"/>
      <c r="G1" s="309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953" t="s">
        <v>3089</v>
      </c>
      <c r="D3" s="2366"/>
      <c r="E3" s="431" t="s">
        <v>2087</v>
      </c>
      <c r="F3" s="2367" t="s">
        <v>2089</v>
      </c>
      <c r="G3" s="2368" t="s">
        <v>2090</v>
      </c>
      <c r="H3" s="2364"/>
      <c r="I3" s="2364"/>
      <c r="J3" s="2364"/>
      <c r="K3" s="2364"/>
      <c r="L3" s="2364"/>
      <c r="M3" s="2364"/>
      <c r="N3" s="2364"/>
      <c r="O3" s="2364"/>
      <c r="P3" s="2364"/>
      <c r="Q3" s="2364"/>
      <c r="R3" s="2364"/>
    </row>
    <row r="4" spans="1:29" ht="54">
      <c r="A4" s="431"/>
      <c r="B4" s="1796" t="s">
        <v>2091</v>
      </c>
      <c r="C4" s="2954" t="s">
        <v>3246</v>
      </c>
      <c r="D4" s="2366"/>
      <c r="E4" s="2369"/>
      <c r="F4" s="42" t="s">
        <v>2092</v>
      </c>
      <c r="G4" s="2370" t="s">
        <v>2093</v>
      </c>
      <c r="H4" s="2364"/>
      <c r="I4" s="2364"/>
      <c r="J4" s="2364"/>
      <c r="K4" s="2364"/>
      <c r="L4" s="2364"/>
      <c r="M4" s="2364"/>
      <c r="N4" s="2364"/>
      <c r="O4" s="2364"/>
      <c r="P4" s="2364"/>
      <c r="Q4" s="2364"/>
      <c r="R4" s="2364"/>
    </row>
    <row r="5" spans="1:29" ht="27">
      <c r="A5" s="431"/>
      <c r="B5" s="1796" t="s">
        <v>2094</v>
      </c>
      <c r="C5" s="2954" t="s">
        <v>3247</v>
      </c>
      <c r="D5" s="2366"/>
      <c r="E5" s="2369"/>
      <c r="F5" s="1796" t="s">
        <v>2095</v>
      </c>
      <c r="G5" s="2370" t="s">
        <v>2096</v>
      </c>
      <c r="H5" s="2364"/>
      <c r="I5" s="2364"/>
      <c r="J5" s="2364"/>
      <c r="K5" s="2364"/>
      <c r="L5" s="2364"/>
      <c r="M5" s="2364"/>
      <c r="N5" s="2364"/>
      <c r="O5" s="2364"/>
      <c r="P5" s="2364"/>
      <c r="Q5" s="2364"/>
      <c r="R5" s="2364"/>
    </row>
    <row r="6" spans="1:29" ht="54">
      <c r="A6" s="431"/>
      <c r="B6" s="1796" t="s">
        <v>2097</v>
      </c>
      <c r="C6" s="2955" t="s">
        <v>3248</v>
      </c>
      <c r="D6" s="2366"/>
      <c r="E6" s="2369"/>
      <c r="F6" s="1796" t="s">
        <v>2098</v>
      </c>
      <c r="G6" s="2370" t="s">
        <v>2099</v>
      </c>
      <c r="H6" s="2364"/>
      <c r="I6" s="2364"/>
      <c r="J6" s="2364"/>
      <c r="K6" s="2364"/>
      <c r="L6" s="2364"/>
      <c r="M6" s="2364"/>
      <c r="N6" s="2364"/>
      <c r="O6" s="2364"/>
      <c r="P6" s="2364"/>
      <c r="Q6" s="2364"/>
      <c r="R6" s="2364"/>
    </row>
    <row r="7" spans="1:29" ht="41.25" thickBot="1">
      <c r="A7" s="431"/>
      <c r="B7" s="1796" t="s">
        <v>2095</v>
      </c>
      <c r="C7" s="2955" t="s">
        <v>3249</v>
      </c>
      <c r="D7" s="2371"/>
      <c r="E7" s="2372"/>
      <c r="F7" s="2373" t="s">
        <v>2100</v>
      </c>
      <c r="G7" s="2374" t="s">
        <v>2101</v>
      </c>
      <c r="H7" s="2364"/>
      <c r="I7" s="2364"/>
      <c r="J7" s="2364"/>
      <c r="K7" s="2364"/>
      <c r="L7" s="2364"/>
      <c r="M7" s="2364"/>
      <c r="N7" s="2364"/>
      <c r="O7" s="2364"/>
      <c r="P7" s="2364"/>
      <c r="Q7" s="2364"/>
      <c r="R7" s="2364"/>
    </row>
    <row r="8" spans="1:29" ht="27">
      <c r="A8" s="431"/>
      <c r="B8" s="1796" t="s">
        <v>2098</v>
      </c>
      <c r="C8" s="2955" t="s">
        <v>3253</v>
      </c>
      <c r="D8" s="2371"/>
      <c r="E8" s="2371"/>
      <c r="F8" s="1135"/>
      <c r="G8" s="1135"/>
      <c r="H8" s="2364"/>
      <c r="I8" s="2364"/>
      <c r="J8" s="2364"/>
      <c r="K8" s="2364"/>
      <c r="L8" s="2364"/>
      <c r="M8" s="2364"/>
      <c r="N8" s="2364"/>
      <c r="O8" s="2364"/>
      <c r="P8" s="2364"/>
      <c r="Q8" s="2364"/>
      <c r="R8" s="2364"/>
    </row>
    <row r="9" spans="1:29" ht="54">
      <c r="A9" s="431"/>
      <c r="B9" s="1796" t="s">
        <v>2102</v>
      </c>
      <c r="C9" s="2954" t="s">
        <v>3341</v>
      </c>
      <c r="D9" s="2366"/>
      <c r="E9" s="2371"/>
      <c r="F9" s="1135"/>
      <c r="G9" s="1135"/>
      <c r="H9" s="2364"/>
      <c r="I9" s="2364"/>
      <c r="J9" s="2364"/>
      <c r="K9" s="2364"/>
      <c r="L9" s="2364"/>
      <c r="M9" s="2364"/>
      <c r="N9" s="2364"/>
      <c r="O9" s="2364"/>
      <c r="P9" s="2364"/>
      <c r="Q9" s="2364"/>
      <c r="R9" s="2364"/>
    </row>
    <row r="10" spans="1:29" s="117" customFormat="1" ht="15.75" thickBot="1">
      <c r="A10" s="2375"/>
      <c r="B10" s="2376" t="s">
        <v>2103</v>
      </c>
      <c r="C10" s="2377" t="s">
        <v>3090</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1" t="s">
        <v>2106</v>
      </c>
    </row>
    <row r="15" spans="1:29" ht="57">
      <c r="A15" s="68" t="s">
        <v>2107</v>
      </c>
      <c r="B15" s="1269" t="s">
        <v>2088</v>
      </c>
      <c r="C15" s="2397" t="str">
        <f>C3</f>
        <v>估价对象周边有春晖园、新于庄园、新世界丽樽等住宅项目，密集度一般，综合评价居住社区成熟度一般。</v>
      </c>
      <c r="D15" s="2366"/>
      <c r="E15" s="2398" t="s">
        <v>2108</v>
      </c>
      <c r="F15" s="1269" t="s">
        <v>2109</v>
      </c>
      <c r="G15" s="135" t="str">
        <f>G3</f>
        <v>估价对象位于XX开发区，园区建设成熟度XX，产业集聚程度XX</v>
      </c>
    </row>
    <row r="16" spans="1:29" ht="57">
      <c r="A16" s="645"/>
      <c r="B16" s="2399" t="s">
        <v>2091</v>
      </c>
      <c r="C16" s="2400" t="str">
        <f>C4</f>
        <v>估价对象周边没有大型商业中心、有少量住宅项目底商，人流量较少，商业繁华度较差。</v>
      </c>
      <c r="D16" s="2366"/>
      <c r="E16" s="2401"/>
      <c r="F16" s="2402" t="s">
        <v>2092</v>
      </c>
      <c r="G16" s="136" t="str">
        <f>G4</f>
        <v>估价对象周边道路状况、公共交通通达情况、停车便捷程度，综合评价交通便捷度较好</v>
      </c>
    </row>
    <row r="17" spans="1:18" ht="28.5">
      <c r="A17" s="645"/>
      <c r="B17" s="2399" t="s">
        <v>2094</v>
      </c>
      <c r="C17" s="2400" t="str">
        <f>C5</f>
        <v>估价对象周边办公项目较少，办公集聚程度较差。</v>
      </c>
      <c r="D17" s="2371"/>
      <c r="E17" s="2401"/>
      <c r="F17" s="2402" t="s">
        <v>2110</v>
      </c>
      <c r="G17" s="1570"/>
    </row>
    <row r="18" spans="1:18" ht="57">
      <c r="A18" s="645"/>
      <c r="B18" s="2402" t="s">
        <v>2097</v>
      </c>
      <c r="C18" s="136" t="str">
        <f>C6</f>
        <v>估价对象邻近京承高速、机场北线高速；公共交通情况差、停车较便捷，综合评价交通便捷度一般。</v>
      </c>
      <c r="D18" s="2371"/>
      <c r="E18" s="2401"/>
      <c r="F18" s="2402" t="s">
        <v>2100</v>
      </c>
      <c r="G18" s="136" t="str">
        <f>G7</f>
        <v>该园区内是否有污染型企业，绿化情况，卫生条件，整体环境状况判断</v>
      </c>
    </row>
    <row r="19" spans="1:18" ht="28.5">
      <c r="A19" s="645"/>
      <c r="B19" s="2402" t="s">
        <v>2111</v>
      </c>
      <c r="C19" s="2956" t="s">
        <v>3339</v>
      </c>
      <c r="D19" s="2366"/>
      <c r="E19" s="2401"/>
      <c r="F19" s="1796" t="s">
        <v>2095</v>
      </c>
      <c r="G19" s="136" t="str">
        <f>G5</f>
        <v>估价对象所在区域公共配套设施齐备情况</v>
      </c>
    </row>
    <row r="20" spans="1:18" ht="57">
      <c r="A20" s="645"/>
      <c r="B20" s="2402" t="s">
        <v>2112</v>
      </c>
      <c r="C20" s="2400" t="str">
        <f>C9</f>
        <v>估价对象所在区域邻近温榆河，自然环境一般；无人文环境场所；综合评价自然及人文环境状况一般。</v>
      </c>
      <c r="D20" s="2371"/>
      <c r="E20" s="2401"/>
      <c r="F20" s="1796" t="s">
        <v>2113</v>
      </c>
      <c r="G20" s="136" t="str">
        <f>G6</f>
        <v>估价对象所在区域基础设施水平</v>
      </c>
    </row>
    <row r="21" spans="1:18" ht="28.5">
      <c r="A21" s="645"/>
      <c r="B21" s="1796" t="s">
        <v>2095</v>
      </c>
      <c r="C21" s="136" t="str">
        <f>C7</f>
        <v>估价对象所在区域公共配套设施齐备情况一般。</v>
      </c>
      <c r="D21" s="2366"/>
      <c r="E21" s="2401"/>
      <c r="F21" s="2402" t="s">
        <v>2114</v>
      </c>
      <c r="G21" s="2403"/>
    </row>
    <row r="22" spans="1:18" ht="13.5" customHeight="1">
      <c r="A22" s="645"/>
      <c r="B22" s="1796" t="s">
        <v>2098</v>
      </c>
      <c r="C22" s="136" t="str">
        <f>C8</f>
        <v>估价对象所在区域基础设施水平达“七通”。</v>
      </c>
      <c r="D22" s="2366"/>
      <c r="E22" s="2401"/>
      <c r="F22" s="2402" t="s">
        <v>2103</v>
      </c>
      <c r="G22" s="1570"/>
    </row>
    <row r="23" spans="1:18" s="2364" customFormat="1" ht="15.75" thickBot="1">
      <c r="A23" s="645"/>
      <c r="B23" s="2402" t="s">
        <v>2114</v>
      </c>
      <c r="C23" s="2403" t="s">
        <v>3091</v>
      </c>
      <c r="D23" s="2390"/>
      <c r="E23" s="2404"/>
      <c r="F23" s="2405" t="s">
        <v>2115</v>
      </c>
      <c r="G23" s="2406"/>
      <c r="H23" s="2390"/>
      <c r="I23" s="2391"/>
      <c r="J23" s="2390"/>
      <c r="K23" s="2390"/>
      <c r="L23" s="2391"/>
      <c r="M23" s="2390"/>
      <c r="N23" s="2390"/>
      <c r="O23" s="2391"/>
      <c r="P23" s="2390"/>
      <c r="Q23" s="2390"/>
      <c r="R23" s="2392"/>
    </row>
    <row r="24" spans="1:18" s="2364" customFormat="1" ht="15.75" thickBot="1">
      <c r="A24" s="2407"/>
      <c r="B24" s="2405" t="s">
        <v>2116</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RowHeight="13.5"/>
  <cols>
    <col min="1" max="1" width="23.375" style="1739" customWidth="1"/>
    <col min="2" max="9" width="15.75" style="1739" customWidth="1"/>
    <col min="10" max="16384" width="9" style="1739"/>
  </cols>
  <sheetData>
    <row r="1" spans="1:10" ht="16.5">
      <c r="A1" s="1744" t="s">
        <v>1365</v>
      </c>
      <c r="B1" s="1744">
        <f>SUM(B14:B23)</f>
        <v>90970.280000000028</v>
      </c>
      <c r="C1" s="1743"/>
      <c r="D1" s="1743"/>
      <c r="E1" s="1743"/>
      <c r="F1" s="1743"/>
      <c r="G1" s="1741"/>
    </row>
    <row r="2" spans="1:10" ht="16.5">
      <c r="A2" s="1744" t="s">
        <v>1353</v>
      </c>
      <c r="B2" s="1744">
        <f>SUM(C14:C23)</f>
        <v>49426.95</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381760</v>
      </c>
      <c r="C5" s="1744">
        <f ca="1">ROUND(B5*10000/$B$1,0)</f>
        <v>41965</v>
      </c>
      <c r="D5" s="1744">
        <f ca="1">ROUND(B5*10000/$B$2,0)</f>
        <v>77237</v>
      </c>
      <c r="E5" s="1743"/>
      <c r="F5" s="1741"/>
      <c r="G5" s="1741"/>
    </row>
    <row r="6" spans="1:10" ht="16.5">
      <c r="A6" s="1744" t="s">
        <v>1356</v>
      </c>
      <c r="B6" s="1744">
        <f ca="1">SUM(G14:G23)</f>
        <v>261813</v>
      </c>
      <c r="C6" s="1744">
        <f ca="1">ROUND(B6*10000/$B$1,0)</f>
        <v>28780</v>
      </c>
      <c r="D6" s="1744">
        <f ca="1">ROUND(B6*10000/$B$2,0)</f>
        <v>52970</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59428.920000000027</v>
      </c>
      <c r="C14" s="1742">
        <f>结果表!C118</f>
        <v>32289.56</v>
      </c>
      <c r="D14" s="1742">
        <f ca="1">结果表!H118</f>
        <v>261813</v>
      </c>
      <c r="E14" s="1742">
        <f ca="1">ROUND(D14*10000/B14,0)</f>
        <v>44055</v>
      </c>
      <c r="F14" s="1742">
        <f ca="1">ROUND(D14*10000/C14,0)</f>
        <v>81083</v>
      </c>
      <c r="G14" s="1742">
        <f ca="1">结果表!D122</f>
        <v>261813</v>
      </c>
      <c r="H14" s="1742" t="str">
        <f>结果表!D124</f>
        <v>——</v>
      </c>
      <c r="I14" s="1742" t="str">
        <f>结果表!D126</f>
        <v>——</v>
      </c>
      <c r="J14" s="1741"/>
    </row>
    <row r="15" spans="1:10" ht="16.5">
      <c r="A15" s="1740" t="s">
        <v>1349</v>
      </c>
      <c r="B15" s="1747">
        <f>[1]结果表!$L$18</f>
        <v>31541.359999999997</v>
      </c>
      <c r="C15" s="1747">
        <f>[1]结果表!$L$19</f>
        <v>17137.39</v>
      </c>
      <c r="D15" s="1747">
        <f ca="1">[1]结果表!$G$19</f>
        <v>119947</v>
      </c>
      <c r="E15" s="1742">
        <f t="shared" ref="E15:E23" ca="1" si="0">ROUND(D15*10000/B15,0)</f>
        <v>38028</v>
      </c>
      <c r="F15" s="1742">
        <f t="shared" ref="F15:F23" ca="1" si="1">ROUND(D15*10000/C15,0)</f>
        <v>69991</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2117</v>
      </c>
      <c r="B1" s="2413"/>
      <c r="C1" s="2414"/>
      <c r="D1" s="2413"/>
      <c r="E1" s="2413"/>
      <c r="F1" s="2415" t="s">
        <v>2118</v>
      </c>
      <c r="G1" s="2068" t="s">
        <v>2119</v>
      </c>
      <c r="H1" s="2416" t="str">
        <f>IF(G1="现房","——","估价对象范围")</f>
        <v>估价对象范围</v>
      </c>
      <c r="I1" s="2417" t="s">
        <v>3365</v>
      </c>
    </row>
    <row r="2" spans="1:12" ht="21.75" customHeight="1" thickBot="1">
      <c r="A2" s="3171" t="str">
        <f>项目基本情况!S2</f>
        <v>北京市顺义区高丽营镇于庄村西出让国有建设用地使用权及在建建筑物房地产</v>
      </c>
      <c r="B2" s="3172"/>
      <c r="C2" s="3172"/>
      <c r="D2" s="3172"/>
      <c r="E2" s="3172"/>
      <c r="F2" s="3172"/>
      <c r="G2" s="3172"/>
      <c r="H2" s="3172"/>
      <c r="I2" s="3173"/>
    </row>
    <row r="3" spans="1:12" ht="12.75">
      <c r="A3" s="3174" t="s">
        <v>2120</v>
      </c>
      <c r="B3" s="3175"/>
      <c r="C3" s="3175"/>
      <c r="D3" s="3175"/>
      <c r="E3" s="3175"/>
      <c r="F3" s="3175"/>
      <c r="G3" s="3175"/>
      <c r="H3" s="3175"/>
      <c r="I3" s="3175"/>
    </row>
    <row r="4" spans="1:12" ht="14.25">
      <c r="A4" s="2420" t="s">
        <v>2121</v>
      </c>
      <c r="B4" s="2421" t="s">
        <v>2122</v>
      </c>
      <c r="C4" s="2422" t="s">
        <v>3366</v>
      </c>
      <c r="D4" s="2422" t="s">
        <v>3367</v>
      </c>
      <c r="E4" s="3155" t="s">
        <v>2123</v>
      </c>
      <c r="F4" s="3168"/>
      <c r="G4" s="3168"/>
      <c r="H4" s="3168"/>
      <c r="I4" s="315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46" t="s">
        <v>2124</v>
      </c>
      <c r="B5" s="3072">
        <v>25</v>
      </c>
      <c r="C5" s="3176"/>
      <c r="D5" s="3164"/>
      <c r="E5" s="140" t="s">
        <v>2125</v>
      </c>
      <c r="F5" s="2424"/>
      <c r="G5" s="2424"/>
      <c r="H5" s="2424"/>
      <c r="I5" s="1832"/>
    </row>
    <row r="6" spans="1:12" ht="12.75">
      <c r="A6" s="3146"/>
      <c r="B6" s="3072"/>
      <c r="C6" s="3178"/>
      <c r="D6" s="3164"/>
      <c r="E6" s="140" t="s">
        <v>2126</v>
      </c>
      <c r="F6" s="2424"/>
      <c r="G6" s="2424"/>
      <c r="H6" s="2424"/>
      <c r="I6" s="1832"/>
    </row>
    <row r="7" spans="1:12" ht="12.75">
      <c r="A7" s="3146"/>
      <c r="B7" s="3072"/>
      <c r="C7" s="3177"/>
      <c r="D7" s="3164"/>
      <c r="E7" s="140" t="s">
        <v>2127</v>
      </c>
      <c r="F7" s="2424"/>
      <c r="G7" s="2424"/>
      <c r="H7" s="2424"/>
      <c r="I7" s="1832"/>
    </row>
    <row r="8" spans="1:12" ht="12.75">
      <c r="A8" s="3146" t="s">
        <v>2128</v>
      </c>
      <c r="B8" s="3072">
        <v>15</v>
      </c>
      <c r="C8" s="3176"/>
      <c r="D8" s="3164"/>
      <c r="E8" s="140" t="s">
        <v>2129</v>
      </c>
      <c r="F8" s="2424"/>
      <c r="G8" s="2424"/>
      <c r="H8" s="2424"/>
      <c r="I8" s="1832"/>
    </row>
    <row r="9" spans="1:12" ht="12.75">
      <c r="A9" s="3146"/>
      <c r="B9" s="3072"/>
      <c r="C9" s="3177"/>
      <c r="D9" s="3164"/>
      <c r="E9" s="140" t="s">
        <v>2130</v>
      </c>
      <c r="F9" s="2424"/>
      <c r="G9" s="2424"/>
      <c r="H9" s="2424"/>
      <c r="I9" s="1832"/>
    </row>
    <row r="10" spans="1:12" ht="12.75">
      <c r="A10" s="3146" t="s">
        <v>2131</v>
      </c>
      <c r="B10" s="3072">
        <v>15</v>
      </c>
      <c r="C10" s="3176"/>
      <c r="D10" s="3164"/>
      <c r="E10" s="140" t="s">
        <v>2132</v>
      </c>
      <c r="F10" s="2424"/>
      <c r="G10" s="2424"/>
      <c r="H10" s="2424"/>
      <c r="I10" s="1832"/>
    </row>
    <row r="11" spans="1:12" ht="12.75">
      <c r="A11" s="3146"/>
      <c r="B11" s="3072"/>
      <c r="C11" s="3177"/>
      <c r="D11" s="3164"/>
      <c r="E11" s="140" t="s">
        <v>2133</v>
      </c>
      <c r="F11" s="2424"/>
      <c r="G11" s="2424"/>
      <c r="H11" s="2424"/>
      <c r="I11" s="1832"/>
    </row>
    <row r="12" spans="1:12" ht="12.75">
      <c r="A12" s="3146" t="s">
        <v>2134</v>
      </c>
      <c r="B12" s="3072">
        <v>15</v>
      </c>
      <c r="C12" s="3176"/>
      <c r="D12" s="3164"/>
      <c r="E12" s="140" t="s">
        <v>2135</v>
      </c>
      <c r="F12" s="2424"/>
      <c r="G12" s="2424"/>
      <c r="H12" s="2424"/>
      <c r="I12" s="1832"/>
    </row>
    <row r="13" spans="1:12" ht="12.75">
      <c r="A13" s="3146"/>
      <c r="B13" s="3072"/>
      <c r="C13" s="3177"/>
      <c r="D13" s="3164"/>
      <c r="E13" s="140" t="s">
        <v>2136</v>
      </c>
      <c r="F13" s="2424"/>
      <c r="G13" s="2424"/>
      <c r="H13" s="2424"/>
      <c r="I13" s="1832"/>
    </row>
    <row r="14" spans="1:12" ht="12.75">
      <c r="A14" s="3146" t="s">
        <v>2137</v>
      </c>
      <c r="B14" s="3072">
        <v>30</v>
      </c>
      <c r="C14" s="3176">
        <v>5</v>
      </c>
      <c r="D14" s="3164">
        <v>5</v>
      </c>
      <c r="E14" s="140" t="s">
        <v>2138</v>
      </c>
      <c r="F14" s="2424"/>
      <c r="G14" s="2424"/>
      <c r="H14" s="2424"/>
      <c r="I14" s="1832"/>
    </row>
    <row r="15" spans="1:12" ht="12.75">
      <c r="A15" s="3146"/>
      <c r="B15" s="3072"/>
      <c r="C15" s="3178"/>
      <c r="D15" s="3164"/>
      <c r="E15" s="140" t="s">
        <v>2139</v>
      </c>
      <c r="F15" s="2424"/>
      <c r="G15" s="2424"/>
      <c r="H15" s="2424"/>
      <c r="I15" s="1832"/>
    </row>
    <row r="16" spans="1:12" ht="12.75">
      <c r="A16" s="3146"/>
      <c r="B16" s="3072"/>
      <c r="C16" s="3177"/>
      <c r="D16" s="3164"/>
      <c r="E16" s="140" t="s">
        <v>2140</v>
      </c>
      <c r="F16" s="2424"/>
      <c r="G16" s="2424"/>
      <c r="H16" s="2424"/>
      <c r="I16" s="1832"/>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59428.920000000027</v>
      </c>
      <c r="M18" s="2423">
        <f>IF(C1="",'数据-汇总表'!E3,SUMIF(项目类型,C1,'数据-汇总表'!E17:E26))</f>
        <v>59428.920000000027</v>
      </c>
    </row>
    <row r="19" spans="1:35" ht="15">
      <c r="A19" s="2429" t="s">
        <v>2146</v>
      </c>
      <c r="B19" s="2430" t="s">
        <v>2147</v>
      </c>
      <c r="C19" s="143">
        <f ca="1">SUMIF(INDIRECT("'"&amp;C4&amp;"'"&amp;"!A:A"),结果表!B19,INDIRECT("'"&amp;C4&amp;"'"&amp;"!B:B"))</f>
        <v>231193</v>
      </c>
      <c r="D19" s="144">
        <f ca="1">SUMIF(INDIRECT("'"&amp;D4&amp;"'"&amp;"!A:A"),结果表!B19,INDIRECT("'"&amp;D4&amp;"'"&amp;"!B:B"))</f>
        <v>292432</v>
      </c>
      <c r="E19" s="2429" t="s">
        <v>2148</v>
      </c>
      <c r="F19" s="2430" t="s">
        <v>2147</v>
      </c>
      <c r="G19" s="145">
        <f ca="1">ROUND(C19*$C$18+D19*$D$18,0)</f>
        <v>261813</v>
      </c>
      <c r="H19" s="2431" t="s">
        <v>2149</v>
      </c>
      <c r="I19" s="138"/>
      <c r="K19" s="2423" t="s">
        <v>2150</v>
      </c>
      <c r="L19" s="2423">
        <f>IF(C1="",'数据-汇总表'!D3,SUMIF(项目类型,C1,'数据-汇总表'!D17:D26)+SUMIF(项目类型,C1,'数据-汇总表'!H17:H27))</f>
        <v>32289.56</v>
      </c>
      <c r="M19" s="2423">
        <f>IF(C1="",'数据-汇总表'!D3,SUMIF(项目类型,C1,'数据-汇总表'!D17:D26))</f>
        <v>32289.56</v>
      </c>
    </row>
    <row r="20" spans="1:35" ht="15">
      <c r="A20" s="2432"/>
      <c r="B20" s="1249" t="s">
        <v>2151</v>
      </c>
      <c r="C20" s="146">
        <f ca="1">SUMIF(INDIRECT("'"&amp;C4&amp;"'"&amp;"!A:A"),结果表!B20,INDIRECT("'"&amp;C4&amp;"'"&amp;"!B:B"))</f>
        <v>38902</v>
      </c>
      <c r="D20" s="147">
        <f ca="1">SUMIF(INDIRECT("'"&amp;D4&amp;"'"&amp;"!A:A"),结果表!B20,INDIRECT("'"&amp;D4&amp;"'"&amp;"!B:B"))</f>
        <v>49207</v>
      </c>
      <c r="E20" s="2432"/>
      <c r="F20" s="1249" t="s">
        <v>2151</v>
      </c>
      <c r="G20" s="148">
        <f ca="1">ROUND(C20*$C$18+D20*$D$18,0)</f>
        <v>44055</v>
      </c>
      <c r="H20" s="982" t="s">
        <v>2152</v>
      </c>
      <c r="I20" s="138"/>
    </row>
    <row r="21" spans="1:35" ht="15" customHeight="1" thickBot="1">
      <c r="A21" s="1002"/>
      <c r="B21" s="2433" t="s">
        <v>2153</v>
      </c>
      <c r="C21" s="788">
        <f ca="1">ROUND(C19*10000/L19,0)</f>
        <v>71600</v>
      </c>
      <c r="D21" s="789">
        <f ca="1">ROUND(D19*10000/L19,0)</f>
        <v>90565</v>
      </c>
      <c r="E21" s="1002"/>
      <c r="F21" s="2433" t="s">
        <v>2153</v>
      </c>
      <c r="G21" s="149">
        <f ca="1">ROUND(G19*10000/L19,0)</f>
        <v>81083</v>
      </c>
      <c r="H21" s="2434" t="s">
        <v>2152</v>
      </c>
      <c r="I21" s="138"/>
    </row>
    <row r="22" spans="1:35" ht="15" thickBot="1">
      <c r="A22" s="2277" t="s">
        <v>2154</v>
      </c>
      <c r="B22" s="2435"/>
      <c r="C22" s="2436"/>
      <c r="D22" s="790">
        <f ca="1">IF(C19&lt;D19,D19/C19-1,C19/D19-1)</f>
        <v>0.26488258727556624</v>
      </c>
      <c r="E22" s="138"/>
      <c r="F22" s="138"/>
      <c r="G22" s="138"/>
      <c r="H22" s="138"/>
      <c r="I22" s="138"/>
    </row>
    <row r="23" spans="1:35" ht="13.5" thickBot="1">
      <c r="A23" s="2413"/>
      <c r="B23" s="2413"/>
      <c r="C23" s="2413"/>
      <c r="D23" s="2413"/>
      <c r="E23" s="138"/>
      <c r="F23" s="138"/>
      <c r="G23" s="138"/>
      <c r="H23" s="138"/>
      <c r="I23" s="138"/>
    </row>
    <row r="24" spans="1:35" ht="14.25">
      <c r="A24" s="3185" t="s">
        <v>2155</v>
      </c>
      <c r="B24" s="2430" t="s">
        <v>2147</v>
      </c>
      <c r="C24" s="145">
        <f>IF(B30=0,0,D30)</f>
        <v>0</v>
      </c>
      <c r="D24" s="2437"/>
      <c r="E24" s="138"/>
      <c r="F24" s="138"/>
      <c r="G24" s="138"/>
      <c r="H24" s="138"/>
      <c r="I24" s="138"/>
    </row>
    <row r="25" spans="1:35" ht="14.25">
      <c r="A25" s="3186"/>
      <c r="B25" s="1249"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22" t="s">
        <v>3036</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2161</v>
      </c>
      <c r="B32" s="2443"/>
      <c r="C32" s="153">
        <f ca="1">IF(D32="总价",G19-C24,G20-C25)</f>
        <v>261813</v>
      </c>
      <c r="D32" s="2444" t="s">
        <v>2162</v>
      </c>
      <c r="E32" s="138"/>
      <c r="F32" s="138"/>
      <c r="G32" s="138"/>
      <c r="H32" s="138"/>
      <c r="I32" s="138"/>
    </row>
    <row r="33" spans="1:15" ht="15">
      <c r="A33" s="959" t="s">
        <v>2163</v>
      </c>
      <c r="B33" s="2445"/>
      <c r="C33" s="2446" t="s">
        <v>3368</v>
      </c>
      <c r="D33" s="2447" t="s">
        <v>3366</v>
      </c>
      <c r="E33" s="2448" t="s">
        <v>2164</v>
      </c>
      <c r="F33" s="2449" t="str">
        <f>IF(D32="楼面单价","取值（单价）","取值（总价）")</f>
        <v>取值（总价）</v>
      </c>
      <c r="G33" s="138"/>
      <c r="H33" s="138"/>
      <c r="I33" s="138"/>
    </row>
    <row r="34" spans="1:15" ht="15">
      <c r="A34" s="2450"/>
      <c r="B34" s="2451" t="s">
        <v>2165</v>
      </c>
      <c r="C34" s="157">
        <f ca="1">IF(C33="自定义",F34,C32-C35)</f>
        <v>226992</v>
      </c>
      <c r="D34" s="1057">
        <f ca="1">IF(C33="自定义",ROUND(C34/C32,3),IF(C33="收益比率",SUMIF(INDIRECT("'"&amp;D33&amp;"'"&amp;"!b:b"),"土地收益比率",INDIRECT("'"&amp;D33&amp;"'"&amp;"!c:c")),SUMIF(INDIRECT("'"&amp;D33&amp;"'"&amp;"!b:b"),"土地成本比率",INDIRECT("'"&amp;D33&amp;"'"&amp;"!c:c"))))</f>
        <v>0.86699999999999999</v>
      </c>
      <c r="E34" s="2452" t="s">
        <v>2166</v>
      </c>
      <c r="F34" s="1737"/>
      <c r="G34" s="138"/>
      <c r="H34" s="138"/>
      <c r="I34" s="138"/>
    </row>
    <row r="35" spans="1:15" ht="15.75" thickBot="1">
      <c r="A35" s="2453"/>
      <c r="B35" s="2454" t="s">
        <v>2167</v>
      </c>
      <c r="C35" s="1443">
        <f ca="1">IF(C33="自定义",F35,ROUND(C32*D35,0))</f>
        <v>34821</v>
      </c>
      <c r="D35" s="1444">
        <f ca="1">IF(C33="自定义",ROUND(C35/C32,3),IF(C33="收益比率",SUMIF(INDIRECT("'"&amp;D33&amp;"'"&amp;"!b:b"),"建筑物收益比率",INDIRECT("'"&amp;D33&amp;"'"&amp;"!c:c")),SUMIF(INDIRECT("'"&amp;D33&amp;"'"&amp;"!b:b"),"建筑物成本比率",INDIRECT("'"&amp;D33&amp;"'"&amp;"!c:c"))))</f>
        <v>0.13300000000000001</v>
      </c>
      <c r="E35" s="2455" t="s">
        <v>2168</v>
      </c>
      <c r="F35" s="163"/>
      <c r="G35" s="138"/>
      <c r="H35" s="138"/>
      <c r="I35" s="138"/>
    </row>
    <row r="36" spans="1:15" ht="15.75" thickBot="1">
      <c r="A36" s="3165" t="s">
        <v>2169</v>
      </c>
      <c r="B36" s="2456" t="s">
        <v>2170</v>
      </c>
      <c r="C36" s="154"/>
      <c r="D36" s="2457"/>
      <c r="E36" s="2458"/>
      <c r="F36" s="2459"/>
      <c r="G36" s="138"/>
      <c r="H36" s="138"/>
      <c r="I36" s="138"/>
    </row>
    <row r="37" spans="1:15" ht="15.75" thickBot="1">
      <c r="A37" s="3166"/>
      <c r="B37" s="2263" t="s">
        <v>2171</v>
      </c>
      <c r="C37" s="156">
        <v>0</v>
      </c>
      <c r="D37" s="1394"/>
      <c r="E37" s="1394"/>
      <c r="F37" s="2459"/>
      <c r="G37" s="138"/>
      <c r="H37" s="138"/>
      <c r="I37" s="138"/>
    </row>
    <row r="38" spans="1:15" ht="15.75" thickBot="1">
      <c r="A38" s="3167"/>
      <c r="B38" s="2460" t="s">
        <v>2172</v>
      </c>
      <c r="C38" s="726">
        <v>0</v>
      </c>
      <c r="D38" s="2461" t="s">
        <v>2173</v>
      </c>
      <c r="E38" s="1394"/>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82" t="s">
        <v>2183</v>
      </c>
      <c r="B45" s="3183"/>
      <c r="C45" s="3184"/>
      <c r="D45" s="164">
        <f ca="1">ROUND(H101*F45,0)</f>
        <v>261813</v>
      </c>
      <c r="E45" s="165" t="s">
        <v>2184</v>
      </c>
      <c r="F45" s="166">
        <v>1</v>
      </c>
      <c r="G45" s="167" t="s">
        <v>2185</v>
      </c>
      <c r="H45" s="138"/>
      <c r="I45" s="138"/>
      <c r="J45" s="3101" t="s">
        <v>2186</v>
      </c>
      <c r="K45" s="3101"/>
      <c r="L45" s="3101"/>
      <c r="M45" s="3101"/>
      <c r="N45" s="3101"/>
      <c r="O45" s="3101"/>
    </row>
    <row r="46" spans="1:15" ht="14.25" customHeight="1">
      <c r="A46" s="3179" t="s">
        <v>2187</v>
      </c>
      <c r="B46" s="3180"/>
      <c r="C46" s="3180"/>
      <c r="D46" s="3180"/>
      <c r="E46" s="3180"/>
      <c r="F46" s="3180"/>
      <c r="G46" s="3181"/>
      <c r="H46" s="2475"/>
      <c r="I46" s="168"/>
      <c r="J46" s="1810">
        <v>1</v>
      </c>
      <c r="K46" s="3101" t="s">
        <v>2188</v>
      </c>
      <c r="L46" s="3101"/>
      <c r="M46" s="3102"/>
      <c r="N46" s="3102"/>
      <c r="O46" s="3102"/>
    </row>
    <row r="47" spans="1:15" ht="12" customHeight="1">
      <c r="A47" s="169" t="s">
        <v>2189</v>
      </c>
      <c r="B47" s="170"/>
      <c r="C47" s="171"/>
      <c r="D47" s="172" t="s">
        <v>2190</v>
      </c>
      <c r="E47" s="24" t="s">
        <v>2191</v>
      </c>
      <c r="F47" s="173" t="s">
        <v>2192</v>
      </c>
      <c r="G47" s="174" t="s">
        <v>2193</v>
      </c>
      <c r="H47" s="2475"/>
      <c r="I47" s="168"/>
      <c r="J47" s="1810">
        <v>2</v>
      </c>
      <c r="K47" s="3101" t="s">
        <v>2194</v>
      </c>
      <c r="L47" s="3101"/>
      <c r="M47" s="3103">
        <f>'数据-取费表'!B2</f>
        <v>43292</v>
      </c>
      <c r="N47" s="3103"/>
      <c r="O47" s="3103"/>
    </row>
    <row r="48" spans="1:15" ht="25.5">
      <c r="A48" s="3169" t="s">
        <v>2195</v>
      </c>
      <c r="B48" s="3170"/>
      <c r="C48" s="3170"/>
      <c r="D48" s="140">
        <f>IF(H48="情况1",0,IF(H48="情况2",D52,IF(H48="情况3",D53,IF(H48="情况4",D54))))</f>
        <v>0</v>
      </c>
      <c r="E48" s="1799" t="str">
        <f>IF(H48="情况4","(销售额-原购置价)×税（费）率","销售额×税（费）率")</f>
        <v>销售额×税（费）率</v>
      </c>
      <c r="F48" s="175" t="str">
        <f>IF(H48="情况1","免征",'数据-取费表'!B41)</f>
        <v>免征</v>
      </c>
      <c r="G48" s="2476" t="s">
        <v>2196</v>
      </c>
      <c r="H48" s="2477" t="s">
        <v>2197</v>
      </c>
      <c r="I48" s="2475"/>
      <c r="J48" s="1810">
        <v>3</v>
      </c>
      <c r="K48" s="3101" t="s">
        <v>2198</v>
      </c>
      <c r="L48" s="3101"/>
      <c r="M48" s="3104">
        <f ca="1">H101</f>
        <v>261813</v>
      </c>
      <c r="N48" s="3104"/>
      <c r="O48" s="3104"/>
    </row>
    <row r="49" spans="1:35" ht="25.5" customHeight="1">
      <c r="A49" s="176" t="s">
        <v>2199</v>
      </c>
      <c r="B49" s="3149" t="s">
        <v>2200</v>
      </c>
      <c r="C49" s="3149"/>
      <c r="D49" s="177">
        <v>0</v>
      </c>
      <c r="E49" s="23" t="s">
        <v>2201</v>
      </c>
      <c r="F49" s="28" t="s">
        <v>34</v>
      </c>
      <c r="G49" s="3130"/>
      <c r="H49" s="138"/>
      <c r="I49" s="2478"/>
      <c r="J49" s="1810">
        <v>4</v>
      </c>
      <c r="K49" s="3101" t="str">
        <f>IF(项目基本情况!E8="房地产抵押价值","房地产抵押价值","抵押担保权已注销时的房地产抵押价值")</f>
        <v>房地产抵押价值</v>
      </c>
      <c r="L49" s="3101"/>
      <c r="M49" s="3104">
        <f ca="1">IF(项目基本情况!E8="房地产抵押价值",H107,H109)</f>
        <v>261813</v>
      </c>
      <c r="N49" s="3104"/>
      <c r="O49" s="3104"/>
    </row>
    <row r="50" spans="1:35" ht="25.5" customHeight="1">
      <c r="A50" s="178"/>
      <c r="B50" s="3149" t="s">
        <v>2202</v>
      </c>
      <c r="C50" s="3149"/>
      <c r="D50" s="179"/>
      <c r="E50" s="31"/>
      <c r="F50" s="180"/>
      <c r="G50" s="3131"/>
      <c r="H50" s="138"/>
      <c r="I50" s="2478"/>
      <c r="J50" s="3101" t="s">
        <v>2203</v>
      </c>
      <c r="K50" s="3101"/>
      <c r="L50" s="3101"/>
      <c r="M50" s="3101"/>
      <c r="N50" s="3101"/>
      <c r="O50" s="3101"/>
    </row>
    <row r="51" spans="1:35" ht="12" customHeight="1">
      <c r="A51" s="181"/>
      <c r="B51" s="3149" t="s">
        <v>2204</v>
      </c>
      <c r="C51" s="3149"/>
      <c r="D51" s="182"/>
      <c r="E51" s="30"/>
      <c r="F51" s="180"/>
      <c r="G51" s="3132"/>
      <c r="H51" s="138"/>
      <c r="I51" s="2478"/>
      <c r="J51" s="2479" t="s">
        <v>2205</v>
      </c>
      <c r="K51" s="3101" t="s">
        <v>2206</v>
      </c>
      <c r="L51" s="3101"/>
      <c r="M51" s="2479" t="s">
        <v>2207</v>
      </c>
      <c r="N51" s="2479" t="s">
        <v>2208</v>
      </c>
      <c r="O51" s="2479" t="s">
        <v>2209</v>
      </c>
    </row>
    <row r="52" spans="1:35" ht="24" customHeight="1">
      <c r="A52" s="183" t="s">
        <v>2210</v>
      </c>
      <c r="B52" s="3149" t="s">
        <v>2211</v>
      </c>
      <c r="C52" s="3149"/>
      <c r="D52" s="182">
        <f ca="1">ROUND(D45*'数据-取费表'!B41/(1+'数据-取费表'!C42),0)</f>
        <v>13714</v>
      </c>
      <c r="E52" s="11" t="s">
        <v>2212</v>
      </c>
      <c r="F52" s="184">
        <f>'数据-取费表'!B41</f>
        <v>5.5000000000000007E-2</v>
      </c>
      <c r="G52" s="2480"/>
      <c r="H52" s="138"/>
      <c r="I52" s="2478"/>
      <c r="J52" s="1810">
        <v>1</v>
      </c>
      <c r="K52" s="3124" t="s">
        <v>2213</v>
      </c>
      <c r="L52" s="3124"/>
      <c r="M52" s="1752">
        <f>D48</f>
        <v>0</v>
      </c>
      <c r="N52" s="1810" t="str">
        <f>E48</f>
        <v>销售额×税（费）率</v>
      </c>
      <c r="O52" s="1753" t="str">
        <f>F48</f>
        <v>免征</v>
      </c>
    </row>
    <row r="53" spans="1:35" ht="12" customHeight="1">
      <c r="A53" s="183" t="s">
        <v>2214</v>
      </c>
      <c r="B53" s="3150" t="s">
        <v>2215</v>
      </c>
      <c r="C53" s="3151"/>
      <c r="D53" s="182">
        <f ca="1">ROUND(D45*'数据-取费表'!B41/(1+'数据-取费表'!C42),0)</f>
        <v>13714</v>
      </c>
      <c r="E53" s="11" t="s">
        <v>2212</v>
      </c>
      <c r="F53" s="184">
        <f>'数据-取费表'!B41</f>
        <v>5.5000000000000007E-2</v>
      </c>
      <c r="G53" s="2480"/>
      <c r="H53" s="138"/>
      <c r="I53" s="2478"/>
      <c r="J53" s="1810">
        <v>2</v>
      </c>
      <c r="K53" s="3124" t="s">
        <v>2216</v>
      </c>
      <c r="L53" s="3124"/>
      <c r="M53" s="1752">
        <f t="shared" ref="M53:O54" ca="1" si="0">D55</f>
        <v>131</v>
      </c>
      <c r="N53" s="1810" t="str">
        <f t="shared" si="0"/>
        <v>销售额×税（费）率</v>
      </c>
      <c r="O53" s="1753">
        <f t="shared" si="0"/>
        <v>5.0000000000000001E-4</v>
      </c>
    </row>
    <row r="54" spans="1:35" ht="12" customHeight="1">
      <c r="A54" s="183" t="s">
        <v>2217</v>
      </c>
      <c r="B54" s="3150" t="s">
        <v>2218</v>
      </c>
      <c r="C54" s="3151"/>
      <c r="D54" s="182">
        <f ca="1">C68</f>
        <v>13714</v>
      </c>
      <c r="E54" s="30" t="s">
        <v>2219</v>
      </c>
      <c r="F54" s="184">
        <f>'数据-取费表'!B41</f>
        <v>5.5000000000000007E-2</v>
      </c>
      <c r="G54" s="2480"/>
      <c r="H54" s="2481"/>
      <c r="I54" s="2478"/>
      <c r="J54" s="1810">
        <v>3</v>
      </c>
      <c r="K54" s="3124" t="s">
        <v>2220</v>
      </c>
      <c r="L54" s="3124"/>
      <c r="M54" s="1752">
        <f t="shared" ca="1" si="0"/>
        <v>148423</v>
      </c>
      <c r="N54" s="1810" t="str">
        <f t="shared" si="0"/>
        <v>增值额×税（费）率</v>
      </c>
      <c r="O54" s="1754" t="str">
        <f t="shared" si="0"/>
        <v>——</v>
      </c>
    </row>
    <row r="55" spans="1:35" ht="24" customHeight="1">
      <c r="A55" s="3188" t="s">
        <v>2221</v>
      </c>
      <c r="B55" s="3170"/>
      <c r="C55" s="3170"/>
      <c r="D55" s="185">
        <f ca="1">IF(H55="个人住宅",0,ROUND(D45*I55,0))</f>
        <v>131</v>
      </c>
      <c r="E55" s="11" t="s">
        <v>2222</v>
      </c>
      <c r="F55" s="184">
        <f>IF(H55="正常",I55,"免征")</f>
        <v>5.0000000000000001E-4</v>
      </c>
      <c r="G55" s="2480"/>
      <c r="H55" s="2477" t="s">
        <v>2223</v>
      </c>
      <c r="I55" s="186">
        <f>'数据-取费表'!B49</f>
        <v>5.0000000000000001E-4</v>
      </c>
      <c r="J55" s="1810" t="str">
        <f>IF(H59="非个人房产","",4)</f>
        <v/>
      </c>
      <c r="K55" s="3124" t="str">
        <f>IF(H59="非个人房产","——","个人所得税")</f>
        <v>——</v>
      </c>
      <c r="L55" s="3124"/>
      <c r="M55" s="1755" t="str">
        <f>D59</f>
        <v>——</v>
      </c>
      <c r="N55" s="1808" t="str">
        <f>E59</f>
        <v>——</v>
      </c>
      <c r="O55" s="1756" t="str">
        <f>F59</f>
        <v>——</v>
      </c>
    </row>
    <row r="56" spans="1:35" ht="24.75">
      <c r="A56" s="3188" t="s">
        <v>2224</v>
      </c>
      <c r="B56" s="3170"/>
      <c r="C56" s="3170"/>
      <c r="D56" s="185">
        <f ca="1">IF(H56="个人住宅",D57,D58)</f>
        <v>148423</v>
      </c>
      <c r="E56" s="11" t="s">
        <v>2225</v>
      </c>
      <c r="F56" s="184" t="str">
        <f>IF(H56="正常",F58,"免征")</f>
        <v>——</v>
      </c>
      <c r="G56" s="2482" t="s">
        <v>2226</v>
      </c>
      <c r="H56" s="2483" t="s">
        <v>2223</v>
      </c>
      <c r="I56" s="2484"/>
      <c r="J56" s="1810" t="str">
        <f>IF(项目基本情况!K6="上海银行",IF(J55="",4,J55+1),"")</f>
        <v/>
      </c>
      <c r="K56" s="3107" t="str">
        <f>IF(项目基本情况!K6="上海银行","其他处置费用","")</f>
        <v/>
      </c>
      <c r="L56" s="3108"/>
      <c r="M56" s="1752" t="str">
        <f>IF(项目基本情况!K6="上海银行",M69,"")</f>
        <v/>
      </c>
      <c r="N56" s="3110" t="str">
        <f>IF(项目基本情况!K6="上海银行","包含处置中涉及的律师、诉讼、拍卖、评估等费用","")</f>
        <v/>
      </c>
      <c r="O56" s="3111"/>
    </row>
    <row r="57" spans="1:35" ht="12.75">
      <c r="A57" s="183" t="s">
        <v>2199</v>
      </c>
      <c r="B57" s="3155" t="s">
        <v>2227</v>
      </c>
      <c r="C57" s="3156"/>
      <c r="D57" s="187">
        <v>0</v>
      </c>
      <c r="E57" s="23" t="s">
        <v>2201</v>
      </c>
      <c r="F57" s="155"/>
      <c r="G57" s="2480"/>
      <c r="H57" s="2484"/>
      <c r="I57" s="2484"/>
      <c r="J57" s="3124">
        <f>IF(AND(J55="",J56=""),4,IF(项目基本情况!K6="上海银行",结果表!J56+1,结果表!J55+1))</f>
        <v>4</v>
      </c>
      <c r="K57" s="3124" t="s">
        <v>2228</v>
      </c>
      <c r="L57" s="2485" t="s">
        <v>2229</v>
      </c>
      <c r="M57" s="1757"/>
      <c r="N57" s="1758">
        <f ca="1">SUMIF(M52:M56,"&lt;9e307")</f>
        <v>148554</v>
      </c>
      <c r="O57" s="2486"/>
      <c r="P57" s="1751">
        <f ca="1">N57/M49</f>
        <v>0.56740497989022698</v>
      </c>
    </row>
    <row r="58" spans="1:35" ht="24.75">
      <c r="A58" s="183" t="s">
        <v>2210</v>
      </c>
      <c r="B58" s="3155" t="s">
        <v>2230</v>
      </c>
      <c r="C58" s="3168"/>
      <c r="D58" s="185">
        <f ca="1">IF(H58="转让取得",C81,C97)</f>
        <v>148423</v>
      </c>
      <c r="E58" s="11" t="s">
        <v>2225</v>
      </c>
      <c r="F58" s="24" t="s">
        <v>34</v>
      </c>
      <c r="G58" s="2480"/>
      <c r="H58" s="2483" t="s">
        <v>2231</v>
      </c>
      <c r="I58" s="2484"/>
      <c r="J58" s="3124"/>
      <c r="K58" s="3124"/>
      <c r="L58" s="2485" t="s">
        <v>2232</v>
      </c>
      <c r="M58" s="1759"/>
      <c r="N58" s="2487" t="str">
        <f ca="1">NUMBERSTRING(INT(N57*10000),2)&amp;"元整"</f>
        <v>壹拾肆亿捌仟伍佰伍拾肆万元整</v>
      </c>
      <c r="O58" s="2488"/>
    </row>
    <row r="59" spans="1:35" ht="24.75" thickBot="1">
      <c r="A59" s="3128" t="s">
        <v>2233</v>
      </c>
      <c r="B59" s="3129"/>
      <c r="C59" s="3129"/>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26">
        <f>J57+1</f>
        <v>5</v>
      </c>
      <c r="K59" s="3124" t="s">
        <v>2235</v>
      </c>
      <c r="L59" s="1810" t="s">
        <v>2229</v>
      </c>
      <c r="M59" s="1760"/>
      <c r="N59" s="1761">
        <f ca="1">M49-N57</f>
        <v>113259</v>
      </c>
      <c r="O59" s="2490"/>
    </row>
    <row r="60" spans="1:35" ht="12" customHeight="1">
      <c r="A60" s="2491"/>
      <c r="B60" s="2413"/>
      <c r="C60" s="2413"/>
      <c r="D60" s="2413"/>
      <c r="E60" s="2163"/>
      <c r="F60" s="2484"/>
      <c r="G60" s="2484"/>
      <c r="H60" s="2492"/>
      <c r="I60" s="138"/>
      <c r="J60" s="3127"/>
      <c r="K60" s="3124"/>
      <c r="L60" s="2485" t="s">
        <v>2232</v>
      </c>
      <c r="M60" s="1759"/>
      <c r="N60" s="2487" t="str">
        <f ca="1">NUMBERSTRING(INT(N59*10000),2)&amp;"元整"</f>
        <v>壹拾壹亿叁仟贰佰伍拾玖万元整</v>
      </c>
      <c r="O60" s="2488"/>
    </row>
    <row r="61" spans="1:35" ht="13.5" thickBot="1">
      <c r="A61" s="3187" t="s">
        <v>2236</v>
      </c>
      <c r="B61" s="3187"/>
      <c r="C61" s="3187"/>
      <c r="D61" s="3187"/>
      <c r="E61" s="3187"/>
      <c r="F61" s="2484"/>
      <c r="G61" s="2484"/>
      <c r="H61" s="2492"/>
      <c r="I61" s="138"/>
      <c r="J61" s="1810">
        <f>J59+1</f>
        <v>6</v>
      </c>
      <c r="K61" s="3124" t="s">
        <v>2237</v>
      </c>
      <c r="L61" s="3124"/>
      <c r="M61" s="1762"/>
      <c r="N61" s="1763">
        <f ca="1">ROUND(N59*10000/'数据-汇总表'!E3,0)</f>
        <v>19058</v>
      </c>
      <c r="O61" s="2493"/>
    </row>
    <row r="62" spans="1:35" ht="12.75">
      <c r="A62" s="3144" t="s">
        <v>2238</v>
      </c>
      <c r="B62" s="3145"/>
      <c r="C62" s="1802"/>
      <c r="D62" s="1802" t="s">
        <v>2239</v>
      </c>
      <c r="E62" s="192" t="s">
        <v>2240</v>
      </c>
      <c r="F62" s="2484"/>
      <c r="G62" s="2484"/>
      <c r="H62" s="2492"/>
      <c r="I62" s="138"/>
    </row>
    <row r="63" spans="1:35" ht="12.75">
      <c r="A63" s="203" t="s">
        <v>775</v>
      </c>
      <c r="B63" s="193" t="s">
        <v>2241</v>
      </c>
      <c r="C63" s="194">
        <f ca="1">ROUND((C64+C65)/(1+'数据-取费表'!C42),0)</f>
        <v>249346</v>
      </c>
      <c r="D63" s="195"/>
      <c r="E63" s="196"/>
      <c r="F63" s="2484"/>
      <c r="G63" s="2484"/>
      <c r="H63" s="2492"/>
      <c r="I63" s="138"/>
      <c r="J63" s="3109" t="s">
        <v>2242</v>
      </c>
      <c r="K63" s="2494" t="s">
        <v>2243</v>
      </c>
      <c r="L63" s="1750">
        <f ca="1">IF(M49&gt;10000,M49*0.5%,IF(AND(M49&gt;1000,M49&lt;=10000),M49*1%,IF(AND(M49&gt;100,M49&lt;=1000),M49*3%,IF(AND(M49&gt;10,M49&lt;=100),M49*5%,M49*8%))))</f>
        <v>1309.0650000000001</v>
      </c>
      <c r="M63" s="24">
        <f ca="1">ROUND(L63,1)</f>
        <v>1309.0999999999999</v>
      </c>
      <c r="Z63" s="2418"/>
      <c r="AI63" s="2419"/>
    </row>
    <row r="64" spans="1:35" ht="14.25" customHeight="1">
      <c r="A64" s="197" t="s">
        <v>770</v>
      </c>
      <c r="B64" s="198" t="s">
        <v>2244</v>
      </c>
      <c r="C64" s="199">
        <f ca="1">D45</f>
        <v>261813</v>
      </c>
      <c r="D64" s="200" t="s">
        <v>32</v>
      </c>
      <c r="E64" s="201"/>
      <c r="F64" s="2484"/>
      <c r="G64" s="2484"/>
      <c r="H64" s="2492"/>
      <c r="I64" s="138"/>
      <c r="J64" s="3109"/>
      <c r="K64" s="2494" t="s">
        <v>2245</v>
      </c>
      <c r="L64" s="1750">
        <f ca="1">IF(M49&gt;2000,M49*0.5%,IF(AND(M49&gt;1000,M49&lt;=2000),M49*0.6%,IF(AND(M49&gt;500,M49&lt;=1000),M49*0.7%,IF(AND(M49&gt;200,M49&lt;=500),M49*0.8%,IF(AND(M49&gt;100,M49&lt;=200),M49*0.9%,IF(AND(M49&gt;50,M49&lt;=100),M49*1%,IF(AND(M49&gt;20,M49&lt;=50),M49*1.5%,IF(AND(M49&gt;10,M49&lt;=20),M49*2%,IF(AND(M49&gt;1,M49&lt;=10),M49*2.5%)))))))))</f>
        <v>1309.0650000000001</v>
      </c>
      <c r="M64" s="24">
        <f ca="1">ROUND(L64,1)</f>
        <v>1309.0999999999999</v>
      </c>
      <c r="N64" s="138" t="s">
        <v>2246</v>
      </c>
      <c r="Z64" s="2418"/>
      <c r="AI64" s="2419"/>
    </row>
    <row r="65" spans="1:35" ht="14.25" customHeight="1">
      <c r="A65" s="197" t="s">
        <v>771</v>
      </c>
      <c r="B65" s="198" t="s">
        <v>2247</v>
      </c>
      <c r="C65" s="202"/>
      <c r="D65" s="200"/>
      <c r="E65" s="201"/>
      <c r="F65" s="2484"/>
      <c r="G65" s="2484"/>
      <c r="H65" s="2492"/>
      <c r="I65" s="138"/>
      <c r="J65" s="3109"/>
      <c r="K65" s="2494" t="s">
        <v>2248</v>
      </c>
      <c r="L65" s="1750">
        <f ca="1">IF(M49&gt;1000,M49*0.1%,IF(AND(M49&gt;500,M49&lt;=1000),M49*0.5%,IF(AND(M49&gt;50,M49&lt;=500),M49*1%,IF(AND(M49&gt;1,M49&lt;=50),M49*1.5%))))</f>
        <v>261.81299999999999</v>
      </c>
      <c r="M65" s="24">
        <f ca="1">ROUND(L65,1)</f>
        <v>261.8</v>
      </c>
      <c r="N65" s="138" t="s">
        <v>2246</v>
      </c>
      <c r="Z65" s="2418"/>
      <c r="AI65" s="2419"/>
    </row>
    <row r="66" spans="1:35" ht="14.25" customHeight="1">
      <c r="A66" s="203" t="s">
        <v>772</v>
      </c>
      <c r="B66" s="204" t="s">
        <v>2249</v>
      </c>
      <c r="C66" s="205"/>
      <c r="D66" s="206" t="s">
        <v>32</v>
      </c>
      <c r="E66" s="1774" t="s">
        <v>1371</v>
      </c>
      <c r="F66" s="2484"/>
      <c r="G66" s="2484"/>
      <c r="H66" s="2492"/>
      <c r="I66" s="138"/>
      <c r="J66" s="3109"/>
      <c r="K66" s="2494" t="s">
        <v>2250</v>
      </c>
      <c r="L66" s="1750">
        <f ca="1">M49*0.5%</f>
        <v>1309.0650000000001</v>
      </c>
      <c r="M66" s="24">
        <f ca="1">IF(L66&gt;0.5,0.5,ROUND(L66,0))</f>
        <v>0.5</v>
      </c>
      <c r="N66" s="138" t="s">
        <v>2251</v>
      </c>
      <c r="Z66" s="2418"/>
      <c r="AI66" s="2419"/>
    </row>
    <row r="67" spans="1:35" ht="14.25" customHeight="1">
      <c r="A67" s="203" t="s">
        <v>773</v>
      </c>
      <c r="B67" s="204" t="s">
        <v>2252</v>
      </c>
      <c r="C67" s="207">
        <f ca="1">C63-C66</f>
        <v>249346</v>
      </c>
      <c r="D67" s="200" t="s">
        <v>32</v>
      </c>
      <c r="E67" s="201"/>
      <c r="F67" s="2484"/>
      <c r="G67" s="2484"/>
      <c r="H67" s="2492"/>
      <c r="I67" s="138"/>
      <c r="J67" s="3109"/>
      <c r="K67" s="2494" t="s">
        <v>2253</v>
      </c>
      <c r="L67" s="1750">
        <f ca="1">IF(M49&gt;=10000,(8.25+(M49-10000)*0.01%),IF(AND(M49&gt;=8000,M49&lt;10000),(7.85+(M49-8000)*0.02%),IF(AND(M49&gt;=5000,M49&lt;8000),(6.65+(M49-5000)*0.04%),IF(AND(M49&gt;=2000,M49&lt;5000),(4.25+(PM49-2000)*0.08%),IF(AND(M49&gt;=1000,M49&lt;2000),(2.75+(M49-1000)*0.15%),IF(AND(M49&gt;=100,M49&lt;1000),(0.5+(M49-100)*0.25%),IF(AND(M49&gt;0,M49&lt;100),M49*0.5%)))))))</f>
        <v>33.4313</v>
      </c>
      <c r="M67" s="24">
        <f ca="1">ROUND(L67*0.9,1)</f>
        <v>30.1</v>
      </c>
      <c r="Z67" s="2418"/>
      <c r="AI67" s="2419"/>
    </row>
    <row r="68" spans="1:35" ht="14.25" customHeight="1" thickBot="1">
      <c r="A68" s="208" t="s">
        <v>774</v>
      </c>
      <c r="B68" s="209" t="s">
        <v>2254</v>
      </c>
      <c r="C68" s="210">
        <f ca="1">IF(C67&lt;=0,0,ROUND(C67*D68,0))</f>
        <v>13714</v>
      </c>
      <c r="D68" s="211">
        <f>'数据-取费表'!B41</f>
        <v>5.5000000000000007E-2</v>
      </c>
      <c r="E68" s="212"/>
      <c r="F68" s="2484"/>
      <c r="G68" s="2484"/>
      <c r="H68" s="2492"/>
      <c r="I68" s="138"/>
      <c r="J68" s="3109"/>
      <c r="K68" s="2494" t="s">
        <v>2255</v>
      </c>
      <c r="L68" s="1750">
        <f ca="1">IF(M49&gt;10000,M49*0.5%,IF(AND(M49&gt;5000,M49&lt;=10000),M49*1%,IF(AND(M49&gt;1000,M49&lt;=5000),M49*2%,IF(AND(M49&gt;200,M49&lt;=1000),M49*3%,M49*5%))))</f>
        <v>1309.0650000000001</v>
      </c>
      <c r="M68" s="24">
        <f ca="1">ROUND(L68,1)</f>
        <v>1309.0999999999999</v>
      </c>
      <c r="Z68" s="2418"/>
      <c r="AI68" s="2419"/>
    </row>
    <row r="69" spans="1:35" s="2441" customFormat="1" ht="16.5" customHeight="1">
      <c r="A69" s="2495"/>
      <c r="B69" s="2496"/>
      <c r="C69" s="2497"/>
      <c r="D69" s="2498"/>
      <c r="E69" s="2499"/>
      <c r="F69" s="2163"/>
      <c r="G69" s="2163"/>
      <c r="H69" s="2162"/>
      <c r="I69" s="2413"/>
      <c r="J69" s="3109"/>
      <c r="K69" s="2494" t="s">
        <v>2256</v>
      </c>
      <c r="L69" s="2500"/>
      <c r="M69" s="24">
        <f ca="1">ROUND(SUM(M63:M68),0)</f>
        <v>4220</v>
      </c>
      <c r="N69" s="1751">
        <f ca="1">M69/M49</f>
        <v>1.6118374565052156E-2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3" t="s">
        <v>2257</v>
      </c>
      <c r="B70" s="3154"/>
      <c r="C70" s="3154"/>
      <c r="D70" s="3154"/>
      <c r="E70" s="3154"/>
      <c r="F70" s="3154"/>
      <c r="G70" s="3154"/>
      <c r="H70" s="315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4" t="s">
        <v>2238</v>
      </c>
      <c r="B71" s="3145"/>
      <c r="C71" s="1802"/>
      <c r="D71" s="1802"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249346</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1247</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50" t="s">
        <v>2266</v>
      </c>
      <c r="F76" s="3149"/>
      <c r="G76" s="3149"/>
      <c r="H76" s="315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1247</v>
      </c>
      <c r="D78" s="226">
        <f>'数据-取费表'!B43</f>
        <v>5.000000000000001E-3</v>
      </c>
      <c r="E78" s="3141" t="s">
        <v>2271</v>
      </c>
      <c r="F78" s="3142"/>
      <c r="G78" s="3142"/>
      <c r="H78" s="314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248099</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198.95669607056936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148423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3" t="s">
        <v>2275</v>
      </c>
      <c r="B83" s="3154"/>
      <c r="C83" s="3154"/>
      <c r="D83" s="3154"/>
      <c r="E83" s="3154"/>
      <c r="F83" s="3154"/>
      <c r="G83" s="3154"/>
      <c r="H83" s="315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4" t="s">
        <v>2238</v>
      </c>
      <c r="B84" s="3145"/>
      <c r="C84" s="1802"/>
      <c r="D84" s="1802"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249346</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1247</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8"/>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41" t="s">
        <v>2284</v>
      </c>
      <c r="F91" s="3142"/>
      <c r="G91" s="3142"/>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41" t="s">
        <v>2288</v>
      </c>
      <c r="F92" s="3142"/>
      <c r="G92" s="3142"/>
      <c r="H92" s="314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1247</v>
      </c>
      <c r="D93" s="226">
        <f>'数据-取费表'!B43</f>
        <v>5.000000000000001E-3</v>
      </c>
      <c r="E93" s="3141" t="s">
        <v>2271</v>
      </c>
      <c r="F93" s="3142"/>
      <c r="G93" s="3142"/>
      <c r="H93" s="314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89" t="s">
        <v>2292</v>
      </c>
      <c r="F94" s="3190"/>
      <c r="G94" s="3190"/>
      <c r="H94" s="319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248099</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198.95669607056936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148423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2293</v>
      </c>
      <c r="B99" s="2413"/>
      <c r="C99" s="2413"/>
      <c r="D99" s="2413"/>
      <c r="E99" s="2163"/>
      <c r="F99" s="2163"/>
      <c r="G99" s="2163"/>
      <c r="H99" s="2162"/>
      <c r="I99" s="138"/>
    </row>
    <row r="100" spans="1:35" ht="18.75" customHeight="1">
      <c r="A100" s="3093" t="s">
        <v>2294</v>
      </c>
      <c r="B100" s="3094"/>
      <c r="C100" s="3094"/>
      <c r="D100" s="3125"/>
      <c r="E100" s="3094" t="s">
        <v>2295</v>
      </c>
      <c r="F100" s="3094"/>
      <c r="G100" s="3094"/>
      <c r="H100" s="3125"/>
      <c r="I100" s="138"/>
    </row>
    <row r="101" spans="1:35" ht="18.75" customHeight="1">
      <c r="A101" s="3133" t="s">
        <v>2296</v>
      </c>
      <c r="B101" s="3134"/>
      <c r="C101" s="735" t="str">
        <f>C4</f>
        <v>成本法</v>
      </c>
      <c r="D101" s="736" t="str">
        <f>D4</f>
        <v>假设开发法</v>
      </c>
      <c r="E101" s="3105" t="s">
        <v>2297</v>
      </c>
      <c r="F101" s="3106"/>
      <c r="G101" s="2515" t="s">
        <v>2298</v>
      </c>
      <c r="H101" s="1047">
        <f ca="1">H118</f>
        <v>261813</v>
      </c>
      <c r="I101" s="138"/>
    </row>
    <row r="102" spans="1:35" ht="18.75" customHeight="1">
      <c r="A102" s="3135" t="s">
        <v>2299</v>
      </c>
      <c r="B102" s="2515" t="s">
        <v>2298</v>
      </c>
      <c r="C102" s="735">
        <f ca="1">C19</f>
        <v>231193</v>
      </c>
      <c r="D102" s="736">
        <f ca="1">D19</f>
        <v>292432</v>
      </c>
      <c r="E102" s="3105"/>
      <c r="F102" s="3106"/>
      <c r="G102" s="2515" t="s">
        <v>2300</v>
      </c>
      <c r="H102" s="371">
        <f ca="1">I118</f>
        <v>44055</v>
      </c>
      <c r="I102" s="138"/>
    </row>
    <row r="103" spans="1:35" ht="42.75" customHeight="1">
      <c r="A103" s="3135"/>
      <c r="B103" s="2515" t="s">
        <v>2300</v>
      </c>
      <c r="C103" s="737">
        <f ca="1">C20</f>
        <v>38902</v>
      </c>
      <c r="D103" s="738">
        <f ca="1">D20</f>
        <v>49207</v>
      </c>
      <c r="E103" s="3099" t="s">
        <v>2301</v>
      </c>
      <c r="F103" s="3100"/>
      <c r="G103" s="2516" t="s">
        <v>2302</v>
      </c>
      <c r="H103" s="1047">
        <f>IF(D36="正常操作",H104+H105+H106,H105+H106)</f>
        <v>0</v>
      </c>
      <c r="I103" s="138"/>
    </row>
    <row r="104" spans="1:35" ht="18.75" customHeight="1">
      <c r="A104" s="3135" t="s">
        <v>2303</v>
      </c>
      <c r="B104" s="2517" t="s">
        <v>2298</v>
      </c>
      <c r="C104" s="739">
        <f ca="1">H118</f>
        <v>261813</v>
      </c>
      <c r="D104" s="740"/>
      <c r="E104" s="2263" t="s">
        <v>2304</v>
      </c>
      <c r="F104" s="2255"/>
      <c r="G104" s="2516" t="s">
        <v>2302</v>
      </c>
      <c r="H104" s="1048">
        <f>IF(D36="同一抵押权人同一抵押物续贷",C36&amp;"（未扣减，详见特别提示）",C36)</f>
        <v>0</v>
      </c>
      <c r="I104" s="138"/>
    </row>
    <row r="105" spans="1:35" ht="18.75" customHeight="1" thickBot="1">
      <c r="A105" s="3147"/>
      <c r="B105" s="2518" t="s">
        <v>2300</v>
      </c>
      <c r="C105" s="741">
        <f ca="1">I118</f>
        <v>44055</v>
      </c>
      <c r="D105" s="742"/>
      <c r="E105" s="2263" t="s">
        <v>2305</v>
      </c>
      <c r="F105" s="2255"/>
      <c r="G105" s="2516" t="s">
        <v>2302</v>
      </c>
      <c r="H105" s="1048">
        <f>C37</f>
        <v>0</v>
      </c>
      <c r="I105" s="138"/>
    </row>
    <row r="106" spans="1:35" ht="18.75" customHeight="1">
      <c r="A106" s="2413" t="s">
        <v>2306</v>
      </c>
      <c r="B106" s="2413"/>
      <c r="C106" s="2413"/>
      <c r="D106" s="2413"/>
      <c r="E106" s="2519" t="s">
        <v>2307</v>
      </c>
      <c r="F106" s="2255"/>
      <c r="G106" s="2516" t="s">
        <v>2302</v>
      </c>
      <c r="H106" s="1048">
        <f>C38</f>
        <v>0</v>
      </c>
      <c r="I106" s="138"/>
    </row>
    <row r="107" spans="1:35" ht="18.75" customHeight="1">
      <c r="A107" s="138"/>
      <c r="B107" s="138"/>
      <c r="C107" s="138"/>
      <c r="D107" s="138"/>
      <c r="E107" s="3136" t="str">
        <f>IF(项目基本情况!E8="已注销","——","3.房地产抵押价值")</f>
        <v>3.房地产抵押价值</v>
      </c>
      <c r="F107" s="3106"/>
      <c r="G107" s="2515" t="s">
        <v>2298</v>
      </c>
      <c r="H107" s="1047">
        <f ca="1">IF(E107="——","——",H101-H103)</f>
        <v>261813</v>
      </c>
      <c r="I107" s="138"/>
    </row>
    <row r="108" spans="1:35" ht="18.75" customHeight="1">
      <c r="A108" s="138"/>
      <c r="B108" s="138"/>
      <c r="C108" s="138"/>
      <c r="D108" s="138"/>
      <c r="E108" s="3136"/>
      <c r="F108" s="3106"/>
      <c r="G108" s="2515" t="s">
        <v>2300</v>
      </c>
      <c r="H108" s="371">
        <f ca="1">ROUND(H107*10000/'数据-汇总表'!E3,0)</f>
        <v>44055</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15" t="s">
        <v>2298</v>
      </c>
      <c r="H109" s="348" t="str">
        <f>IF(E109="——","——",H101-H105-H106)</f>
        <v>——</v>
      </c>
      <c r="I109" s="138"/>
    </row>
    <row r="110" spans="1:35" ht="18.75" customHeight="1">
      <c r="A110" s="138"/>
      <c r="B110" s="138"/>
      <c r="C110" s="138"/>
      <c r="D110" s="138"/>
      <c r="E110" s="3136"/>
      <c r="F110" s="3106"/>
      <c r="G110" s="2515" t="s">
        <v>2300</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5" t="s">
        <v>2298</v>
      </c>
      <c r="H111" s="1047" t="str">
        <f>IF(E111="——","——",N59)</f>
        <v>——</v>
      </c>
      <c r="I111" s="138"/>
    </row>
    <row r="112" spans="1:35" ht="18.75" customHeight="1" thickBot="1">
      <c r="A112" s="138"/>
      <c r="B112" s="138"/>
      <c r="C112" s="138"/>
      <c r="D112" s="138"/>
      <c r="E112" s="3139"/>
      <c r="F112" s="3140"/>
      <c r="G112" s="2520" t="s">
        <v>2300</v>
      </c>
      <c r="H112" s="789" t="str">
        <f>IF(E111="——","——",N61)</f>
        <v>——</v>
      </c>
      <c r="I112" s="138"/>
    </row>
    <row r="113" spans="1:11" ht="18.75" customHeight="1">
      <c r="A113" s="138"/>
      <c r="B113" s="138"/>
      <c r="C113" s="138"/>
      <c r="D113" s="138"/>
      <c r="E113" s="3148" t="s">
        <v>2306</v>
      </c>
      <c r="F113" s="3148"/>
      <c r="G113" s="3148"/>
      <c r="H113" s="3148"/>
      <c r="I113" s="138"/>
    </row>
    <row r="114" spans="1:11" ht="3.75" customHeight="1">
      <c r="A114" s="2413"/>
      <c r="B114" s="2413"/>
      <c r="C114" s="2413"/>
      <c r="D114" s="2413"/>
      <c r="E114" s="2491"/>
      <c r="F114" s="2491"/>
      <c r="G114" s="2491"/>
      <c r="H114" s="2491"/>
      <c r="I114" s="2413"/>
    </row>
    <row r="115" spans="1:11" ht="18.75" customHeight="1">
      <c r="A115" s="3161" t="s">
        <v>2308</v>
      </c>
      <c r="B115" s="3162"/>
      <c r="C115" s="3162"/>
      <c r="D115" s="3162"/>
      <c r="E115" s="3162"/>
      <c r="F115" s="3162"/>
      <c r="G115" s="3162"/>
      <c r="H115" s="3162"/>
      <c r="I115" s="3163"/>
    </row>
    <row r="116" spans="1:11" ht="27" customHeight="1">
      <c r="A116" s="3072" t="s">
        <v>2309</v>
      </c>
      <c r="B116" s="3115" t="s">
        <v>2310</v>
      </c>
      <c r="C116" s="3115" t="s">
        <v>2311</v>
      </c>
      <c r="D116" s="3121" t="s">
        <v>2312</v>
      </c>
      <c r="E116" s="3122"/>
      <c r="F116" s="3157" t="s">
        <v>2313</v>
      </c>
      <c r="G116" s="3157"/>
      <c r="H116" s="3072" t="s">
        <v>2314</v>
      </c>
      <c r="I116" s="3072"/>
    </row>
    <row r="117" spans="1:11" ht="18.75" customHeight="1">
      <c r="A117" s="3072"/>
      <c r="B117" s="3116"/>
      <c r="C117" s="3116"/>
      <c r="D117" s="1796" t="s">
        <v>2315</v>
      </c>
      <c r="E117" s="1796" t="s">
        <v>2316</v>
      </c>
      <c r="F117" s="1796" t="s">
        <v>2315</v>
      </c>
      <c r="G117" s="1796" t="s">
        <v>2317</v>
      </c>
      <c r="H117" s="1796" t="s">
        <v>2315</v>
      </c>
      <c r="I117" s="1796" t="s">
        <v>2317</v>
      </c>
    </row>
    <row r="118" spans="1:11" ht="24.75" customHeight="1">
      <c r="A118" s="2521" t="str">
        <f>项目基本情况!S2</f>
        <v>北京市顺义区高丽营镇于庄村西出让国有建设用地使用权及在建建筑物房地产</v>
      </c>
      <c r="B118" s="1796">
        <f>M18</f>
        <v>59428.920000000027</v>
      </c>
      <c r="C118" s="1796">
        <f>M19</f>
        <v>32289.56</v>
      </c>
      <c r="D118" s="1796">
        <f ca="1">ROUND(IF(D32="总价",C34,E118*B118/10000),0)</f>
        <v>226992</v>
      </c>
      <c r="E118" s="1796">
        <f ca="1">ROUND(IF(C33="自定义",IF(D32="楼面单价",C34,D118*10000/B118),I118-G118),0)</f>
        <v>38196</v>
      </c>
      <c r="F118" s="1796">
        <f ca="1">ROUND(IF(D32="总价",C35,G118*B118/10000),0)</f>
        <v>34821</v>
      </c>
      <c r="G118" s="1796">
        <f ca="1">ROUND(IF(D32="楼面单价",C35,F118*10000/B118),0)</f>
        <v>5859</v>
      </c>
      <c r="H118" s="1796">
        <f ca="1">ROUND(IF(D32="总价",C32,I118*B118/10000),0)</f>
        <v>261813</v>
      </c>
      <c r="I118" s="1796">
        <f ca="1">ROUND(IF(D32="楼面单价",C32,H118*10000/B118),0)</f>
        <v>44055</v>
      </c>
    </row>
    <row r="119" spans="1:11" ht="18.75" customHeight="1">
      <c r="A119" s="3072" t="s">
        <v>2318</v>
      </c>
      <c r="B119" s="3072"/>
      <c r="C119" s="3072"/>
      <c r="D119" s="3117" t="str">
        <f ca="1">NUMBERSTRING(INT(D118*10000),2)&amp;"元整"</f>
        <v>贰拾贰亿陆仟玖佰玖拾贰万元整</v>
      </c>
      <c r="E119" s="3118"/>
      <c r="F119" s="3117" t="str">
        <f ca="1">NUMBERSTRING(INT(F118*10000),2)&amp;"元整"</f>
        <v>叁亿肆仟捌佰贰拾壹万元整</v>
      </c>
      <c r="G119" s="3118"/>
      <c r="H119" s="3117" t="str">
        <f ca="1">NUMBERSTRING(INT(H118*10000),2)&amp;"元整"</f>
        <v>贰拾陆亿壹仟捌佰壹拾叁万元整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18" t="str">
        <f>IF(D120=0,"故，本次评估不存在"&amp;A120,"故，本次评估"&amp;A120&amp;"为人民币"&amp;D120&amp;"万元整。")</f>
        <v>故，本次评估不存在估价师知悉的法定优先受偿款</v>
      </c>
    </row>
    <row r="121" spans="1:11" ht="18.75" customHeight="1">
      <c r="A121" s="3158" t="s">
        <v>2318</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261813</v>
      </c>
      <c r="E122" s="3113"/>
      <c r="F122" s="3113"/>
      <c r="G122" s="3113"/>
      <c r="H122" s="3113"/>
      <c r="I122" s="3114"/>
    </row>
    <row r="123" spans="1:11" ht="18.75" customHeight="1">
      <c r="A123" s="3072" t="s">
        <v>2318</v>
      </c>
      <c r="B123" s="3072"/>
      <c r="C123" s="3072"/>
      <c r="D123" s="3117" t="str">
        <f ca="1">NUMBERSTRING(INT(D122*10000),2)&amp;"元整"</f>
        <v>贰拾陆亿壹仟捌佰壹拾叁万元整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2318</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2318</v>
      </c>
      <c r="B127" s="3072"/>
      <c r="C127" s="3072"/>
      <c r="D127" s="3117" t="e">
        <f>NUMBERSTRING(INT(D126*10000),2)&amp;"元整"</f>
        <v>#VALUE!</v>
      </c>
      <c r="E127" s="3119"/>
      <c r="F127" s="3119"/>
      <c r="G127" s="3119"/>
      <c r="H127" s="3119"/>
      <c r="I127" s="3118"/>
    </row>
    <row r="128" spans="1:11" ht="21.75" customHeight="1">
      <c r="A128" s="3120" t="s">
        <v>2319</v>
      </c>
      <c r="B128" s="3120"/>
      <c r="C128" s="3120"/>
      <c r="D128" s="3120"/>
      <c r="E128" s="3120"/>
      <c r="F128" s="3120"/>
      <c r="G128" s="3120"/>
      <c r="H128" s="3120"/>
      <c r="I128" s="3120"/>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2322</v>
      </c>
      <c r="G135" s="2539"/>
      <c r="H135" s="2539"/>
      <c r="I135" s="2540" t="s">
        <v>2323</v>
      </c>
    </row>
    <row r="136" spans="1:35" ht="21.75" customHeight="1">
      <c r="A136" s="794"/>
      <c r="B136" s="2541"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2325</v>
      </c>
    </row>
    <row r="139" spans="1:35" ht="21.75" customHeight="1">
      <c r="A139" s="794"/>
      <c r="B139" s="2541" t="s">
        <v>2326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8"/>
      <c r="C1" s="242"/>
      <c r="D1" s="242"/>
      <c r="E1" s="242"/>
      <c r="F1" s="242"/>
      <c r="G1" s="1381">
        <f>MATCH(B1,'数据-取费表'!A6:A16,0)+5</f>
        <v>9</v>
      </c>
    </row>
    <row r="2" spans="1:9" s="244" customFormat="1" ht="18" customHeight="1">
      <c r="A2" s="245" t="s">
        <v>2328</v>
      </c>
      <c r="B2" s="246">
        <f ca="1">IF(D2="——",C52,C52-E2)</f>
        <v>231193</v>
      </c>
      <c r="C2" s="243" t="s">
        <v>2329</v>
      </c>
      <c r="D2" s="2544" t="s">
        <v>70</v>
      </c>
      <c r="E2" s="1442"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38902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141605</v>
      </c>
      <c r="D5" s="255" t="s">
        <v>2335</v>
      </c>
      <c r="E5" s="256" t="s">
        <v>2336</v>
      </c>
      <c r="F5" s="256" t="s">
        <v>2337</v>
      </c>
      <c r="G5" s="257"/>
    </row>
    <row r="6" spans="1:9" s="258" customFormat="1" ht="13.5" customHeight="1">
      <c r="A6" s="951" t="s">
        <v>2338</v>
      </c>
      <c r="B6" s="259" t="s">
        <v>2339</v>
      </c>
      <c r="C6" s="3003">
        <f>'土地比较法-住宅、综合'!B2</f>
        <v>137414</v>
      </c>
      <c r="D6" s="261"/>
      <c r="E6" s="262"/>
      <c r="F6" s="262"/>
      <c r="G6" s="263"/>
    </row>
    <row r="7" spans="1:9" s="258" customFormat="1" ht="13.5" customHeight="1">
      <c r="A7" s="951" t="s">
        <v>2340</v>
      </c>
      <c r="B7" s="259" t="s">
        <v>2341</v>
      </c>
      <c r="C7" s="264">
        <f>ROUND(C6*F7,0)</f>
        <v>4191</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0</v>
      </c>
      <c r="D8" s="266"/>
      <c r="E8" s="264"/>
      <c r="F8" s="265"/>
      <c r="G8" s="2547" t="s">
        <v>3362</v>
      </c>
    </row>
    <row r="9" spans="1:9" s="258" customFormat="1" ht="13.5" customHeight="1">
      <c r="A9" s="952" t="s">
        <v>800</v>
      </c>
      <c r="B9" s="268" t="s">
        <v>2344</v>
      </c>
      <c r="C9" s="269">
        <f ca="1">ROUND(D9*E9/10000,0)</f>
        <v>0</v>
      </c>
      <c r="D9" s="1034">
        <f ca="1">IF(B1="",'数据-汇总表'!E5,IF(INDIRECT("'数据-取费表'!c"&amp;$G$1)="住宅",INDIRECT("'数据-取费表'!k"&amp;$G$1),0))</f>
        <v>39446.86</v>
      </c>
      <c r="E9" s="269">
        <f>'数据-取费表'!B27</f>
        <v>0</v>
      </c>
      <c r="F9" s="265"/>
      <c r="G9" s="2548" t="s">
        <v>3363</v>
      </c>
      <c r="H9" s="1392"/>
      <c r="I9" s="2549" t="s">
        <v>2345</v>
      </c>
    </row>
    <row r="10" spans="1:9" s="258" customFormat="1" ht="13.5" customHeight="1">
      <c r="A10" s="952" t="s">
        <v>801</v>
      </c>
      <c r="B10" s="268" t="s">
        <v>2346</v>
      </c>
      <c r="C10" s="269">
        <f ca="1">ROUND(D10*E10/10000,0)</f>
        <v>0</v>
      </c>
      <c r="D10" s="1034">
        <f ca="1">IF(B1="",'数据-汇总表'!E6,IF(INDIRECT("'数据-取费表'!c"&amp;$G$1)="住宅",INDIRECT("'数据-取费表'!s"&amp;$G$1),INDIRECT("'数据-取费表'!k"&amp;$G$1)+INDIRECT("'数据-取费表'!s"&amp;$G$1)))</f>
        <v>19982.060000000027</v>
      </c>
      <c r="E10" s="269">
        <f>'数据-取费表'!B28</f>
        <v>0</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t="str">
        <f>IF(G19="已包含在土地取得成本中","0",ROUND(D19*E19/10000,0))</f>
        <v>0</v>
      </c>
      <c r="D19" s="1038">
        <f ca="1">D9+D10</f>
        <v>59428.920000000027</v>
      </c>
      <c r="E19" s="255">
        <f>'数据-取费表'!B31</f>
        <v>200</v>
      </c>
      <c r="F19" s="275"/>
      <c r="G19" s="2547" t="s">
        <v>3364</v>
      </c>
    </row>
    <row r="20" spans="1:7" s="258" customFormat="1" ht="13.5" customHeight="1">
      <c r="A20" s="299" t="s">
        <v>2359</v>
      </c>
      <c r="B20" s="254" t="s">
        <v>2360</v>
      </c>
      <c r="C20" s="276">
        <f>ROUND((C5+C19)*F20,0)</f>
        <v>4248</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6">
        <f ca="1">ROUND(SUM(C23:C25),0)</f>
        <v>8936</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7">
        <f ca="1">ROUND(IF('数据-取费表'!B22&lt;=1,C5*F22*'数据-取费表'!B23,C5*(POWER((1+F22),'数据-取费表'!B23)-1)),0)</f>
        <v>8806</v>
      </c>
      <c r="D23" s="282"/>
      <c r="E23" s="282"/>
      <c r="F23" s="283"/>
      <c r="G23" s="284" t="s">
        <v>2370</v>
      </c>
    </row>
    <row r="24" spans="1:7" s="258" customFormat="1" ht="13.5" customHeight="1">
      <c r="A24" s="953"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3" t="s">
        <v>2374</v>
      </c>
      <c r="B25" s="259" t="s">
        <v>2375</v>
      </c>
      <c r="C25" s="1357">
        <f ca="1">ROUND(IF('数据-取费表'!B22&lt;=1,C20*F22*'数据-取费表'!B23/2,C20*(POWER((1+F22),'数据-取费表'!B23/2)-1)),0)</f>
        <v>130</v>
      </c>
      <c r="D25" s="282"/>
      <c r="E25" s="285"/>
      <c r="F25" s="283"/>
      <c r="G25" s="286" t="s">
        <v>2376</v>
      </c>
    </row>
    <row r="26" spans="1:7" s="258" customFormat="1">
      <c r="A26" s="953" t="s">
        <v>795</v>
      </c>
      <c r="B26" s="259" t="s">
        <v>2377</v>
      </c>
      <c r="C26" s="282">
        <f ca="1">ROUND(IF('数据-取费表'!B22&lt;=1,F21*F22*'数据-取费表'!B23/2,F21*(POWER((1+F22),'数据-取费表'!B23/2)-1)),4)</f>
        <v>8.9999999999999998E-4</v>
      </c>
      <c r="D26" s="282"/>
      <c r="E26" s="285"/>
      <c r="F26" s="283"/>
      <c r="G26" s="287"/>
    </row>
    <row r="27" spans="1:7" s="258" customFormat="1" ht="24.75">
      <c r="A27" s="299" t="s">
        <v>2378</v>
      </c>
      <c r="B27" s="288" t="s">
        <v>2379</v>
      </c>
      <c r="C27" s="289">
        <f ca="1">C28</f>
        <v>27809</v>
      </c>
      <c r="D27" s="279">
        <f ca="1">C29</f>
        <v>5.7000000000000002E-3</v>
      </c>
      <c r="E27" s="280" t="s">
        <v>2380</v>
      </c>
      <c r="F27" s="290">
        <f ca="1">IF(B1="",'数据-取费表'!Q16,INDIRECT("'数据-取费表'!q"&amp;$G$1))</f>
        <v>0.22</v>
      </c>
      <c r="G27" s="291" t="s">
        <v>2381</v>
      </c>
    </row>
    <row r="28" spans="1:7" s="258" customFormat="1" ht="13.5" customHeight="1">
      <c r="A28" s="953" t="s">
        <v>791</v>
      </c>
      <c r="B28" s="292" t="s">
        <v>2382</v>
      </c>
      <c r="C28" s="293">
        <f ca="1">ROUND((C5+C19+C20)*F27*'数据-取费表'!B21/'数据-取费表'!B20,0)</f>
        <v>27809</v>
      </c>
      <c r="D28" s="279"/>
      <c r="E28" s="280"/>
      <c r="F28" s="290"/>
      <c r="G28" s="291"/>
    </row>
    <row r="29" spans="1:7" s="258" customFormat="1" ht="13.5" customHeight="1">
      <c r="A29" s="953" t="s">
        <v>792</v>
      </c>
      <c r="B29" s="292" t="s">
        <v>2383</v>
      </c>
      <c r="C29" s="282">
        <f ca="1">ROUND(C21*F27*'数据-取费表'!B21/'数据-取费表'!B20,4)</f>
        <v>5.7000000000000002E-3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200437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21730</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18876</v>
      </c>
      <c r="D34" s="261"/>
      <c r="E34" s="264"/>
      <c r="F34" s="301">
        <f ca="1">IF('数据-取费表'!B24=0,1,IF(B1="",'数据-取费表'!N16,INDIRECT("'数据-取费表'!n"&amp;$G$1)))</f>
        <v>0.9</v>
      </c>
      <c r="G34" s="263" t="s">
        <v>2392</v>
      </c>
    </row>
    <row r="35" spans="1:7" ht="13.5" customHeight="1">
      <c r="A35" s="953" t="s">
        <v>796</v>
      </c>
      <c r="B35" s="259" t="s">
        <v>2393</v>
      </c>
      <c r="C35" s="264">
        <f ca="1">ROUND(C34*F35,0)</f>
        <v>755</v>
      </c>
      <c r="D35" s="264"/>
      <c r="E35" s="264"/>
      <c r="F35" s="303">
        <f>'数据-取费表'!B33</f>
        <v>0.04</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746</v>
      </c>
      <c r="D36" s="264"/>
      <c r="E36" s="264"/>
      <c r="F36" s="303">
        <f>'数据-取费表'!B34</f>
        <v>0.05</v>
      </c>
      <c r="G36" s="304" t="s">
        <v>2396</v>
      </c>
    </row>
    <row r="37" spans="1:7" s="302" customFormat="1" ht="13.5" customHeight="1">
      <c r="A37" s="953" t="s">
        <v>798</v>
      </c>
      <c r="B37" s="259" t="s">
        <v>2397</v>
      </c>
      <c r="C37" s="293">
        <f ca="1">ROUND(E37*D37*F34/10000,0)</f>
        <v>1070</v>
      </c>
      <c r="D37" s="261">
        <f ca="1">D19</f>
        <v>59428.920000000027</v>
      </c>
      <c r="E37" s="293">
        <f>'数据-取费表'!B35</f>
        <v>200</v>
      </c>
      <c r="F37" s="303"/>
      <c r="G37" s="305" t="s">
        <v>2398</v>
      </c>
    </row>
    <row r="38" spans="1:7" ht="13.5" customHeight="1">
      <c r="A38" s="953" t="s">
        <v>799</v>
      </c>
      <c r="B38" s="259" t="s">
        <v>2399</v>
      </c>
      <c r="C38" s="264">
        <f ca="1">ROUND(C34*F38,0)</f>
        <v>283</v>
      </c>
      <c r="D38" s="264"/>
      <c r="E38" s="264"/>
      <c r="F38" s="303">
        <f>'数据-取费表'!B36</f>
        <v>1.4999999999999999E-2</v>
      </c>
      <c r="G38" s="263" t="s">
        <v>2394</v>
      </c>
    </row>
    <row r="39" spans="1:7" s="258" customFormat="1" ht="13.5" customHeight="1">
      <c r="A39" s="299" t="s">
        <v>2400</v>
      </c>
      <c r="B39" s="254" t="s">
        <v>2401</v>
      </c>
      <c r="C39" s="276">
        <f ca="1">ROUND(C33*F20,0)</f>
        <v>652</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685</v>
      </c>
      <c r="D41" s="279">
        <f ca="1">C44</f>
        <v>8.9999999999999998E-4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665</v>
      </c>
      <c r="D42" s="282"/>
      <c r="E42" s="282"/>
      <c r="F42" s="283"/>
      <c r="G42" s="3192" t="s">
        <v>2410</v>
      </c>
    </row>
    <row r="43" spans="1:7" ht="13.5" customHeight="1">
      <c r="A43" s="953" t="s">
        <v>792</v>
      </c>
      <c r="B43" s="259" t="s">
        <v>2411</v>
      </c>
      <c r="C43" s="282">
        <f ca="1">ROUND(IF('数据-取费表'!B22&lt;=1,C39*F22*'数据-取费表'!B21/2,C39*(POWER((1+F22),'数据-取费表'!B21/2)-1)),0)</f>
        <v>20</v>
      </c>
      <c r="D43" s="282"/>
      <c r="E43" s="282"/>
      <c r="F43" s="283"/>
      <c r="G43" s="3193"/>
    </row>
    <row r="44" spans="1:7" ht="13.5" customHeight="1">
      <c r="A44" s="953" t="s">
        <v>793</v>
      </c>
      <c r="B44" s="259" t="s">
        <v>2412</v>
      </c>
      <c r="C44" s="282">
        <f ca="1">ROUND(IF('数据-取费表'!B22&lt;=1,C40*F22*'数据-取费表'!B21/2,C40*(POWER((1+F22),'数据-取费表'!B21/2)-1)),4)</f>
        <v>8.9999999999999998E-4</v>
      </c>
      <c r="D44" s="282"/>
      <c r="E44" s="282"/>
      <c r="F44" s="283"/>
      <c r="G44" s="3194"/>
    </row>
    <row r="45" spans="1:7" s="258" customFormat="1" ht="13.5" customHeight="1">
      <c r="A45" s="299" t="s">
        <v>2413</v>
      </c>
      <c r="B45" s="288" t="s">
        <v>2379</v>
      </c>
      <c r="C45" s="289">
        <f ca="1">C46</f>
        <v>4924</v>
      </c>
      <c r="D45" s="279">
        <f ca="1">C47</f>
        <v>6.6E-3</v>
      </c>
      <c r="E45" s="280" t="s">
        <v>2405</v>
      </c>
      <c r="F45" s="290"/>
      <c r="G45" s="291" t="s">
        <v>2414</v>
      </c>
    </row>
    <row r="46" spans="1:7" s="258" customFormat="1" ht="13.5" customHeight="1">
      <c r="A46" s="953" t="s">
        <v>791</v>
      </c>
      <c r="B46" s="292" t="s">
        <v>2415</v>
      </c>
      <c r="C46" s="293">
        <f ca="1">ROUND((C33+C39)*F27,0)</f>
        <v>4924</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1729">
        <f>ROUND(F30/(1+'数据-取费表'!C42),4)</f>
        <v>5.2400000000000002E-2</v>
      </c>
      <c r="D48" s="280" t="s">
        <v>2405</v>
      </c>
      <c r="E48" s="276"/>
      <c r="F48" s="281"/>
      <c r="G48" s="278" t="s">
        <v>2418</v>
      </c>
    </row>
    <row r="49" spans="1:7" ht="16.5" customHeight="1">
      <c r="A49" s="299" t="s">
        <v>2384</v>
      </c>
      <c r="B49" s="254" t="s">
        <v>2419</v>
      </c>
      <c r="C49" s="276">
        <f ca="1">ROUND((C33+C39+C41+C45)/(1-C40-D41-D45-C48),0)</f>
        <v>30756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30756</v>
      </c>
      <c r="D51" s="276"/>
      <c r="E51" s="276"/>
      <c r="F51" s="308"/>
      <c r="G51" s="278" t="s">
        <v>2426</v>
      </c>
    </row>
    <row r="52" spans="1:7" s="252" customFormat="1" ht="16.5" thickBot="1">
      <c r="A52" s="309" t="s">
        <v>2427</v>
      </c>
      <c r="B52" s="310"/>
      <c r="C52" s="311">
        <f ca="1">C31+C51</f>
        <v>231193</v>
      </c>
      <c r="D52" s="310"/>
      <c r="E52" s="310"/>
      <c r="F52" s="310"/>
      <c r="G52" s="312"/>
    </row>
    <row r="55" spans="1:7" ht="15">
      <c r="B55" s="314" t="s">
        <v>2428</v>
      </c>
      <c r="C55" s="315"/>
    </row>
    <row r="56" spans="1:7">
      <c r="B56" s="317" t="s">
        <v>1513</v>
      </c>
      <c r="C56" s="319">
        <f ca="1">1-C57</f>
        <v>0.86699999999999999</v>
      </c>
    </row>
    <row r="57" spans="1:7">
      <c r="B57" s="317" t="s">
        <v>1514</v>
      </c>
      <c r="C57" s="318">
        <f ca="1">ROUND(C51/C52,3)</f>
        <v>0.13300000000000001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北京市顺义区高丽营镇于庄村西出让国有建设用地使用权及在建建筑物房地产抵押价值预评估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8"/>
      <c r="C1" s="2550" t="s">
        <v>2429</v>
      </c>
      <c r="D1" s="242"/>
      <c r="E1" s="242"/>
      <c r="F1" s="242"/>
      <c r="G1" s="1381">
        <f>MATCH(B1,'数据-取费表'!A6:A16,0)+5</f>
        <v>9</v>
      </c>
      <c r="H1" s="1284" t="str">
        <f>IF(ISERROR(FIND("住宅",B1)),"非住宅","住宅")</f>
        <v>非住宅</v>
      </c>
    </row>
    <row r="2" spans="1:8" s="244" customFormat="1" ht="18" customHeight="1">
      <c r="A2" s="245" t="s">
        <v>2328</v>
      </c>
      <c r="B2" s="246">
        <f ca="1">ROUND(IF(D2="——",C52/10000,C52/10000-E2),0)</f>
        <v>36047</v>
      </c>
      <c r="C2" s="243" t="s">
        <v>2329</v>
      </c>
      <c r="D2" s="2544" t="s">
        <v>70</v>
      </c>
      <c r="E2" s="1442"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6066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0</v>
      </c>
      <c r="D8" s="266"/>
      <c r="E8" s="264"/>
      <c r="F8" s="265"/>
      <c r="G8" s="2547"/>
    </row>
    <row r="9" spans="1:8" s="258" customFormat="1" ht="13.5" customHeight="1">
      <c r="A9" s="952" t="s">
        <v>800</v>
      </c>
      <c r="B9" s="268" t="s">
        <v>2344</v>
      </c>
      <c r="C9" s="269">
        <f ca="1">ROUND(D9*E9,0)</f>
        <v>0</v>
      </c>
      <c r="D9" s="1034">
        <f ca="1">IF(B1="",'数据-汇总表'!E5,IF(INDIRECT("'数据-取费表'!c"&amp;$G$1)="住宅",INDIRECT("'数据-取费表'!k"&amp;$G$1),0))</f>
        <v>39446.86</v>
      </c>
      <c r="E9" s="269">
        <f>'数据-取费表'!B27</f>
        <v>0</v>
      </c>
      <c r="F9" s="265"/>
      <c r="G9" s="270"/>
    </row>
    <row r="10" spans="1:8" s="258" customFormat="1" ht="13.5" customHeight="1">
      <c r="A10" s="952" t="s">
        <v>801</v>
      </c>
      <c r="B10" s="268" t="s">
        <v>2346</v>
      </c>
      <c r="C10" s="269">
        <f ca="1">ROUND(D10*E10,0)</f>
        <v>0</v>
      </c>
      <c r="D10" s="1034">
        <f ca="1">IF(B1="",'数据-汇总表'!E6,IF(INDIRECT("'数据-取费表'!c"&amp;$G$1)="住宅",INDIRECT("'数据-取费表'!s"&amp;$G$1),INDIRECT("'数据-取费表'!k"&amp;$G$1)+INDIRECT("'数据-取费表'!s"&amp;$G$1)))</f>
        <v>19982.060000000027</v>
      </c>
      <c r="E10" s="269">
        <f>'数据-取费表'!B28</f>
        <v>0</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11885784</v>
      </c>
      <c r="D19" s="1038">
        <f ca="1">D9+D10</f>
        <v>59428.920000000027</v>
      </c>
      <c r="E19" s="255">
        <f>'数据-取费表'!B31</f>
        <v>200</v>
      </c>
      <c r="F19" s="275"/>
      <c r="G19" s="2547"/>
    </row>
    <row r="20" spans="1:7" s="258" customFormat="1" ht="13.5" customHeight="1">
      <c r="A20" s="299" t="s">
        <v>2440</v>
      </c>
      <c r="B20" s="254" t="s">
        <v>2441</v>
      </c>
      <c r="C20" s="276">
        <f ca="1">ROUND((C5+C19)*F20,0)</f>
        <v>356574</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2">
        <f ca="1">ROUND(SUM(C23:C25),0)</f>
        <v>869469</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3">
        <f ca="1">ROUND(IF('数据-取费表'!B22&lt;=1,C5*F22*'数据-取费表'!B22,C5*(POWER((1+F22),'数据-取费表'!B22)-1)),0)</f>
        <v>0</v>
      </c>
      <c r="D23" s="282"/>
      <c r="E23" s="282"/>
      <c r="F23" s="283"/>
      <c r="G23" s="284" t="s">
        <v>2450</v>
      </c>
    </row>
    <row r="24" spans="1:7" s="258" customFormat="1" ht="13.5" customHeight="1">
      <c r="A24" s="953" t="s">
        <v>2340</v>
      </c>
      <c r="B24" s="259" t="s">
        <v>2451</v>
      </c>
      <c r="C24" s="1383">
        <f ca="1">ROUND(IF('数据-取费表'!B22&lt;=1,C19*F22*('数据-取费表'!B19/2+'数据-取费表'!B20),C19*(POWER((1+F22),('数据-取费表'!B19/2+'数据-取费表'!B20))-1)),0)</f>
        <v>856840</v>
      </c>
      <c r="D24" s="282"/>
      <c r="E24" s="282"/>
      <c r="F24" s="283"/>
      <c r="G24" s="284" t="s">
        <v>2452</v>
      </c>
    </row>
    <row r="25" spans="1:7" s="258" customFormat="1" ht="24">
      <c r="A25" s="953" t="s">
        <v>2342</v>
      </c>
      <c r="B25" s="259" t="s">
        <v>2453</v>
      </c>
      <c r="C25" s="1383">
        <f ca="1">ROUND(IF('数据-取费表'!B22&lt;=1,C20*F22*'数据-取费表'!B22/2,C20*(POWER((1+F22),'数据-取费表'!B22/2)-1)),0)</f>
        <v>12629</v>
      </c>
      <c r="D25" s="282"/>
      <c r="E25" s="285"/>
      <c r="F25" s="283"/>
      <c r="G25" s="286" t="s">
        <v>2454</v>
      </c>
    </row>
    <row r="26" spans="1:7" s="258" customFormat="1">
      <c r="A26" s="953"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2693319</v>
      </c>
      <c r="D27" s="279">
        <f ca="1">C29</f>
        <v>6.6E-3</v>
      </c>
      <c r="E27" s="280" t="s">
        <v>2380</v>
      </c>
      <c r="F27" s="290">
        <f ca="1">IF(B1="",'数据-取费表'!Q16,INDIRECT("'数据-取费表'!q"&amp;$G$1))</f>
        <v>0.22</v>
      </c>
      <c r="G27" s="291" t="s">
        <v>2381</v>
      </c>
    </row>
    <row r="28" spans="1:7" s="258" customFormat="1" ht="13.5" customHeight="1">
      <c r="A28" s="953" t="s">
        <v>791</v>
      </c>
      <c r="B28" s="292" t="s">
        <v>2382</v>
      </c>
      <c r="C28" s="293">
        <f ca="1">ROUND((C5+C19+C20)*F27,0)</f>
        <v>2693319</v>
      </c>
      <c r="D28" s="279"/>
      <c r="E28" s="280"/>
      <c r="F28" s="290"/>
      <c r="G28" s="291"/>
    </row>
    <row r="29" spans="1:7" s="258" customFormat="1" ht="13.5" customHeight="1">
      <c r="A29" s="953" t="s">
        <v>792</v>
      </c>
      <c r="B29" s="292" t="s">
        <v>2383</v>
      </c>
      <c r="C29" s="282">
        <f ca="1">ROUND(C21*F27,4)</f>
        <v>6.6E-3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17370201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241429863</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209725344</v>
      </c>
      <c r="D34" s="261"/>
      <c r="E34" s="264"/>
      <c r="F34" s="301"/>
      <c r="G34" s="263"/>
    </row>
    <row r="35" spans="1:7" ht="13.5" customHeight="1">
      <c r="A35" s="953" t="s">
        <v>796</v>
      </c>
      <c r="B35" s="259" t="s">
        <v>2393</v>
      </c>
      <c r="C35" s="264">
        <f ca="1">ROUND(C34*F35,0)</f>
        <v>8389014</v>
      </c>
      <c r="D35" s="264"/>
      <c r="E35" s="264"/>
      <c r="F35" s="303">
        <f>'数据-取费表'!B33</f>
        <v>0.04</v>
      </c>
      <c r="G35" s="263" t="s">
        <v>2394</v>
      </c>
    </row>
    <row r="36" spans="1:7" ht="24">
      <c r="A36" s="953" t="s">
        <v>797</v>
      </c>
      <c r="B36" s="259" t="s">
        <v>2395</v>
      </c>
      <c r="C36" s="264">
        <f ca="1">ROUND(IF(B1="",SUM('数据-取费表'!AP6:AP13)*F36,IF(INDIRECT("'数据-取费表'!c"&amp;$G$1)="住宅",INDIRECT("'数据-取费表'!k"&amp;$G$1)*INDIRECT("'数据-取费表'!l"&amp;$G$1)*F36,0)),0)</f>
        <v>8283841</v>
      </c>
      <c r="D36" s="264"/>
      <c r="E36" s="264"/>
      <c r="F36" s="303">
        <f>'数据-取费表'!B34</f>
        <v>0.05</v>
      </c>
      <c r="G36" s="304" t="s">
        <v>2396</v>
      </c>
    </row>
    <row r="37" spans="1:7" s="302" customFormat="1" ht="13.5" customHeight="1">
      <c r="A37" s="953" t="s">
        <v>798</v>
      </c>
      <c r="B37" s="259" t="s">
        <v>2397</v>
      </c>
      <c r="C37" s="293">
        <f ca="1">ROUND(E37*D37,0)</f>
        <v>11885784</v>
      </c>
      <c r="D37" s="261">
        <f ca="1">D19</f>
        <v>59428.920000000027</v>
      </c>
      <c r="E37" s="293">
        <f>'数据-取费表'!B35</f>
        <v>200</v>
      </c>
      <c r="F37" s="303"/>
      <c r="G37" s="305"/>
    </row>
    <row r="38" spans="1:7" ht="13.5" customHeight="1">
      <c r="A38" s="953" t="s">
        <v>799</v>
      </c>
      <c r="B38" s="259" t="s">
        <v>2399</v>
      </c>
      <c r="C38" s="264">
        <f ca="1">ROUND(C34*F38,0)</f>
        <v>3145880</v>
      </c>
      <c r="D38" s="264"/>
      <c r="E38" s="264"/>
      <c r="F38" s="303">
        <f>'数据-取费表'!B36</f>
        <v>1.4999999999999999E-2</v>
      </c>
      <c r="G38" s="263" t="s">
        <v>2394</v>
      </c>
    </row>
    <row r="39" spans="1:7" s="258" customFormat="1" ht="13.5" customHeight="1">
      <c r="A39" s="299" t="s">
        <v>2400</v>
      </c>
      <c r="B39" s="254" t="s">
        <v>2401</v>
      </c>
      <c r="C39" s="276">
        <f ca="1">ROUND(C33*F20,0)</f>
        <v>7242896</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8807381</v>
      </c>
      <c r="D41" s="279">
        <f ca="1">C44</f>
        <v>1.1000000000000001E-3</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8550855</v>
      </c>
      <c r="D42" s="282"/>
      <c r="E42" s="282"/>
      <c r="F42" s="283"/>
      <c r="G42" s="3192" t="s">
        <v>2457</v>
      </c>
    </row>
    <row r="43" spans="1:7" ht="13.5" customHeight="1">
      <c r="A43" s="953" t="s">
        <v>792</v>
      </c>
      <c r="B43" s="259" t="s">
        <v>2411</v>
      </c>
      <c r="C43" s="282">
        <f ca="1">ROUND(IF('数据-取费表'!B22&lt;=1,C39*F22*'数据-取费表'!B20/2,C39*(POWER((1+F22),'数据-取费表'!B20/2)-1)),0)</f>
        <v>256526</v>
      </c>
      <c r="D43" s="282"/>
      <c r="E43" s="282"/>
      <c r="F43" s="283"/>
      <c r="G43" s="3193"/>
    </row>
    <row r="44" spans="1:7" ht="13.5" customHeight="1">
      <c r="A44" s="953" t="s">
        <v>793</v>
      </c>
      <c r="B44" s="259" t="s">
        <v>2412</v>
      </c>
      <c r="C44" s="282">
        <f ca="1">ROUND(IF('数据-取费表'!B22&lt;=1,C40*F22*'数据-取费表'!B20/2,C40*(POWER((1+F22),'数据-取费表'!B20/2)-1)),4)</f>
        <v>1.1000000000000001E-3</v>
      </c>
      <c r="D44" s="282"/>
      <c r="E44" s="282"/>
      <c r="F44" s="283"/>
      <c r="G44" s="3194"/>
    </row>
    <row r="45" spans="1:7" s="258" customFormat="1" ht="13.5" customHeight="1">
      <c r="A45" s="299" t="s">
        <v>2413</v>
      </c>
      <c r="B45" s="288" t="s">
        <v>2379</v>
      </c>
      <c r="C45" s="289">
        <f ca="1">C46</f>
        <v>54708007</v>
      </c>
      <c r="D45" s="279">
        <f ca="1">C47</f>
        <v>6.6E-3</v>
      </c>
      <c r="E45" s="280" t="s">
        <v>2405</v>
      </c>
      <c r="F45" s="290"/>
      <c r="G45" s="291" t="s">
        <v>2414</v>
      </c>
    </row>
    <row r="46" spans="1:7" s="258" customFormat="1" ht="13.5" customHeight="1">
      <c r="A46" s="953" t="s">
        <v>791</v>
      </c>
      <c r="B46" s="292" t="s">
        <v>2415</v>
      </c>
      <c r="C46" s="293">
        <f ca="1">ROUND((C33+C39)*F27,0)</f>
        <v>54708007</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343101601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343101601</v>
      </c>
      <c r="D51" s="276"/>
      <c r="E51" s="276"/>
      <c r="F51" s="308"/>
      <c r="G51" s="278" t="s">
        <v>2426</v>
      </c>
    </row>
    <row r="52" spans="1:7" s="252" customFormat="1" ht="16.5" thickBot="1">
      <c r="A52" s="309" t="s">
        <v>2427</v>
      </c>
      <c r="B52" s="310"/>
      <c r="C52" s="311">
        <f ca="1">C31+C51</f>
        <v>360471802</v>
      </c>
      <c r="D52" s="310"/>
      <c r="E52" s="310"/>
      <c r="F52" s="310"/>
      <c r="G52" s="312"/>
    </row>
    <row r="55" spans="1:7" ht="15">
      <c r="B55" s="314" t="s">
        <v>2428</v>
      </c>
      <c r="C55" s="315"/>
    </row>
    <row r="56" spans="1:7">
      <c r="B56" s="317" t="s">
        <v>1513</v>
      </c>
      <c r="C56" s="319">
        <f ca="1">1-C57</f>
        <v>4.8000000000000043E-2</v>
      </c>
    </row>
    <row r="57" spans="1:7">
      <c r="B57" s="317" t="s">
        <v>1514</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E63" sqref="E6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f>F66</f>
        <v>137414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2330</v>
      </c>
      <c r="B3" s="609">
        <f>ROUND(IF(D3="",B2*10000/'数据-汇总表'!E3,B2*10000/D3),0)</f>
        <v>23122</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30" ht="15">
      <c r="A5" s="404"/>
      <c r="B5" s="405"/>
      <c r="C5" s="3206" t="s">
        <v>2541</v>
      </c>
      <c r="D5" s="3207"/>
      <c r="E5" s="3204" t="str">
        <f>土地案例!A7</f>
        <v>顺义区高丽营镇于庄03-21、03-31地块R2二类居住用地</v>
      </c>
      <c r="F5" s="3205"/>
      <c r="G5" s="3206" t="str">
        <f>土地案例!A5</f>
        <v>北京市顺义区后沙峪镇马头庄村SY00-0019-6005地块B1商业用地、SY00-0019-6006地块R2二类居住用地</v>
      </c>
      <c r="H5" s="3207"/>
      <c r="I5" s="3206" t="str">
        <f>土地案例!A3</f>
        <v>北京市顺义区后沙峪镇21-18-001e地块R2二类居住用地、21-18-002地块A33基础教育用地</v>
      </c>
      <c r="J5" s="3207"/>
      <c r="K5" s="610"/>
      <c r="L5" s="1132"/>
      <c r="M5" s="1133"/>
      <c r="N5" s="1133"/>
      <c r="O5" s="1133"/>
      <c r="P5" s="3219"/>
      <c r="Q5" s="3220"/>
      <c r="R5" s="3202"/>
      <c r="S5" s="3203"/>
      <c r="T5" s="3202"/>
      <c r="U5" s="3203"/>
      <c r="V5" s="3225"/>
      <c r="W5" s="3225"/>
      <c r="X5" s="1814"/>
      <c r="Y5" s="3202"/>
      <c r="Z5" s="3203"/>
      <c r="AA5" s="3196"/>
      <c r="AB5" s="3196"/>
      <c r="AC5" s="3196"/>
    </row>
    <row r="6" spans="1:30"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197"/>
      <c r="AC6" s="3197"/>
    </row>
    <row r="7" spans="1:30" s="117" customFormat="1" ht="15.75" thickBot="1">
      <c r="A7" s="408" t="s">
        <v>2547</v>
      </c>
      <c r="B7" s="409"/>
      <c r="C7" s="410">
        <f>'数据-取费表'!B2</f>
        <v>43292</v>
      </c>
      <c r="D7" s="411">
        <v>100</v>
      </c>
      <c r="E7" s="412" t="str">
        <f>土地案例!H7</f>
        <v>2017-06-22</v>
      </c>
      <c r="F7" s="413">
        <f>SUMIF(70:70,YEAR(E7)&amp;"-"&amp;INT((MONTH(E7)+2)/3),71:71)</f>
        <v>95</v>
      </c>
      <c r="G7" s="2693" t="str">
        <f>土地案例!H5</f>
        <v>2017-10-30</v>
      </c>
      <c r="H7" s="411">
        <f>SUMIF(70:70,YEAR(G7)&amp;"-"&amp;INT((MONTH(G7)+2)/3),71:71)</f>
        <v>97</v>
      </c>
      <c r="I7" s="2693" t="str">
        <f>土地案例!H3</f>
        <v>2018-06-22</v>
      </c>
      <c r="J7" s="411">
        <f>SUMIF(70:70,YEAR(I7)&amp;"-"&amp;INT((MONTH(I7)+2)/3),71:71)</f>
        <v>99</v>
      </c>
      <c r="K7" s="611"/>
      <c r="L7" s="1134"/>
      <c r="M7" s="1135"/>
      <c r="N7" s="1135"/>
      <c r="O7" s="1135"/>
      <c r="P7" s="3198" t="s">
        <v>2548</v>
      </c>
      <c r="Q7" s="3226"/>
      <c r="R7" s="769" t="s">
        <v>17</v>
      </c>
      <c r="S7" s="770">
        <f t="shared" ref="S7:S15" si="0">F7</f>
        <v>95</v>
      </c>
      <c r="T7" s="769" t="s">
        <v>17</v>
      </c>
      <c r="U7" s="770">
        <f t="shared" ref="U7:U15" si="1">H7</f>
        <v>97</v>
      </c>
      <c r="V7" s="769" t="s">
        <v>17</v>
      </c>
      <c r="W7" s="770">
        <f t="shared" ref="W7:W15" si="2">J7</f>
        <v>99</v>
      </c>
      <c r="X7" s="771"/>
      <c r="Y7" s="3198" t="s">
        <v>2548</v>
      </c>
      <c r="Z7" s="3199"/>
      <c r="AA7" s="772">
        <f>D7/F7</f>
        <v>1.0526315789473684</v>
      </c>
      <c r="AB7" s="772">
        <f>D7/H7</f>
        <v>1.0309278350515463</v>
      </c>
      <c r="AC7" s="772">
        <f>D7/J7</f>
        <v>1.0101010101010102</v>
      </c>
    </row>
    <row r="8" spans="1:30" s="117" customFormat="1" ht="15.75" thickBot="1">
      <c r="A8" s="408" t="s">
        <v>2549</v>
      </c>
      <c r="B8" s="409"/>
      <c r="C8" s="414" t="s">
        <v>2550</v>
      </c>
      <c r="D8" s="411">
        <v>100</v>
      </c>
      <c r="E8" s="414" t="s">
        <v>3243</v>
      </c>
      <c r="F8" s="413">
        <f>SUMIF(73:73,E8,74:74)-SUMIF(73:73,C8,74:74)+100</f>
        <v>100</v>
      </c>
      <c r="G8" s="414" t="s">
        <v>3243</v>
      </c>
      <c r="H8" s="411">
        <f>SUMIF(73:73,G8,74:74)-SUMIF(73:73,C8,74:74)+100</f>
        <v>100</v>
      </c>
      <c r="I8" s="414" t="s">
        <v>3243</v>
      </c>
      <c r="J8" s="411">
        <f>SUMIF(73:73,I8,74:74)-SUMIF(73:73,C8,74:74)+100</f>
        <v>100</v>
      </c>
      <c r="K8" s="611"/>
      <c r="L8" s="1134"/>
      <c r="M8" s="1135"/>
      <c r="N8" s="1135"/>
      <c r="O8" s="1135"/>
      <c r="P8" s="3198" t="s">
        <v>2551</v>
      </c>
      <c r="Q8" s="3199"/>
      <c r="R8" s="769" t="s">
        <v>17</v>
      </c>
      <c r="S8" s="770">
        <f t="shared" si="0"/>
        <v>100</v>
      </c>
      <c r="T8" s="769" t="s">
        <v>17</v>
      </c>
      <c r="U8" s="770">
        <f t="shared" si="1"/>
        <v>100</v>
      </c>
      <c r="V8" s="769" t="s">
        <v>17</v>
      </c>
      <c r="W8" s="770">
        <f t="shared" si="2"/>
        <v>100</v>
      </c>
      <c r="X8" s="771"/>
      <c r="Y8" s="3198" t="s">
        <v>2551</v>
      </c>
      <c r="Z8" s="3199"/>
      <c r="AA8" s="772">
        <f t="shared" ref="AA8:AA45" si="3">D8/F8</f>
        <v>1</v>
      </c>
      <c r="AB8" s="772">
        <f t="shared" ref="AB8:AB45" si="4">D8/H8</f>
        <v>1</v>
      </c>
      <c r="AC8" s="772">
        <f t="shared" ref="AC8:AC45" si="5">D8/J8</f>
        <v>1</v>
      </c>
    </row>
    <row r="9" spans="1:30" s="117" customFormat="1" ht="28.5">
      <c r="A9" s="415" t="s">
        <v>2552</v>
      </c>
      <c r="B9" s="71" t="s">
        <v>2553</v>
      </c>
      <c r="C9" s="2696" t="s">
        <v>3330</v>
      </c>
      <c r="D9" s="135">
        <v>100</v>
      </c>
      <c r="E9" s="2696" t="s">
        <v>3330</v>
      </c>
      <c r="F9" s="135">
        <f>SUMIF(75:75,E9,76:76)-SUMIF(75:75,C9,76:76)+100</f>
        <v>100</v>
      </c>
      <c r="G9" s="2696" t="s">
        <v>3330</v>
      </c>
      <c r="H9" s="135">
        <f>SUMIF(75:75,G9,76:76)-SUMIF(75:75,C9,76:76)+100</f>
        <v>100</v>
      </c>
      <c r="I9" s="2696" t="s">
        <v>3330</v>
      </c>
      <c r="J9" s="135">
        <f>SUMIF(75:75,I9,76:76)-SUMIF(75:75,C9,76:76)+100</f>
        <v>100</v>
      </c>
      <c r="K9" s="611"/>
      <c r="L9" s="1134"/>
      <c r="M9" s="1135"/>
      <c r="N9" s="1135"/>
      <c r="O9" s="1136"/>
      <c r="P9" s="3212"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30" s="427" customFormat="1" ht="56.25">
      <c r="A10" s="421"/>
      <c r="B10" s="422" t="s">
        <v>2556</v>
      </c>
      <c r="C10" s="432" t="s">
        <v>3332</v>
      </c>
      <c r="D10" s="136">
        <v>100</v>
      </c>
      <c r="E10" s="465" t="s">
        <v>3333</v>
      </c>
      <c r="F10" s="136">
        <f>ROUND(100/'数据-取费表'!G16,0)</f>
        <v>102</v>
      </c>
      <c r="G10" s="463" t="s">
        <v>3333</v>
      </c>
      <c r="H10" s="136">
        <f>ROUND(100/'数据-取费表'!G16,0)</f>
        <v>102</v>
      </c>
      <c r="I10" s="463" t="s">
        <v>3333</v>
      </c>
      <c r="J10" s="136">
        <f>ROUND(100/'数据-取费表'!G16,0)</f>
        <v>102</v>
      </c>
      <c r="K10" s="672"/>
      <c r="L10" s="1137"/>
      <c r="M10" s="1138"/>
      <c r="N10" s="1138"/>
      <c r="O10" s="1139"/>
      <c r="P10" s="3212"/>
      <c r="Q10" s="1796" t="str">
        <f t="shared" si="6"/>
        <v>土地使用年限（年）</v>
      </c>
      <c r="R10" s="769" t="s">
        <v>17</v>
      </c>
      <c r="S10" s="770">
        <f t="shared" si="0"/>
        <v>102</v>
      </c>
      <c r="T10" s="769" t="s">
        <v>17</v>
      </c>
      <c r="U10" s="770">
        <f t="shared" si="1"/>
        <v>102</v>
      </c>
      <c r="V10" s="769" t="s">
        <v>17</v>
      </c>
      <c r="W10" s="770">
        <f t="shared" si="2"/>
        <v>102</v>
      </c>
      <c r="X10" s="771"/>
      <c r="Y10" s="3072"/>
      <c r="Z10" s="55" t="str">
        <f t="shared" si="7"/>
        <v>土地使用年限（年）</v>
      </c>
      <c r="AA10" s="772">
        <f t="shared" si="3"/>
        <v>0.98039215686274506</v>
      </c>
      <c r="AB10" s="772">
        <f t="shared" si="4"/>
        <v>0.98039215686274506</v>
      </c>
      <c r="AC10" s="772">
        <f t="shared" si="5"/>
        <v>0.98039215686274506</v>
      </c>
    </row>
    <row r="11" spans="1:30" ht="15">
      <c r="A11" s="428"/>
      <c r="B11" s="422" t="s">
        <v>2557</v>
      </c>
      <c r="C11" s="429">
        <v>0.84</v>
      </c>
      <c r="D11" s="136">
        <v>100</v>
      </c>
      <c r="E11" s="429">
        <v>1</v>
      </c>
      <c r="F11" s="136">
        <f>LOOKUP(E11,80:80,81:81)-LOOKUP(C11,80:80,81:81)+100</f>
        <v>98</v>
      </c>
      <c r="G11" s="430">
        <v>1.83</v>
      </c>
      <c r="H11" s="136">
        <f>LOOKUP(G11,80:80,81:81)-LOOKUP(C11,80:80,81:81)+100</f>
        <v>98</v>
      </c>
      <c r="I11" s="429">
        <v>1</v>
      </c>
      <c r="J11" s="136">
        <f>LOOKUP(I11,80:80,81:81)-LOOKUP(C11,80:80,81:81)+100</f>
        <v>98</v>
      </c>
      <c r="K11" s="673">
        <v>2</v>
      </c>
      <c r="L11" s="1140"/>
      <c r="M11" s="1133"/>
      <c r="N11" s="1133"/>
      <c r="O11" s="1141"/>
      <c r="P11" s="3212"/>
      <c r="Q11" s="1796" t="str">
        <f t="shared" si="6"/>
        <v>容积率</v>
      </c>
      <c r="R11" s="769" t="s">
        <v>17</v>
      </c>
      <c r="S11" s="770">
        <f t="shared" si="0"/>
        <v>98</v>
      </c>
      <c r="T11" s="769" t="s">
        <v>17</v>
      </c>
      <c r="U11" s="770">
        <f t="shared" si="1"/>
        <v>98</v>
      </c>
      <c r="V11" s="769" t="s">
        <v>17</v>
      </c>
      <c r="W11" s="770">
        <f t="shared" si="2"/>
        <v>98</v>
      </c>
      <c r="X11" s="771"/>
      <c r="Y11" s="3072"/>
      <c r="Z11" s="55" t="str">
        <f t="shared" si="7"/>
        <v>容积率</v>
      </c>
      <c r="AA11" s="772">
        <f t="shared" si="3"/>
        <v>1.0204081632653061</v>
      </c>
      <c r="AB11" s="772">
        <f t="shared" si="4"/>
        <v>1.0204081632653061</v>
      </c>
      <c r="AC11" s="772">
        <f t="shared" si="5"/>
        <v>1.0204081632653061</v>
      </c>
    </row>
    <row r="12" spans="1:30" s="117" customFormat="1" ht="15">
      <c r="A12" s="431"/>
      <c r="B12" s="2995" t="s">
        <v>2746</v>
      </c>
      <c r="C12" s="3004" t="s">
        <v>3370</v>
      </c>
      <c r="D12" s="433">
        <v>100</v>
      </c>
      <c r="E12" s="3005" t="s">
        <v>3372</v>
      </c>
      <c r="F12" s="136">
        <f>SUMIF(82:82,E12,83:83)-SUMIF(82:82,C12,83:83)+100</f>
        <v>98</v>
      </c>
      <c r="G12" s="3005" t="s">
        <v>3370</v>
      </c>
      <c r="H12" s="136">
        <f>SUMIF(82:82,G12,83:83)-SUMIF(82:82,C12,83:83)+100</f>
        <v>100</v>
      </c>
      <c r="I12" s="3005" t="s">
        <v>3378</v>
      </c>
      <c r="J12" s="136">
        <f>SUMIF(82:82,I12,83:83)-SUMIF(82:82,C12,83:83)+100</f>
        <v>100</v>
      </c>
      <c r="K12" s="672"/>
      <c r="L12" s="1134"/>
      <c r="M12" s="1135"/>
      <c r="N12" s="1135"/>
      <c r="O12" s="1136"/>
      <c r="P12" s="3212"/>
      <c r="Q12" s="1796" t="str">
        <f t="shared" si="6"/>
        <v>配建</v>
      </c>
      <c r="R12" s="769" t="s">
        <v>17</v>
      </c>
      <c r="S12" s="770">
        <f t="shared" si="0"/>
        <v>98</v>
      </c>
      <c r="T12" s="769" t="s">
        <v>17</v>
      </c>
      <c r="U12" s="770">
        <f t="shared" si="1"/>
        <v>100</v>
      </c>
      <c r="V12" s="769" t="s">
        <v>17</v>
      </c>
      <c r="W12" s="770">
        <f t="shared" si="2"/>
        <v>100</v>
      </c>
      <c r="X12" s="771"/>
      <c r="Y12" s="3072"/>
      <c r="Z12" s="55" t="str">
        <f t="shared" si="7"/>
        <v>配建</v>
      </c>
      <c r="AA12" s="772">
        <f>D12/F12</f>
        <v>1.0204081632653061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2"/>
      <c r="Q14" s="1796">
        <f t="shared" si="6"/>
        <v>111</v>
      </c>
      <c r="R14" s="769" t="s">
        <v>17</v>
      </c>
      <c r="S14" s="770">
        <f t="shared" si="0"/>
        <v>100</v>
      </c>
      <c r="T14" s="769" t="s">
        <v>17</v>
      </c>
      <c r="U14" s="770">
        <f t="shared" si="1"/>
        <v>100</v>
      </c>
      <c r="V14" s="769" t="s">
        <v>17</v>
      </c>
      <c r="W14" s="770">
        <f t="shared" si="2"/>
        <v>100</v>
      </c>
      <c r="X14" s="771"/>
      <c r="Y14" s="3072"/>
      <c r="Z14" s="55">
        <f t="shared" si="7"/>
        <v>111</v>
      </c>
      <c r="AA14" s="772">
        <f>D14/F14</f>
        <v>1</v>
      </c>
      <c r="AB14" s="772">
        <f>D14/H14</f>
        <v>1</v>
      </c>
      <c r="AC14" s="772">
        <f>D14/J14</f>
        <v>1</v>
      </c>
    </row>
    <row r="15" spans="1:30" ht="99.75">
      <c r="A15" s="440" t="s">
        <v>2558</v>
      </c>
      <c r="B15" s="69" t="s">
        <v>2088</v>
      </c>
      <c r="C15" s="2600" t="str">
        <f>估价对象房地状况!C15</f>
        <v>估价对象周边有春晖园、新于庄园、新世界丽樽等住宅项目，密集度一般，综合评价居住社区成熟度一般。</v>
      </c>
      <c r="D15" s="441">
        <v>100</v>
      </c>
      <c r="E15" s="2987" t="s">
        <v>3335</v>
      </c>
      <c r="F15" s="441">
        <f>SUMIF(88:88,E16,89:89)-SUMIF(88:88,C16,89:89)+100</f>
        <v>100</v>
      </c>
      <c r="G15" s="2987" t="s">
        <v>3355</v>
      </c>
      <c r="H15" s="441">
        <f>SUMIF(88:88,G16,89:89)-SUMIF(88:88,C16,89:89)+100</f>
        <v>100</v>
      </c>
      <c r="I15" s="2987" t="s">
        <v>3250</v>
      </c>
      <c r="J15" s="441">
        <f>SUMIF(88:88,I16,89:89)-SUMIF(88:88,C16,89:89)+100</f>
        <v>100</v>
      </c>
      <c r="K15" s="673">
        <v>2</v>
      </c>
      <c r="L15" s="1142"/>
      <c r="M15" s="1133"/>
      <c r="N15" s="1133"/>
      <c r="O15" s="1141"/>
      <c r="P15" s="3227" t="s">
        <v>2559</v>
      </c>
      <c r="Q15" s="1811" t="str">
        <f t="shared" si="6"/>
        <v>居住社区成熟度</v>
      </c>
      <c r="R15" s="773" t="s">
        <v>17</v>
      </c>
      <c r="S15" s="774">
        <f t="shared" si="0"/>
        <v>100</v>
      </c>
      <c r="T15" s="773" t="s">
        <v>17</v>
      </c>
      <c r="U15" s="774">
        <f t="shared" si="1"/>
        <v>100</v>
      </c>
      <c r="V15" s="773" t="s">
        <v>17</v>
      </c>
      <c r="W15" s="774">
        <f t="shared" si="2"/>
        <v>100</v>
      </c>
      <c r="X15" s="1814"/>
      <c r="Y15" s="3227" t="s">
        <v>2559</v>
      </c>
      <c r="Z15" s="1815" t="str">
        <f t="shared" si="7"/>
        <v>居住社区成熟度</v>
      </c>
      <c r="AA15" s="1812">
        <f t="shared" si="3"/>
        <v>1</v>
      </c>
      <c r="AB15" s="1812">
        <f t="shared" si="4"/>
        <v>1</v>
      </c>
      <c r="AC15" s="1812">
        <f t="shared" si="5"/>
        <v>1</v>
      </c>
    </row>
    <row r="16" spans="1:30" ht="15">
      <c r="A16" s="428"/>
      <c r="B16" s="446"/>
      <c r="C16" s="447" t="s">
        <v>3263</v>
      </c>
      <c r="D16" s="448"/>
      <c r="E16" s="2602" t="s">
        <v>3263</v>
      </c>
      <c r="F16" s="448"/>
      <c r="G16" s="2602" t="s">
        <v>3263</v>
      </c>
      <c r="H16" s="450"/>
      <c r="I16" s="2601" t="s">
        <v>3263</v>
      </c>
      <c r="J16" s="448"/>
      <c r="K16" s="672"/>
      <c r="L16" s="1142"/>
      <c r="M16" s="1133"/>
      <c r="N16" s="1133"/>
      <c r="O16" s="1141"/>
      <c r="P16" s="3228"/>
      <c r="Q16" s="1811"/>
      <c r="R16" s="773"/>
      <c r="S16" s="774"/>
      <c r="T16" s="773"/>
      <c r="U16" s="774"/>
      <c r="V16" s="773"/>
      <c r="W16" s="774"/>
      <c r="X16" s="1814"/>
      <c r="Y16" s="3228"/>
      <c r="Z16" s="1815"/>
      <c r="AA16" s="1812">
        <v>1</v>
      </c>
      <c r="AB16" s="1812">
        <v>1</v>
      </c>
      <c r="AC16" s="1812">
        <v>1</v>
      </c>
    </row>
    <row r="17" spans="1:29" ht="85.5">
      <c r="A17" s="428"/>
      <c r="B17" s="451" t="s">
        <v>2652</v>
      </c>
      <c r="C17" s="2661" t="str">
        <f>估价对象房地状况!C16</f>
        <v>估价对象周边没有大型商业中心、有少量住宅项目底商，人流量较少，商业繁华度较差。</v>
      </c>
      <c r="D17" s="450">
        <v>100</v>
      </c>
      <c r="E17" s="2988" t="s">
        <v>3336</v>
      </c>
      <c r="F17" s="450">
        <f>SUMIF(90:90,E18,91:91)-SUMIF(90:90,C18,91:91)+100</f>
        <v>100</v>
      </c>
      <c r="G17" s="2988" t="s">
        <v>3356</v>
      </c>
      <c r="H17" s="455">
        <f>SUMIF(90:90,G18,91:91)-SUMIF(90:90,C18,91:91)+100</f>
        <v>102</v>
      </c>
      <c r="I17" s="2988" t="s">
        <v>3251</v>
      </c>
      <c r="J17" s="455">
        <f>SUMIF(90:90,I18,91:91)-SUMIF(90:90,C18,91:91)+100</f>
        <v>104</v>
      </c>
      <c r="K17" s="673">
        <v>2</v>
      </c>
      <c r="L17" s="1142"/>
      <c r="M17" s="1133"/>
      <c r="N17" s="1133"/>
      <c r="O17" s="1141"/>
      <c r="P17" s="3228"/>
      <c r="Q17" s="1811" t="str">
        <f>B17</f>
        <v>商业繁华度</v>
      </c>
      <c r="R17" s="773" t="s">
        <v>17</v>
      </c>
      <c r="S17" s="774">
        <f>F17</f>
        <v>100</v>
      </c>
      <c r="T17" s="773" t="s">
        <v>17</v>
      </c>
      <c r="U17" s="774">
        <f>H17</f>
        <v>102</v>
      </c>
      <c r="V17" s="773" t="s">
        <v>17</v>
      </c>
      <c r="W17" s="774">
        <f>J17</f>
        <v>104</v>
      </c>
      <c r="X17" s="1814"/>
      <c r="Y17" s="3228"/>
      <c r="Z17" s="1815" t="str">
        <f>Q17</f>
        <v>商业繁华度</v>
      </c>
      <c r="AA17" s="1812">
        <f t="shared" si="3"/>
        <v>1</v>
      </c>
      <c r="AB17" s="1812">
        <f t="shared" si="4"/>
        <v>0.98039215686274506</v>
      </c>
      <c r="AC17" s="1812">
        <f t="shared" si="5"/>
        <v>0.96153846153846156</v>
      </c>
    </row>
    <row r="18" spans="1:29" ht="15">
      <c r="A18" s="428"/>
      <c r="B18" s="456"/>
      <c r="C18" s="2605" t="s">
        <v>3334</v>
      </c>
      <c r="D18" s="450"/>
      <c r="E18" s="2607" t="s">
        <v>3334</v>
      </c>
      <c r="F18" s="450"/>
      <c r="G18" s="2607" t="s">
        <v>3263</v>
      </c>
      <c r="H18" s="448"/>
      <c r="I18" s="2606" t="s">
        <v>3264</v>
      </c>
      <c r="J18" s="448"/>
      <c r="K18" s="672"/>
      <c r="L18" s="1142"/>
      <c r="M18" s="1133"/>
      <c r="N18" s="1133"/>
      <c r="O18" s="1141"/>
      <c r="P18" s="3228"/>
      <c r="Q18" s="1811"/>
      <c r="R18" s="773"/>
      <c r="S18" s="774"/>
      <c r="T18" s="773"/>
      <c r="U18" s="774"/>
      <c r="V18" s="773"/>
      <c r="W18" s="774"/>
      <c r="X18" s="1814"/>
      <c r="Y18" s="3228"/>
      <c r="Z18" s="1815"/>
      <c r="AA18" s="1812">
        <v>1</v>
      </c>
      <c r="AB18" s="1812">
        <v>1</v>
      </c>
      <c r="AC18" s="1812">
        <v>1</v>
      </c>
    </row>
    <row r="19" spans="1:29" ht="57">
      <c r="A19" s="428"/>
      <c r="B19" s="451" t="s">
        <v>2686</v>
      </c>
      <c r="C19" s="2661" t="str">
        <f>估价对象房地状况!C17</f>
        <v>估价对象周边办公项目较少，办公集聚程度较差。</v>
      </c>
      <c r="D19" s="455">
        <v>100</v>
      </c>
      <c r="E19" s="2990" t="s">
        <v>3337</v>
      </c>
      <c r="F19" s="455">
        <f>SUMIF(92:92,E20,93:93)-SUMIF(92:92,C20,93:93)+100</f>
        <v>100</v>
      </c>
      <c r="G19" s="2990" t="s">
        <v>3337</v>
      </c>
      <c r="H19" s="450">
        <f>SUMIF(92:92,G20,93:93)-SUMIF(92:92,C20,93:93)+100</f>
        <v>100</v>
      </c>
      <c r="I19" s="2990" t="s">
        <v>3337</v>
      </c>
      <c r="J19" s="450">
        <f>SUMIF(92:92,I20,93:93)-SUMIF(92:92,C20,93:93)+100</f>
        <v>100</v>
      </c>
      <c r="K19" s="673">
        <v>2</v>
      </c>
      <c r="L19" s="1142"/>
      <c r="M19" s="1133"/>
      <c r="N19" s="1133"/>
      <c r="O19" s="1141"/>
      <c r="P19" s="3228"/>
      <c r="Q19" s="1811" t="str">
        <f>B19</f>
        <v>办公集聚程度</v>
      </c>
      <c r="R19" s="773" t="s">
        <v>17</v>
      </c>
      <c r="S19" s="774">
        <f>F19</f>
        <v>100</v>
      </c>
      <c r="T19" s="773" t="s">
        <v>17</v>
      </c>
      <c r="U19" s="774">
        <f>H19</f>
        <v>100</v>
      </c>
      <c r="V19" s="773" t="s">
        <v>17</v>
      </c>
      <c r="W19" s="774">
        <f>J19</f>
        <v>100</v>
      </c>
      <c r="X19" s="1814"/>
      <c r="Y19" s="3228"/>
      <c r="Z19" s="1815" t="str">
        <f>Q19</f>
        <v>办公集聚程度</v>
      </c>
      <c r="AA19" s="1812">
        <f t="shared" si="3"/>
        <v>1</v>
      </c>
      <c r="AB19" s="1812">
        <f t="shared" si="4"/>
        <v>1</v>
      </c>
      <c r="AC19" s="1812">
        <f t="shared" si="5"/>
        <v>1</v>
      </c>
    </row>
    <row r="20" spans="1:29" ht="15">
      <c r="A20" s="428"/>
      <c r="B20" s="456"/>
      <c r="C20" s="447" t="s">
        <v>3334</v>
      </c>
      <c r="D20" s="448"/>
      <c r="E20" s="2602" t="s">
        <v>3334</v>
      </c>
      <c r="F20" s="448"/>
      <c r="G20" s="2602" t="s">
        <v>3334</v>
      </c>
      <c r="H20" s="448"/>
      <c r="I20" s="2601" t="s">
        <v>3334</v>
      </c>
      <c r="J20" s="448"/>
      <c r="K20" s="672"/>
      <c r="L20" s="1142"/>
      <c r="M20" s="1133"/>
      <c r="N20" s="1133"/>
      <c r="O20" s="1141"/>
      <c r="P20" s="3228"/>
      <c r="Q20" s="1811"/>
      <c r="R20" s="773"/>
      <c r="S20" s="774"/>
      <c r="T20" s="773"/>
      <c r="U20" s="774"/>
      <c r="V20" s="773"/>
      <c r="W20" s="774"/>
      <c r="X20" s="1814"/>
      <c r="Y20" s="3228"/>
      <c r="Z20" s="1815"/>
      <c r="AA20" s="1812">
        <v>1</v>
      </c>
      <c r="AB20" s="1812">
        <v>1</v>
      </c>
      <c r="AC20" s="1812">
        <v>1</v>
      </c>
    </row>
    <row r="21" spans="1:29" ht="99.75">
      <c r="A21" s="428"/>
      <c r="B21" s="451" t="s">
        <v>2708</v>
      </c>
      <c r="C21" s="2604" t="str">
        <f>估价对象房地状况!C18</f>
        <v>估价对象邻近京承高速、机场北线高速；公共交通情况差、停车较便捷，综合评价交通便捷度一般。</v>
      </c>
      <c r="D21" s="450">
        <v>100</v>
      </c>
      <c r="E21" s="2988" t="s">
        <v>3338</v>
      </c>
      <c r="F21" s="455">
        <f>SUMIF(94:94,E22,95:95)-SUMIF(94:94,C22,95:95)+100</f>
        <v>100</v>
      </c>
      <c r="G21" s="2988" t="s">
        <v>3357</v>
      </c>
      <c r="H21" s="450">
        <f>SUMIF(94:94,G22,95:95)-SUMIF(94:94,C22,95:95)+100</f>
        <v>100</v>
      </c>
      <c r="I21" s="2988" t="s">
        <v>3251</v>
      </c>
      <c r="J21" s="450">
        <f>SUMIF(94:94,I22,95:95)-SUMIF(94:94,C22,95:95)+100</f>
        <v>102</v>
      </c>
      <c r="K21" s="673">
        <v>2</v>
      </c>
      <c r="L21" s="1142"/>
      <c r="M21" s="1133"/>
      <c r="N21" s="1133"/>
      <c r="O21" s="1141"/>
      <c r="P21" s="3228"/>
      <c r="Q21" s="1811" t="str">
        <f>B21</f>
        <v>交通便捷度</v>
      </c>
      <c r="R21" s="773" t="s">
        <v>17</v>
      </c>
      <c r="S21" s="774">
        <f>F21</f>
        <v>100</v>
      </c>
      <c r="T21" s="773" t="s">
        <v>17</v>
      </c>
      <c r="U21" s="774">
        <f>H21</f>
        <v>100</v>
      </c>
      <c r="V21" s="773" t="s">
        <v>17</v>
      </c>
      <c r="W21" s="774">
        <f>J21</f>
        <v>102</v>
      </c>
      <c r="X21" s="1814"/>
      <c r="Y21" s="3228"/>
      <c r="Z21" s="1815" t="str">
        <f>Q21</f>
        <v>交通便捷度</v>
      </c>
      <c r="AA21" s="1812">
        <f t="shared" si="3"/>
        <v>1</v>
      </c>
      <c r="AB21" s="1812">
        <f t="shared" si="4"/>
        <v>1</v>
      </c>
      <c r="AC21" s="1812">
        <f t="shared" si="5"/>
        <v>0.98039215686274506</v>
      </c>
    </row>
    <row r="22" spans="1:29" ht="15">
      <c r="A22" s="428"/>
      <c r="B22" s="1386"/>
      <c r="C22" s="447" t="s">
        <v>3263</v>
      </c>
      <c r="D22" s="450"/>
      <c r="E22" s="2602" t="s">
        <v>3263</v>
      </c>
      <c r="F22" s="448"/>
      <c r="G22" s="2602" t="s">
        <v>3263</v>
      </c>
      <c r="H22" s="448"/>
      <c r="I22" s="2601" t="s">
        <v>3264</v>
      </c>
      <c r="J22" s="448"/>
      <c r="K22" s="672"/>
      <c r="L22" s="1142"/>
      <c r="M22" s="1133"/>
      <c r="N22" s="1133"/>
      <c r="O22" s="1141"/>
      <c r="P22" s="3228"/>
      <c r="Q22" s="1811"/>
      <c r="R22" s="773"/>
      <c r="S22" s="774"/>
      <c r="T22" s="773"/>
      <c r="U22" s="774"/>
      <c r="V22" s="773"/>
      <c r="W22" s="774"/>
      <c r="X22" s="1814"/>
      <c r="Y22" s="3228"/>
      <c r="Z22" s="1815"/>
      <c r="AA22" s="1812">
        <v>1</v>
      </c>
      <c r="AB22" s="1812">
        <v>1</v>
      </c>
      <c r="AC22" s="1812">
        <v>1</v>
      </c>
    </row>
    <row r="23" spans="1:29" ht="57">
      <c r="A23" s="404"/>
      <c r="B23" s="451" t="s">
        <v>2747</v>
      </c>
      <c r="C23" s="1391" t="str">
        <f>估价对象房地状况!C19</f>
        <v>区域以住宅用地为主、区域土地利用方向较一致。</v>
      </c>
      <c r="D23" s="455">
        <v>100</v>
      </c>
      <c r="E23" s="2988" t="s">
        <v>3340</v>
      </c>
      <c r="F23" s="455">
        <f>SUMIF(96:96,E24,97:97)-SUMIF(96:96,C24,97:97)+100</f>
        <v>100</v>
      </c>
      <c r="G23" s="2988" t="s">
        <v>3340</v>
      </c>
      <c r="H23" s="455">
        <f>SUMIF(96:96,G24,97:97)-SUMIF(96:96,C24,97:97)+100</f>
        <v>100</v>
      </c>
      <c r="I23" s="2988" t="s">
        <v>3340</v>
      </c>
      <c r="J23" s="455">
        <f>SUMIF(96:96,I24,97:97)-SUMIF(96:96,C24,97:97)+100</f>
        <v>100</v>
      </c>
      <c r="K23" s="673">
        <v>2</v>
      </c>
      <c r="L23" s="1142"/>
      <c r="M23" s="1133"/>
      <c r="N23" s="1133"/>
      <c r="O23" s="1141"/>
      <c r="P23" s="3228"/>
      <c r="Q23" s="1811" t="str">
        <f t="shared" ref="Q23:Q37" si="8">B23</f>
        <v>区域土地利用方向</v>
      </c>
      <c r="R23" s="773" t="s">
        <v>17</v>
      </c>
      <c r="S23" s="774">
        <f>F23</f>
        <v>100</v>
      </c>
      <c r="T23" s="773" t="s">
        <v>17</v>
      </c>
      <c r="U23" s="774">
        <f>H23</f>
        <v>100</v>
      </c>
      <c r="V23" s="773" t="s">
        <v>17</v>
      </c>
      <c r="W23" s="774">
        <f>J23</f>
        <v>100</v>
      </c>
      <c r="X23" s="1814"/>
      <c r="Y23" s="3228"/>
      <c r="Z23" s="1815" t="str">
        <f>Q23</f>
        <v>区域土地利用方向</v>
      </c>
      <c r="AA23" s="1812">
        <f t="shared" si="3"/>
        <v>1</v>
      </c>
      <c r="AB23" s="1812">
        <f t="shared" si="4"/>
        <v>1</v>
      </c>
      <c r="AC23" s="1812">
        <f t="shared" si="5"/>
        <v>1</v>
      </c>
    </row>
    <row r="24" spans="1:29" ht="15">
      <c r="A24" s="404"/>
      <c r="B24" s="456"/>
      <c r="C24" s="616" t="s">
        <v>3264</v>
      </c>
      <c r="D24" s="448"/>
      <c r="E24" s="2602" t="s">
        <v>3264</v>
      </c>
      <c r="F24" s="448"/>
      <c r="G24" s="2601" t="s">
        <v>3264</v>
      </c>
      <c r="H24" s="448"/>
      <c r="I24" s="2994" t="s">
        <v>3264</v>
      </c>
      <c r="J24" s="448"/>
      <c r="K24" s="811"/>
      <c r="L24" s="1142"/>
      <c r="M24" s="1133"/>
      <c r="N24" s="1133"/>
      <c r="O24" s="1141"/>
      <c r="P24" s="3228"/>
      <c r="Q24" s="1811"/>
      <c r="R24" s="773"/>
      <c r="S24" s="774"/>
      <c r="T24" s="773"/>
      <c r="U24" s="774"/>
      <c r="V24" s="773"/>
      <c r="W24" s="774"/>
      <c r="X24" s="1814"/>
      <c r="Y24" s="3228"/>
      <c r="Z24" s="1815"/>
      <c r="AA24" s="1812"/>
      <c r="AB24" s="1812"/>
      <c r="AC24" s="1812"/>
    </row>
    <row r="25" spans="1:29" ht="99.75">
      <c r="A25" s="404"/>
      <c r="B25" s="1386" t="s">
        <v>2748</v>
      </c>
      <c r="C25" s="2661" t="str">
        <f>估价对象房地状况!C20</f>
        <v>估价对象所在区域邻近温榆河，自然环境一般；无人文环境场所；综合评价自然及人文环境状况一般。</v>
      </c>
      <c r="D25" s="450">
        <v>100</v>
      </c>
      <c r="E25" s="2988" t="s">
        <v>3342</v>
      </c>
      <c r="F25" s="450">
        <f>SUMIF(98:98,E26,99:99)-SUMIF(98:98,C26,99:99)+100</f>
        <v>100</v>
      </c>
      <c r="G25" s="2988" t="s">
        <v>3342</v>
      </c>
      <c r="H25" s="450">
        <f>SUMIF(98:98,G26,99:99)-SUMIF(98:98,C26,99:99)+100</f>
        <v>100</v>
      </c>
      <c r="I25" s="2988" t="s">
        <v>3358</v>
      </c>
      <c r="J25" s="450">
        <f>SUMIF(98:98,I26,99:99)-SUMIF(98:98,C26,99:99)+100</f>
        <v>100</v>
      </c>
      <c r="K25" s="673">
        <v>2</v>
      </c>
      <c r="L25" s="1142"/>
      <c r="M25" s="1133"/>
      <c r="N25" s="1133"/>
      <c r="O25" s="1141"/>
      <c r="P25" s="3228"/>
      <c r="Q25" s="1811" t="str">
        <f t="shared" si="8"/>
        <v>自然及人文环境状况</v>
      </c>
      <c r="R25" s="773" t="s">
        <v>17</v>
      </c>
      <c r="S25" s="774">
        <f>F25</f>
        <v>100</v>
      </c>
      <c r="T25" s="773" t="s">
        <v>17</v>
      </c>
      <c r="U25" s="774">
        <f>H25</f>
        <v>100</v>
      </c>
      <c r="V25" s="773" t="s">
        <v>17</v>
      </c>
      <c r="W25" s="774">
        <f>J25</f>
        <v>100</v>
      </c>
      <c r="X25" s="1814"/>
      <c r="Y25" s="3228"/>
      <c r="Z25" s="1815" t="str">
        <f>Q25</f>
        <v>自然及人文环境状况</v>
      </c>
      <c r="AA25" s="1812">
        <f t="shared" si="3"/>
        <v>1</v>
      </c>
      <c r="AB25" s="1812">
        <f t="shared" si="4"/>
        <v>1</v>
      </c>
      <c r="AC25" s="1812">
        <f t="shared" si="5"/>
        <v>1</v>
      </c>
    </row>
    <row r="26" spans="1:29" ht="15">
      <c r="A26" s="404"/>
      <c r="B26" s="456"/>
      <c r="C26" s="447" t="s">
        <v>3263</v>
      </c>
      <c r="D26" s="448"/>
      <c r="E26" s="2608" t="s">
        <v>3263</v>
      </c>
      <c r="F26" s="448"/>
      <c r="G26" s="2608" t="s">
        <v>3263</v>
      </c>
      <c r="H26" s="448"/>
      <c r="I26" s="447" t="s">
        <v>3263</v>
      </c>
      <c r="J26" s="448"/>
      <c r="K26" s="672"/>
      <c r="L26" s="1142"/>
      <c r="M26" s="1133"/>
      <c r="N26" s="1133"/>
      <c r="O26" s="1141"/>
      <c r="P26" s="3228"/>
      <c r="Q26" s="1811"/>
      <c r="R26" s="773"/>
      <c r="S26" s="774"/>
      <c r="T26" s="773"/>
      <c r="U26" s="774"/>
      <c r="V26" s="773"/>
      <c r="W26" s="774"/>
      <c r="X26" s="1814"/>
      <c r="Y26" s="3228"/>
      <c r="Z26" s="1815"/>
      <c r="AA26" s="1812">
        <v>1</v>
      </c>
      <c r="AB26" s="1812">
        <v>1</v>
      </c>
      <c r="AC26" s="1812">
        <v>1</v>
      </c>
    </row>
    <row r="27" spans="1:29" s="117" customFormat="1" ht="42.75">
      <c r="A27" s="649"/>
      <c r="B27" s="1386" t="s">
        <v>2653</v>
      </c>
      <c r="C27" s="2604" t="str">
        <f>估价对象房地状况!C21</f>
        <v>估价对象所在区域公共配套设施齐备情况一般。</v>
      </c>
      <c r="D27" s="450">
        <v>100</v>
      </c>
      <c r="E27" s="2988" t="s">
        <v>3343</v>
      </c>
      <c r="F27" s="450">
        <f>SUMIF(100:100,E28,101:101)-SUMIF(100:100,C28,101:101)+100</f>
        <v>100</v>
      </c>
      <c r="G27" s="2988" t="s">
        <v>3359</v>
      </c>
      <c r="H27" s="450">
        <f>SUMIF(100:100,G28,101:101)-SUMIF(100:100,C28,101:101)+100</f>
        <v>102</v>
      </c>
      <c r="I27" s="2990" t="s">
        <v>3252</v>
      </c>
      <c r="J27" s="450">
        <f>SUMIF(100:100,I28,101:101)-SUMIF(100:100,C28,101:101)+100</f>
        <v>102</v>
      </c>
      <c r="K27" s="673">
        <v>2</v>
      </c>
      <c r="L27" s="1134"/>
      <c r="M27" s="1135"/>
      <c r="N27" s="1135"/>
      <c r="O27" s="1136"/>
      <c r="P27" s="3228"/>
      <c r="Q27" s="1796" t="str">
        <f t="shared" si="8"/>
        <v>公共配套设施</v>
      </c>
      <c r="R27" s="769" t="s">
        <v>17</v>
      </c>
      <c r="S27" s="770">
        <f>F27</f>
        <v>100</v>
      </c>
      <c r="T27" s="769" t="s">
        <v>17</v>
      </c>
      <c r="U27" s="770">
        <f>H27</f>
        <v>102</v>
      </c>
      <c r="V27" s="769" t="s">
        <v>17</v>
      </c>
      <c r="W27" s="770">
        <f>J27</f>
        <v>102</v>
      </c>
      <c r="X27" s="771"/>
      <c r="Y27" s="3228"/>
      <c r="Z27" s="55" t="str">
        <f>Q27</f>
        <v>公共配套设施</v>
      </c>
      <c r="AA27" s="1812">
        <f>D27/F27</f>
        <v>1</v>
      </c>
      <c r="AB27" s="1812">
        <f>D27/H27</f>
        <v>0.98039215686274506</v>
      </c>
      <c r="AC27" s="1812">
        <f>D27/J27</f>
        <v>0.98039215686274506</v>
      </c>
    </row>
    <row r="28" spans="1:29" s="117" customFormat="1" ht="15">
      <c r="A28" s="649"/>
      <c r="B28" s="456"/>
      <c r="C28" s="2697" t="s">
        <v>3263</v>
      </c>
      <c r="D28" s="448"/>
      <c r="E28" s="2608" t="s">
        <v>3263</v>
      </c>
      <c r="F28" s="448"/>
      <c r="G28" s="2608" t="s">
        <v>3264</v>
      </c>
      <c r="H28" s="448"/>
      <c r="I28" s="447" t="s">
        <v>3264</v>
      </c>
      <c r="J28" s="448"/>
      <c r="K28" s="672"/>
      <c r="L28" s="1134"/>
      <c r="M28" s="1135"/>
      <c r="N28" s="1135"/>
      <c r="O28" s="1136"/>
      <c r="P28" s="3228"/>
      <c r="Q28" s="1796"/>
      <c r="R28" s="769"/>
      <c r="S28" s="770"/>
      <c r="T28" s="769"/>
      <c r="U28" s="770"/>
      <c r="V28" s="769"/>
      <c r="W28" s="770"/>
      <c r="X28" s="771"/>
      <c r="Y28" s="3228"/>
      <c r="Z28" s="55"/>
      <c r="AA28" s="1812">
        <v>1</v>
      </c>
      <c r="AB28" s="1812">
        <v>1</v>
      </c>
      <c r="AC28" s="1812">
        <v>1</v>
      </c>
    </row>
    <row r="29" spans="1:29" s="117" customFormat="1" ht="42.75">
      <c r="A29" s="649"/>
      <c r="B29" s="1386" t="s">
        <v>2654</v>
      </c>
      <c r="C29" s="2604" t="str">
        <f>估价对象房地状况!C22</f>
        <v>估价对象所在区域基础设施水平达“七通”。</v>
      </c>
      <c r="D29" s="450">
        <v>100</v>
      </c>
      <c r="E29" s="452" t="s">
        <v>3344</v>
      </c>
      <c r="F29" s="450">
        <f>SUMIF(102:102,E30,103:103)-SUMIF(102:102,C30,103:103)+100</f>
        <v>100</v>
      </c>
      <c r="G29" s="452" t="s">
        <v>3344</v>
      </c>
      <c r="H29" s="450">
        <f>SUMIF(102:102,G30,103:103)-SUMIF(102:102,C30,103:103)+100</f>
        <v>100</v>
      </c>
      <c r="I29" s="452" t="s">
        <v>3344</v>
      </c>
      <c r="J29" s="450">
        <f>SUMIF(102:102,I30,103:103)-SUMIF(102:102,C30,103:103)+100</f>
        <v>100</v>
      </c>
      <c r="K29" s="673">
        <v>2</v>
      </c>
      <c r="L29" s="1134"/>
      <c r="M29" s="1135"/>
      <c r="N29" s="1135"/>
      <c r="O29" s="1136"/>
      <c r="P29" s="3228"/>
      <c r="Q29" s="1796" t="str">
        <f>B29</f>
        <v>基础设施水平</v>
      </c>
      <c r="R29" s="769" t="s">
        <v>17</v>
      </c>
      <c r="S29" s="770">
        <f>F29</f>
        <v>100</v>
      </c>
      <c r="T29" s="769" t="s">
        <v>17</v>
      </c>
      <c r="U29" s="770">
        <f>H29</f>
        <v>100</v>
      </c>
      <c r="V29" s="769" t="s">
        <v>17</v>
      </c>
      <c r="W29" s="770">
        <f>J29</f>
        <v>100</v>
      </c>
      <c r="X29" s="771"/>
      <c r="Y29" s="3228"/>
      <c r="Z29" s="55" t="str">
        <f>Q29</f>
        <v>基础设施水平</v>
      </c>
      <c r="AA29" s="1812">
        <f>D29/F29</f>
        <v>1</v>
      </c>
      <c r="AB29" s="1812">
        <f>D29/H29</f>
        <v>1</v>
      </c>
      <c r="AC29" s="1812">
        <f>D29/J29</f>
        <v>1</v>
      </c>
    </row>
    <row r="30" spans="1:29" s="117" customFormat="1" ht="15">
      <c r="A30" s="649"/>
      <c r="B30" s="456"/>
      <c r="C30" s="2697" t="s">
        <v>3260</v>
      </c>
      <c r="D30" s="448"/>
      <c r="E30" s="2698" t="s">
        <v>3260</v>
      </c>
      <c r="F30" s="448"/>
      <c r="G30" s="2698" t="s">
        <v>3260</v>
      </c>
      <c r="H30" s="448"/>
      <c r="I30" s="2698" t="s">
        <v>3260</v>
      </c>
      <c r="J30" s="448"/>
      <c r="K30" s="672"/>
      <c r="L30" s="1134"/>
      <c r="M30" s="1135"/>
      <c r="N30" s="1135"/>
      <c r="O30" s="1136"/>
      <c r="P30" s="3228"/>
      <c r="Q30" s="1796"/>
      <c r="R30" s="769"/>
      <c r="S30" s="770"/>
      <c r="T30" s="769"/>
      <c r="U30" s="770"/>
      <c r="V30" s="769"/>
      <c r="W30" s="770"/>
      <c r="X30" s="771"/>
      <c r="Y30" s="3228"/>
      <c r="Z30" s="55"/>
      <c r="AA30" s="1812">
        <v>1</v>
      </c>
      <c r="AB30" s="1812">
        <v>1</v>
      </c>
      <c r="AC30" s="1812">
        <v>1</v>
      </c>
    </row>
    <row r="31" spans="1:29" ht="15">
      <c r="A31" s="428"/>
      <c r="B31" s="456" t="s">
        <v>2655</v>
      </c>
      <c r="C31" s="616" t="s">
        <v>3091</v>
      </c>
      <c r="D31" s="435">
        <v>100</v>
      </c>
      <c r="E31" s="634" t="s">
        <v>3091</v>
      </c>
      <c r="F31" s="435">
        <f>SUMIF(104:104,E31,105:105)-SUMIF(104:104,C31,105:105)+100</f>
        <v>100</v>
      </c>
      <c r="G31" s="634" t="s">
        <v>3360</v>
      </c>
      <c r="H31" s="435">
        <f>SUMIF(104:104,G31,105:105)-SUMIF(104:104,C31,105:105)+100</f>
        <v>96</v>
      </c>
      <c r="I31" s="634" t="s">
        <v>3351</v>
      </c>
      <c r="J31" s="435">
        <f>SUMIF(104:104,I31,105:105)-SUMIF(104:104,C31,105:105)+100</f>
        <v>98</v>
      </c>
      <c r="K31" s="673">
        <v>2</v>
      </c>
      <c r="L31" s="1142"/>
      <c r="M31" s="1133"/>
      <c r="N31" s="1133"/>
      <c r="O31" s="1141"/>
      <c r="P31" s="3228"/>
      <c r="Q31" s="1811" t="str">
        <f t="shared" si="8"/>
        <v>临街状况</v>
      </c>
      <c r="R31" s="773" t="s">
        <v>17</v>
      </c>
      <c r="S31" s="774">
        <f t="shared" ref="S31:S45" si="9">F31</f>
        <v>100</v>
      </c>
      <c r="T31" s="773" t="s">
        <v>17</v>
      </c>
      <c r="U31" s="774">
        <f t="shared" ref="U31:U45" si="10">H31</f>
        <v>96</v>
      </c>
      <c r="V31" s="773" t="s">
        <v>17</v>
      </c>
      <c r="W31" s="774">
        <f t="shared" ref="W31:W45" si="11">J31</f>
        <v>98</v>
      </c>
      <c r="X31" s="1814"/>
      <c r="Y31" s="3228"/>
      <c r="Z31" s="1815" t="str">
        <f t="shared" ref="Z31:Z45" si="12">Q31</f>
        <v>临街状况</v>
      </c>
      <c r="AA31" s="1812">
        <f t="shared" si="3"/>
        <v>1</v>
      </c>
      <c r="AB31" s="1812">
        <f t="shared" si="4"/>
        <v>1.0416666666666667</v>
      </c>
      <c r="AC31" s="1812">
        <f t="shared" si="5"/>
        <v>1.0204081632653061</v>
      </c>
    </row>
    <row r="32" spans="1:29" ht="27.75">
      <c r="A32" s="428"/>
      <c r="B32" s="1386" t="s">
        <v>2690</v>
      </c>
      <c r="C32" s="454" t="s">
        <v>3345</v>
      </c>
      <c r="D32" s="450">
        <v>100</v>
      </c>
      <c r="E32" s="452" t="s">
        <v>3345</v>
      </c>
      <c r="F32" s="450">
        <f>SUMIF(106:106,E33,107:107)-SUMIF(106:106,C33,107:107)+100</f>
        <v>100</v>
      </c>
      <c r="G32" s="452" t="s">
        <v>3361</v>
      </c>
      <c r="H32" s="450">
        <f>SUMIF(106:106,G33,107:107)-SUMIF(106:106,C33,107:107)+100</f>
        <v>100</v>
      </c>
      <c r="I32" s="2991" t="s">
        <v>3352</v>
      </c>
      <c r="J32" s="450">
        <f>SUMIF(106:106,I33,107:107)-SUMIF(106:106,C33,107:107)+100</f>
        <v>100</v>
      </c>
      <c r="K32" s="673">
        <v>2</v>
      </c>
      <c r="L32" s="1142"/>
      <c r="M32" s="1133"/>
      <c r="N32" s="1133"/>
      <c r="O32" s="1141"/>
      <c r="P32" s="3228"/>
      <c r="Q32" s="1811" t="str">
        <f t="shared" si="8"/>
        <v>毗邻道路的类型与等级</v>
      </c>
      <c r="R32" s="773" t="s">
        <v>17</v>
      </c>
      <c r="S32" s="774">
        <f t="shared" si="9"/>
        <v>100</v>
      </c>
      <c r="T32" s="773" t="s">
        <v>17</v>
      </c>
      <c r="U32" s="774">
        <f t="shared" si="10"/>
        <v>100</v>
      </c>
      <c r="V32" s="773" t="s">
        <v>17</v>
      </c>
      <c r="W32" s="774">
        <f t="shared" si="11"/>
        <v>100</v>
      </c>
      <c r="X32" s="1814"/>
      <c r="Y32" s="3228"/>
      <c r="Z32" s="1815" t="str">
        <f t="shared" si="12"/>
        <v>毗邻道路的类型与等级</v>
      </c>
      <c r="AA32" s="1812">
        <f t="shared" si="3"/>
        <v>1</v>
      </c>
      <c r="AB32" s="1812">
        <f t="shared" si="4"/>
        <v>1</v>
      </c>
      <c r="AC32" s="1812">
        <f t="shared" si="5"/>
        <v>1</v>
      </c>
    </row>
    <row r="33" spans="1:29" ht="15">
      <c r="A33" s="428"/>
      <c r="B33" s="456"/>
      <c r="C33" s="447" t="s">
        <v>3346</v>
      </c>
      <c r="D33" s="448"/>
      <c r="E33" s="2608" t="s">
        <v>3346</v>
      </c>
      <c r="F33" s="448"/>
      <c r="G33" s="2608" t="s">
        <v>3346</v>
      </c>
      <c r="H33" s="448"/>
      <c r="I33" s="447" t="s">
        <v>3346</v>
      </c>
      <c r="J33" s="448"/>
      <c r="K33" s="613"/>
      <c r="L33" s="1142"/>
      <c r="M33" s="1133"/>
      <c r="N33" s="1133"/>
      <c r="O33" s="1141"/>
      <c r="P33" s="3228"/>
      <c r="Q33" s="1811"/>
      <c r="R33" s="773"/>
      <c r="S33" s="774"/>
      <c r="T33" s="773"/>
      <c r="U33" s="774"/>
      <c r="V33" s="773"/>
      <c r="W33" s="774"/>
      <c r="X33" s="1814"/>
      <c r="Y33" s="3228"/>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28"/>
      <c r="Q34" s="1811" t="str">
        <f t="shared" si="8"/>
        <v>土地级别</v>
      </c>
      <c r="R34" s="773" t="s">
        <v>17</v>
      </c>
      <c r="S34" s="774">
        <f t="shared" si="9"/>
        <v>100</v>
      </c>
      <c r="T34" s="773" t="s">
        <v>17</v>
      </c>
      <c r="U34" s="774">
        <f t="shared" si="10"/>
        <v>100</v>
      </c>
      <c r="V34" s="773" t="s">
        <v>17</v>
      </c>
      <c r="W34" s="774">
        <f t="shared" si="11"/>
        <v>100</v>
      </c>
      <c r="X34" s="1814"/>
      <c r="Y34" s="3228"/>
      <c r="Z34" s="1815" t="str">
        <f t="shared" si="12"/>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8"/>
      <c r="Q35" s="1811">
        <f t="shared" si="8"/>
        <v>111</v>
      </c>
      <c r="R35" s="773" t="s">
        <v>17</v>
      </c>
      <c r="S35" s="774">
        <f t="shared" si="9"/>
        <v>100</v>
      </c>
      <c r="T35" s="773" t="s">
        <v>17</v>
      </c>
      <c r="U35" s="774">
        <f t="shared" si="10"/>
        <v>100</v>
      </c>
      <c r="V35" s="773" t="s">
        <v>17</v>
      </c>
      <c r="W35" s="774">
        <f t="shared" si="11"/>
        <v>100</v>
      </c>
      <c r="X35" s="1814"/>
      <c r="Y35" s="3228"/>
      <c r="Z35" s="1815">
        <f t="shared" si="12"/>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29" t="s">
        <v>2564</v>
      </c>
      <c r="Q36" s="1811">
        <f t="shared" si="8"/>
        <v>111</v>
      </c>
      <c r="R36" s="773" t="s">
        <v>17</v>
      </c>
      <c r="S36" s="774">
        <f t="shared" si="9"/>
        <v>100</v>
      </c>
      <c r="T36" s="773" t="s">
        <v>17</v>
      </c>
      <c r="U36" s="774">
        <f t="shared" si="10"/>
        <v>100</v>
      </c>
      <c r="V36" s="773" t="s">
        <v>17</v>
      </c>
      <c r="W36" s="774">
        <f t="shared" si="11"/>
        <v>100</v>
      </c>
      <c r="X36" s="1814"/>
      <c r="Y36" s="3230" t="s">
        <v>2564</v>
      </c>
      <c r="Z36" s="1815">
        <f t="shared" si="12"/>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0"/>
      <c r="Q37" s="1811">
        <f t="shared" si="8"/>
        <v>111</v>
      </c>
      <c r="R37" s="776" t="s">
        <v>17</v>
      </c>
      <c r="S37" s="777">
        <f t="shared" si="9"/>
        <v>100</v>
      </c>
      <c r="T37" s="776" t="s">
        <v>17</v>
      </c>
      <c r="U37" s="777">
        <f t="shared" si="10"/>
        <v>100</v>
      </c>
      <c r="V37" s="776" t="s">
        <v>17</v>
      </c>
      <c r="W37" s="777">
        <f t="shared" si="11"/>
        <v>100</v>
      </c>
      <c r="X37" s="778"/>
      <c r="Y37" s="3230"/>
      <c r="Z37" s="779">
        <f t="shared" si="12"/>
        <v>111</v>
      </c>
      <c r="AA37" s="1812">
        <f t="shared" si="3"/>
        <v>1</v>
      </c>
      <c r="AB37" s="1812">
        <f t="shared" si="4"/>
        <v>1</v>
      </c>
      <c r="AC37" s="1812">
        <f t="shared" si="5"/>
        <v>1</v>
      </c>
    </row>
    <row r="38" spans="1:29" ht="15">
      <c r="A38" s="472" t="s">
        <v>2562</v>
      </c>
      <c r="B38" s="456" t="s">
        <v>2750</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2"/>
      <c r="M38" s="1133"/>
      <c r="N38" s="1133"/>
      <c r="O38" s="1141"/>
      <c r="P38" s="3230"/>
      <c r="Q38" s="1811" t="str">
        <f>B38</f>
        <v>宗地面积</v>
      </c>
      <c r="R38" s="773" t="s">
        <v>17</v>
      </c>
      <c r="S38" s="774">
        <f t="shared" si="9"/>
        <v>104</v>
      </c>
      <c r="T38" s="773" t="s">
        <v>17</v>
      </c>
      <c r="U38" s="774">
        <f t="shared" si="10"/>
        <v>100</v>
      </c>
      <c r="V38" s="773" t="s">
        <v>17</v>
      </c>
      <c r="W38" s="774">
        <f t="shared" si="11"/>
        <v>104</v>
      </c>
      <c r="X38" s="1814"/>
      <c r="Y38" s="3230"/>
      <c r="Z38" s="1815" t="str">
        <f t="shared" si="12"/>
        <v>宗地面积</v>
      </c>
      <c r="AA38" s="1812">
        <f t="shared" si="3"/>
        <v>0.96153846153846156</v>
      </c>
      <c r="AB38" s="1812">
        <f t="shared" si="4"/>
        <v>1</v>
      </c>
      <c r="AC38" s="1812">
        <f t="shared" si="5"/>
        <v>0.96153846153846156</v>
      </c>
    </row>
    <row r="39" spans="1:29" ht="15">
      <c r="A39" s="472"/>
      <c r="B39" s="422" t="s">
        <v>2751</v>
      </c>
      <c r="C39" s="2610" t="s">
        <v>3347</v>
      </c>
      <c r="D39" s="435">
        <v>100</v>
      </c>
      <c r="E39" s="2610" t="s">
        <v>3347</v>
      </c>
      <c r="F39" s="435">
        <f>SUMIF(119:119,E39,120:120)-SUMIF(119:119,C39,120:120)+100</f>
        <v>100</v>
      </c>
      <c r="G39" s="2610" t="s">
        <v>3347</v>
      </c>
      <c r="H39" s="435">
        <f>SUMIF(119:119,G39,120:120)-SUMIF(119:119,C39,120:120)+100</f>
        <v>100</v>
      </c>
      <c r="I39" s="2610" t="s">
        <v>3353</v>
      </c>
      <c r="J39" s="435">
        <f>SUMIF(119:119,I39,120:120)-SUMIF(119:119,C39,120:120)+100</f>
        <v>98</v>
      </c>
      <c r="K39" s="612">
        <v>2</v>
      </c>
      <c r="L39" s="1142"/>
      <c r="M39" s="1133"/>
      <c r="N39" s="1133"/>
      <c r="O39" s="1141"/>
      <c r="P39" s="3230"/>
      <c r="Q39" s="1811" t="str">
        <f t="shared" ref="Q39:Q45" si="13">B39</f>
        <v>宗地形状</v>
      </c>
      <c r="R39" s="773" t="s">
        <v>17</v>
      </c>
      <c r="S39" s="774">
        <f t="shared" si="9"/>
        <v>100</v>
      </c>
      <c r="T39" s="773" t="s">
        <v>17</v>
      </c>
      <c r="U39" s="774">
        <f t="shared" si="10"/>
        <v>100</v>
      </c>
      <c r="V39" s="773" t="s">
        <v>17</v>
      </c>
      <c r="W39" s="774">
        <f t="shared" si="11"/>
        <v>98</v>
      </c>
      <c r="X39" s="1814"/>
      <c r="Y39" s="3230"/>
      <c r="Z39" s="1815" t="str">
        <f t="shared" si="12"/>
        <v>宗地形状</v>
      </c>
      <c r="AA39" s="1812">
        <f t="shared" si="3"/>
        <v>1</v>
      </c>
      <c r="AB39" s="1812">
        <f t="shared" si="4"/>
        <v>1</v>
      </c>
      <c r="AC39" s="1812">
        <f t="shared" si="5"/>
        <v>1.0204081632653061</v>
      </c>
    </row>
    <row r="40" spans="1:29" ht="15">
      <c r="A40" s="472"/>
      <c r="B40" s="422" t="s">
        <v>2752</v>
      </c>
      <c r="C40" s="2610" t="s">
        <v>3348</v>
      </c>
      <c r="D40" s="435">
        <v>100</v>
      </c>
      <c r="E40" s="2610" t="s">
        <v>3348</v>
      </c>
      <c r="F40" s="435">
        <f>SUMIF(121:121,E40,122:122)-SUMIF(121:121,C40,122:122)+100</f>
        <v>100</v>
      </c>
      <c r="G40" s="2610" t="s">
        <v>3348</v>
      </c>
      <c r="H40" s="435">
        <f>SUMIF(121:121,G40,122:122)-SUMIF(121:121,C40,122:122)+100</f>
        <v>100</v>
      </c>
      <c r="I40" s="2610" t="s">
        <v>3348</v>
      </c>
      <c r="J40" s="435">
        <f>SUMIF(121:121,I40,122:122)-SUMIF(121:121,C40,122:122)+100</f>
        <v>100</v>
      </c>
      <c r="K40" s="612">
        <v>2</v>
      </c>
      <c r="L40" s="1142"/>
      <c r="M40" s="1133"/>
      <c r="N40" s="1133"/>
      <c r="O40" s="1141"/>
      <c r="P40" s="3230"/>
      <c r="Q40" s="1811" t="str">
        <f t="shared" si="13"/>
        <v>临街宽度及深度</v>
      </c>
      <c r="R40" s="773" t="s">
        <v>17</v>
      </c>
      <c r="S40" s="774">
        <f t="shared" si="9"/>
        <v>100</v>
      </c>
      <c r="T40" s="773" t="s">
        <v>17</v>
      </c>
      <c r="U40" s="774">
        <f t="shared" si="10"/>
        <v>100</v>
      </c>
      <c r="V40" s="773" t="s">
        <v>17</v>
      </c>
      <c r="W40" s="774">
        <f t="shared" si="11"/>
        <v>100</v>
      </c>
      <c r="X40" s="1814"/>
      <c r="Y40" s="3230"/>
      <c r="Z40" s="1815" t="str">
        <f t="shared" si="12"/>
        <v>临街宽度及深度</v>
      </c>
      <c r="AA40" s="1812">
        <f t="shared" si="3"/>
        <v>1</v>
      </c>
      <c r="AB40" s="1812">
        <f t="shared" si="4"/>
        <v>1</v>
      </c>
      <c r="AC40" s="1812">
        <f t="shared" si="5"/>
        <v>1</v>
      </c>
    </row>
    <row r="41" spans="1:29" s="117" customFormat="1" ht="15">
      <c r="A41" s="473"/>
      <c r="B41" s="422" t="s">
        <v>2753</v>
      </c>
      <c r="C41" s="2699" t="s">
        <v>3349</v>
      </c>
      <c r="D41" s="136">
        <v>100</v>
      </c>
      <c r="E41" s="2699" t="s">
        <v>3350</v>
      </c>
      <c r="F41" s="435">
        <f>SUMIF(123:123,E41,124:124)-SUMIF(123:123,C41,124:124)+100</f>
        <v>92</v>
      </c>
      <c r="G41" s="2699" t="s">
        <v>3350</v>
      </c>
      <c r="H41" s="435">
        <f>SUMIF(123:123,G41,124:124)-SUMIF(123:123,C41,124:124)+100</f>
        <v>92</v>
      </c>
      <c r="I41" s="2699" t="s">
        <v>3354</v>
      </c>
      <c r="J41" s="435">
        <f>SUMIF(123:123,I41,124:124)-SUMIF(123:123,C41,124:124)+100</f>
        <v>98</v>
      </c>
      <c r="K41" s="612">
        <v>2</v>
      </c>
      <c r="L41" s="1134"/>
      <c r="M41" s="1135"/>
      <c r="N41" s="1135"/>
      <c r="O41" s="1136"/>
      <c r="P41" s="3230"/>
      <c r="Q41" s="1811" t="str">
        <f t="shared" si="13"/>
        <v>宗地开发程度</v>
      </c>
      <c r="R41" s="769" t="s">
        <v>17</v>
      </c>
      <c r="S41" s="770">
        <f t="shared" si="9"/>
        <v>92</v>
      </c>
      <c r="T41" s="769" t="s">
        <v>17</v>
      </c>
      <c r="U41" s="770">
        <f t="shared" si="10"/>
        <v>92</v>
      </c>
      <c r="V41" s="769" t="s">
        <v>17</v>
      </c>
      <c r="W41" s="770">
        <f t="shared" si="11"/>
        <v>98</v>
      </c>
      <c r="X41" s="771"/>
      <c r="Y41" s="3230"/>
      <c r="Z41" s="55" t="str">
        <f t="shared" si="12"/>
        <v>宗地开发程度</v>
      </c>
      <c r="AA41" s="772">
        <f t="shared" si="3"/>
        <v>1.0869565217391304</v>
      </c>
      <c r="AB41" s="772">
        <f t="shared" si="4"/>
        <v>1.0869565217391304</v>
      </c>
      <c r="AC41" s="772">
        <f t="shared" si="5"/>
        <v>1.0204081632653061</v>
      </c>
    </row>
    <row r="42" spans="1:29" ht="15">
      <c r="A42" s="472"/>
      <c r="B42" s="422" t="s">
        <v>2754</v>
      </c>
      <c r="C42" s="2610" t="s">
        <v>3264</v>
      </c>
      <c r="D42" s="435">
        <v>100</v>
      </c>
      <c r="E42" s="2610" t="s">
        <v>3264</v>
      </c>
      <c r="F42" s="435">
        <f>SUMIF(125:125,E42,126:126)-SUMIF(125:125,C42,126:126)+100</f>
        <v>100</v>
      </c>
      <c r="G42" s="2610" t="s">
        <v>3264</v>
      </c>
      <c r="H42" s="435">
        <f>SUMIF(125:125,G42,126:126)-SUMIF(125:125,C42,126:126)+100</f>
        <v>100</v>
      </c>
      <c r="I42" s="2610" t="s">
        <v>3264</v>
      </c>
      <c r="J42" s="435">
        <f>SUMIF(125:125,I42,126:126)-SUMIF(125:125,C42,126:126)+100</f>
        <v>100</v>
      </c>
      <c r="K42" s="612">
        <v>2</v>
      </c>
      <c r="L42" s="1142"/>
      <c r="M42" s="1133"/>
      <c r="N42" s="1133"/>
      <c r="O42" s="1141"/>
      <c r="P42" s="3230" t="s">
        <v>2564</v>
      </c>
      <c r="Q42" s="1811" t="str">
        <f t="shared" si="13"/>
        <v>工程地质条件</v>
      </c>
      <c r="R42" s="773" t="s">
        <v>17</v>
      </c>
      <c r="S42" s="774">
        <f t="shared" si="9"/>
        <v>100</v>
      </c>
      <c r="T42" s="773" t="s">
        <v>17</v>
      </c>
      <c r="U42" s="774">
        <f t="shared" si="10"/>
        <v>100</v>
      </c>
      <c r="V42" s="773" t="s">
        <v>17</v>
      </c>
      <c r="W42" s="774">
        <f t="shared" si="11"/>
        <v>100</v>
      </c>
      <c r="X42" s="1814"/>
      <c r="Y42" s="3230" t="s">
        <v>2564</v>
      </c>
      <c r="Z42" s="1815" t="str">
        <f t="shared" si="12"/>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0"/>
      <c r="Q43" s="1811">
        <f t="shared" si="13"/>
        <v>111</v>
      </c>
      <c r="R43" s="773" t="s">
        <v>17</v>
      </c>
      <c r="S43" s="774">
        <f t="shared" si="9"/>
        <v>100</v>
      </c>
      <c r="T43" s="773" t="s">
        <v>17</v>
      </c>
      <c r="U43" s="774">
        <f t="shared" si="10"/>
        <v>100</v>
      </c>
      <c r="V43" s="773" t="s">
        <v>17</v>
      </c>
      <c r="W43" s="774">
        <f t="shared" si="11"/>
        <v>100</v>
      </c>
      <c r="X43" s="1814"/>
      <c r="Y43" s="3230"/>
      <c r="Z43" s="1815">
        <f t="shared" si="12"/>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0"/>
      <c r="Q44" s="1811">
        <f t="shared" si="13"/>
        <v>111</v>
      </c>
      <c r="R44" s="773" t="s">
        <v>17</v>
      </c>
      <c r="S44" s="774">
        <f t="shared" si="9"/>
        <v>100</v>
      </c>
      <c r="T44" s="773" t="s">
        <v>17</v>
      </c>
      <c r="U44" s="774">
        <f t="shared" si="10"/>
        <v>100</v>
      </c>
      <c r="V44" s="773" t="s">
        <v>17</v>
      </c>
      <c r="W44" s="774">
        <f t="shared" si="11"/>
        <v>100</v>
      </c>
      <c r="X44" s="1814"/>
      <c r="Y44" s="3230"/>
      <c r="Z44" s="1815">
        <f t="shared" si="12"/>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0"/>
      <c r="Q45" s="1811">
        <f t="shared" si="13"/>
        <v>111</v>
      </c>
      <c r="R45" s="776" t="s">
        <v>17</v>
      </c>
      <c r="S45" s="777">
        <f t="shared" si="9"/>
        <v>100</v>
      </c>
      <c r="T45" s="776" t="s">
        <v>17</v>
      </c>
      <c r="U45" s="777">
        <f t="shared" si="10"/>
        <v>100</v>
      </c>
      <c r="V45" s="776" t="s">
        <v>17</v>
      </c>
      <c r="W45" s="777">
        <f t="shared" si="11"/>
        <v>100</v>
      </c>
      <c r="X45" s="778"/>
      <c r="Y45" s="3230"/>
      <c r="Z45" s="779">
        <f t="shared" si="12"/>
        <v>111</v>
      </c>
      <c r="AA45" s="1812">
        <f t="shared" si="3"/>
        <v>1</v>
      </c>
      <c r="AB45" s="1812">
        <f t="shared" si="4"/>
        <v>1</v>
      </c>
      <c r="AC45" s="1812">
        <f t="shared" si="5"/>
        <v>1</v>
      </c>
    </row>
    <row r="46" spans="1:29" ht="15">
      <c r="A46" s="479" t="s">
        <v>2719</v>
      </c>
      <c r="B46" s="2701" t="s">
        <v>2755</v>
      </c>
      <c r="C46" s="682" t="s">
        <v>1</v>
      </c>
      <c r="D46" s="481"/>
      <c r="E46" s="482">
        <f>ROUND(土地案例!K7,0)</f>
        <v>44995</v>
      </c>
      <c r="F46" s="483"/>
      <c r="G46" s="482">
        <f>ROUND(土地案例!K5,0)</f>
        <v>41193</v>
      </c>
      <c r="H46" s="485"/>
      <c r="I46" s="482">
        <f>ROUND(土地案例!K3,0)</f>
        <v>44981</v>
      </c>
      <c r="J46" s="485"/>
      <c r="K46" s="782"/>
      <c r="L46" s="1145"/>
      <c r="M46" s="1146"/>
      <c r="N46" s="1133"/>
      <c r="O46" s="1146"/>
      <c r="P46" s="3212" t="str">
        <f>A46</f>
        <v>成交单价</v>
      </c>
      <c r="Q46" s="3212"/>
      <c r="R46" s="3225">
        <f>E46</f>
        <v>44995</v>
      </c>
      <c r="S46" s="3225"/>
      <c r="T46" s="3225">
        <f>G46</f>
        <v>41193</v>
      </c>
      <c r="U46" s="3225"/>
      <c r="V46" s="3225">
        <f>I46</f>
        <v>44981</v>
      </c>
      <c r="W46" s="3225"/>
      <c r="X46" s="758"/>
      <c r="Y46" s="780"/>
      <c r="Z46" s="758"/>
      <c r="AA46" s="758"/>
      <c r="AB46" s="758"/>
      <c r="AC46" s="758"/>
    </row>
    <row r="47" spans="1:29" ht="15.75" thickBot="1">
      <c r="A47" s="486" t="s">
        <v>2668</v>
      </c>
      <c r="B47" s="683"/>
      <c r="C47" s="490">
        <f>R48</f>
        <v>46561</v>
      </c>
      <c r="D47" s="489"/>
      <c r="E47" s="490">
        <f>R47</f>
        <v>50532</v>
      </c>
      <c r="F47" s="491"/>
      <c r="G47" s="488">
        <f>T47</f>
        <v>46234</v>
      </c>
      <c r="H47" s="489"/>
      <c r="I47" s="490">
        <f>V47</f>
        <v>42916</v>
      </c>
      <c r="J47" s="489"/>
      <c r="K47" s="783"/>
      <c r="L47" s="1145"/>
      <c r="M47" s="1146"/>
      <c r="N47" s="1146"/>
      <c r="O47" s="1146"/>
      <c r="P47" s="3212" t="str">
        <f>A47</f>
        <v>比较价值（元/平方米）</v>
      </c>
      <c r="Q47" s="3212"/>
      <c r="R47" s="3231">
        <f>ROUND(PRODUCT(R46,AA7:AA45),0)</f>
        <v>50532</v>
      </c>
      <c r="S47" s="3231"/>
      <c r="T47" s="3231">
        <f>ROUND(PRODUCT(T46,AB7:AB45),0)</f>
        <v>46234</v>
      </c>
      <c r="U47" s="3231"/>
      <c r="V47" s="3231">
        <f>ROUND(PRODUCT(V46,AC7:AC45),0)</f>
        <v>42916</v>
      </c>
      <c r="W47" s="3231"/>
      <c r="X47" s="758"/>
      <c r="Y47" s="758"/>
      <c r="Z47" s="758"/>
      <c r="AA47" s="758"/>
      <c r="AB47" s="758"/>
      <c r="AC47" s="758"/>
    </row>
    <row r="48" spans="1:29" ht="15.75" thickBot="1">
      <c r="A48" s="492" t="s">
        <v>2756</v>
      </c>
      <c r="B48" s="493"/>
      <c r="C48" s="494">
        <f>R48</f>
        <v>46561</v>
      </c>
      <c r="D48" s="494"/>
      <c r="E48" s="494"/>
      <c r="F48" s="494"/>
      <c r="G48" s="494"/>
      <c r="H48" s="494"/>
      <c r="I48" s="494"/>
      <c r="J48" s="494"/>
      <c r="K48" s="784"/>
      <c r="L48" s="1145"/>
      <c r="M48" s="1146"/>
      <c r="N48" s="1146"/>
      <c r="O48" s="1146"/>
      <c r="P48" s="3232" t="str">
        <f>A48</f>
        <v>估价对象XX用房的比较价值（楼面单价，元/平方米）</v>
      </c>
      <c r="Q48" s="3233"/>
      <c r="R48" s="3234">
        <f>ROUND(AVERAGE(R47:V47),0)</f>
        <v>46561</v>
      </c>
      <c r="S48" s="3234"/>
      <c r="T48" s="3234"/>
      <c r="U48" s="3234"/>
      <c r="V48" s="3234"/>
      <c r="W48" s="323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0.12305811756861873</v>
      </c>
      <c r="F51" s="500" t="str">
        <f>IF(OR(E51&gt;=0.3,E51&lt;=-0.3),"超过30%","")</f>
        <v/>
      </c>
      <c r="G51" s="499">
        <f>IF(G46&lt;G47,G47/G46-1,G46/G47-1)</f>
        <v>0.12237516082829614</v>
      </c>
      <c r="H51" s="500" t="str">
        <f>IF(OR(G51&gt;=0.3,G51&lt;=-0.3),"超过30%","")</f>
        <v/>
      </c>
      <c r="I51" s="499">
        <f>IF(I46&lt;I47,I47/I46-1,I46/I47-1)</f>
        <v>4.8117252306832059E-2</v>
      </c>
      <c r="J51" s="500" t="str">
        <f>IF(OR(I51&gt;=0.3,I51&lt;=-0.3),"超过30%","")</f>
        <v/>
      </c>
      <c r="K51" s="1107"/>
      <c r="L51" s="1108"/>
      <c r="M51" s="1146"/>
      <c r="N51" s="1146"/>
      <c r="O51" s="1146"/>
    </row>
    <row r="52" spans="1:15" ht="13.5" customHeight="1">
      <c r="A52" s="1146"/>
      <c r="B52" s="1146"/>
      <c r="C52" s="497" t="s">
        <v>2671</v>
      </c>
      <c r="D52" s="501"/>
      <c r="E52" s="499">
        <f>IF(E47&lt;G47,G47/E47-1,E47/G47-1)</f>
        <v>9.2961889518536234E-2</v>
      </c>
      <c r="F52" s="500" t="str">
        <f>IF(OR(E52&gt;=0.2,E52&lt;=-0.2),"超过20%","")</f>
        <v/>
      </c>
      <c r="G52" s="499">
        <f>IF(G47&lt;I47,I47/G47-1,G47/I47-1)</f>
        <v>7.7313822350638439E-2</v>
      </c>
      <c r="H52" s="500" t="str">
        <f>IF(OR(G52&gt;=0.2,G52&lt;=-0.2),"超过20%","")</f>
        <v/>
      </c>
      <c r="I52" s="499">
        <f>IF(I47&lt;E47,E47/I47-1,I47/E47-1)</f>
        <v>0.17746295088079034</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2757</v>
      </c>
      <c r="B55" s="685" t="s">
        <v>2758</v>
      </c>
      <c r="C55" s="2702" t="s">
        <v>2759</v>
      </c>
      <c r="D55" s="2703" t="s">
        <v>2760</v>
      </c>
      <c r="E55" s="686" t="s">
        <v>2761</v>
      </c>
      <c r="F55" s="1109" t="s">
        <v>2762</v>
      </c>
      <c r="G55" s="3213" t="s">
        <v>2763</v>
      </c>
      <c r="H55" s="3235"/>
      <c r="I55" s="144" t="s">
        <v>2764</v>
      </c>
      <c r="J55" s="2704">
        <f>项目基本情况!F35</f>
        <v>0</v>
      </c>
      <c r="K55" s="2705" t="s">
        <v>2765</v>
      </c>
      <c r="L55" s="1108"/>
      <c r="M55" s="1146"/>
      <c r="N55" s="1146"/>
      <c r="O55" s="1146"/>
    </row>
    <row r="56" spans="1:15" s="692" customFormat="1">
      <c r="A56" s="688" t="s">
        <v>2766</v>
      </c>
      <c r="B56" s="689">
        <f>C48</f>
        <v>46561</v>
      </c>
      <c r="C56" s="690">
        <v>1</v>
      </c>
      <c r="D56" s="1165">
        <v>1</v>
      </c>
      <c r="E56" s="690">
        <f>'数据-汇总表'!E8+'数据-汇总表'!E9</f>
        <v>28837.35</v>
      </c>
      <c r="F56" s="1105">
        <f t="shared" ref="F56:F65" si="14">ROUND(B56*E56/10000,0)</f>
        <v>134270</v>
      </c>
      <c r="G56" s="3236"/>
      <c r="H56" s="3212"/>
      <c r="I56" s="1110">
        <v>1</v>
      </c>
      <c r="J56" s="1113">
        <v>1</v>
      </c>
      <c r="K56" s="1147"/>
      <c r="L56" s="943"/>
      <c r="M56" s="943"/>
      <c r="N56" s="943"/>
      <c r="O56" s="943"/>
    </row>
    <row r="57" spans="1:15" s="692" customFormat="1">
      <c r="A57" s="693" t="s">
        <v>2767</v>
      </c>
      <c r="B57" s="262">
        <f>ROUND($C$48*C57*D57,0)</f>
        <v>6984</v>
      </c>
      <c r="C57" s="200">
        <f t="shared" ref="C57:C65" si="15">IF($C$55="北京市系数",I57,J57)</f>
        <v>0.6</v>
      </c>
      <c r="D57" s="1166">
        <v>0.25</v>
      </c>
      <c r="E57" s="694"/>
      <c r="F57" s="1105">
        <f t="shared" si="14"/>
        <v>0</v>
      </c>
      <c r="G57" s="3237" t="s">
        <v>2768</v>
      </c>
      <c r="H57" s="1106" t="str">
        <f>项目基本情况!B37</f>
        <v>八级</v>
      </c>
      <c r="I57" s="1110">
        <f>SUMIF(修正!A45:A56,H57,修正!B45:B56)</f>
        <v>0.6</v>
      </c>
      <c r="J57" s="1114"/>
      <c r="K57" s="1146"/>
      <c r="L57" s="943"/>
      <c r="M57" s="943"/>
      <c r="N57" s="943"/>
      <c r="O57" s="943"/>
    </row>
    <row r="58" spans="1:15" s="692" customFormat="1">
      <c r="A58" s="693" t="s">
        <v>2769</v>
      </c>
      <c r="B58" s="262">
        <f t="shared" ref="B58:B65" si="16">ROUND($C$48*C58*D58,0)</f>
        <v>3492</v>
      </c>
      <c r="C58" s="200">
        <f t="shared" si="15"/>
        <v>0.3</v>
      </c>
      <c r="D58" s="1166">
        <v>0.25</v>
      </c>
      <c r="E58" s="694"/>
      <c r="F58" s="1105">
        <f t="shared" si="14"/>
        <v>0</v>
      </c>
      <c r="G58" s="3237"/>
      <c r="H58" s="1106" t="str">
        <f>项目基本情况!B37</f>
        <v>八级</v>
      </c>
      <c r="I58" s="1110">
        <f>SUMIF(修正!A45:A56,H58,修正!C45:C56)</f>
        <v>0.3</v>
      </c>
      <c r="J58" s="1114"/>
      <c r="K58" s="1147"/>
      <c r="L58" s="943"/>
      <c r="M58" s="943"/>
      <c r="N58" s="943"/>
      <c r="O58" s="943"/>
    </row>
    <row r="59" spans="1:15" s="692" customFormat="1">
      <c r="A59" s="693" t="s">
        <v>2770</v>
      </c>
      <c r="B59" s="262">
        <f t="shared" si="16"/>
        <v>2328</v>
      </c>
      <c r="C59" s="200">
        <f t="shared" si="15"/>
        <v>0.2</v>
      </c>
      <c r="D59" s="1166">
        <v>0.25</v>
      </c>
      <c r="E59" s="694"/>
      <c r="F59" s="1105">
        <f t="shared" si="14"/>
        <v>0</v>
      </c>
      <c r="G59" s="3237"/>
      <c r="H59" s="1106" t="str">
        <f>项目基本情况!B37</f>
        <v>八级</v>
      </c>
      <c r="I59" s="1110">
        <f>SUMIF(修正!A45:A56,H59,修正!D45:D56)</f>
        <v>0.2</v>
      </c>
      <c r="J59" s="1114"/>
      <c r="K59" s="1146"/>
      <c r="L59" s="943"/>
      <c r="M59" s="943"/>
      <c r="N59" s="943"/>
      <c r="O59" s="943"/>
    </row>
    <row r="60" spans="1:15" s="692" customFormat="1">
      <c r="A60" s="693" t="s">
        <v>2771</v>
      </c>
      <c r="B60" s="262">
        <f t="shared" si="16"/>
        <v>2328</v>
      </c>
      <c r="C60" s="200">
        <f t="shared" si="15"/>
        <v>0.2</v>
      </c>
      <c r="D60" s="1166">
        <v>0.25</v>
      </c>
      <c r="E60" s="694"/>
      <c r="F60" s="1105">
        <f t="shared" si="14"/>
        <v>0</v>
      </c>
      <c r="G60" s="3237"/>
      <c r="H60" s="1106" t="str">
        <f>项目基本情况!B37</f>
        <v>八级</v>
      </c>
      <c r="I60" s="1110">
        <f>SUMIF(修正!A45:A56,H60,修正!E45:E56)</f>
        <v>0.2</v>
      </c>
      <c r="J60" s="1114"/>
      <c r="K60" s="1147"/>
      <c r="L60" s="943"/>
      <c r="M60" s="943"/>
      <c r="N60" s="943"/>
      <c r="O60" s="943"/>
    </row>
    <row r="61" spans="1:15" s="692" customFormat="1">
      <c r="A61" s="693" t="s">
        <v>2772</v>
      </c>
      <c r="B61" s="262">
        <f t="shared" si="16"/>
        <v>2328</v>
      </c>
      <c r="C61" s="200">
        <f t="shared" si="15"/>
        <v>0.2</v>
      </c>
      <c r="D61" s="1166">
        <v>0.25</v>
      </c>
      <c r="E61" s="261">
        <f>'数据-汇总表'!E11</f>
        <v>0</v>
      </c>
      <c r="F61" s="1105">
        <f t="shared" si="14"/>
        <v>0</v>
      </c>
      <c r="G61" s="2706" t="s">
        <v>2773</v>
      </c>
      <c r="H61" s="1106" t="str">
        <f>项目基本情况!C37</f>
        <v>八级</v>
      </c>
      <c r="I61" s="1110">
        <f>SUMIF(修正!A45:A56,H61,修正!F45:F56)</f>
        <v>0.2</v>
      </c>
      <c r="J61" s="1114"/>
      <c r="K61" s="1146"/>
      <c r="L61" s="943"/>
      <c r="M61" s="943"/>
      <c r="N61" s="943"/>
      <c r="O61" s="943"/>
    </row>
    <row r="62" spans="1:15" s="692" customFormat="1">
      <c r="A62" s="693" t="s">
        <v>2774</v>
      </c>
      <c r="B62" s="262">
        <f t="shared" si="16"/>
        <v>2328</v>
      </c>
      <c r="C62" s="200">
        <f t="shared" si="15"/>
        <v>0.2</v>
      </c>
      <c r="D62" s="1166">
        <v>0.25</v>
      </c>
      <c r="E62" s="261">
        <f>'数据-汇总表'!E12</f>
        <v>0</v>
      </c>
      <c r="F62" s="1105">
        <f t="shared" si="14"/>
        <v>0</v>
      </c>
      <c r="G62" s="1111" t="s">
        <v>3086</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ht="13.5" customHeight="1">
      <c r="A63" s="693" t="s">
        <v>2776</v>
      </c>
      <c r="B63" s="262">
        <f t="shared" si="16"/>
        <v>1746</v>
      </c>
      <c r="C63" s="200">
        <f t="shared" si="15"/>
        <v>0.15</v>
      </c>
      <c r="D63" s="1166">
        <v>0.25</v>
      </c>
      <c r="E63" s="261">
        <f>'数据-汇总表'!E13</f>
        <v>18009.650000000031</v>
      </c>
      <c r="F63" s="1105">
        <f t="shared" si="14"/>
        <v>3144</v>
      </c>
      <c r="G63" s="1111" t="s">
        <v>2777</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2778</v>
      </c>
      <c r="B64" s="262">
        <f t="shared" si="16"/>
        <v>1746</v>
      </c>
      <c r="C64" s="200">
        <f t="shared" si="15"/>
        <v>0.15</v>
      </c>
      <c r="D64" s="1166">
        <v>0.25</v>
      </c>
      <c r="E64" s="261">
        <f>'数据-汇总表'!E14</f>
        <v>0</v>
      </c>
      <c r="F64" s="1105">
        <f t="shared" si="14"/>
        <v>0</v>
      </c>
      <c r="G64" s="2706" t="s">
        <v>2768</v>
      </c>
      <c r="H64" s="1106" t="str">
        <f>项目基本情况!B37</f>
        <v>八级</v>
      </c>
      <c r="I64" s="1110">
        <f>SUMIF(修正!A45:A56,H64,修正!H45:H56)</f>
        <v>0.15</v>
      </c>
      <c r="J64" s="1114"/>
      <c r="K64" s="1147"/>
      <c r="L64" s="943"/>
      <c r="M64" s="943"/>
      <c r="N64" s="943"/>
      <c r="O64" s="943"/>
    </row>
    <row r="65" spans="1:17" s="692" customFormat="1" ht="15" thickBot="1">
      <c r="A65" s="693" t="s">
        <v>2779</v>
      </c>
      <c r="B65" s="262">
        <f t="shared" si="16"/>
        <v>1746</v>
      </c>
      <c r="C65" s="200">
        <f t="shared" si="15"/>
        <v>0.15</v>
      </c>
      <c r="D65" s="1166">
        <v>0.25</v>
      </c>
      <c r="E65" s="261">
        <f>'数据-汇总表'!E15</f>
        <v>0</v>
      </c>
      <c r="F65" s="1105">
        <f t="shared" si="14"/>
        <v>0</v>
      </c>
      <c r="G65" s="2707" t="s">
        <v>2773</v>
      </c>
      <c r="H65" s="1116" t="str">
        <f>项目基本情况!C37</f>
        <v>八级</v>
      </c>
      <c r="I65" s="1112">
        <f>SUMIF(修正!A45:A56,H65,修正!H45:H56)</f>
        <v>0.15</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46847.000000000029</v>
      </c>
      <c r="F66" s="697">
        <f>IF(B46="楼面地价",SUM(F56:F65),ROUND(C48*E66/10000,0))</f>
        <v>137414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7">EDATE(E68,-3)</f>
        <v>43009</v>
      </c>
      <c r="G68" s="760">
        <f t="shared" si="17"/>
        <v>42917</v>
      </c>
      <c r="H68" s="760">
        <f t="shared" si="17"/>
        <v>42826</v>
      </c>
      <c r="I68" s="760">
        <f t="shared" si="17"/>
        <v>42736</v>
      </c>
      <c r="J68" s="760">
        <f t="shared" si="17"/>
        <v>42644</v>
      </c>
      <c r="K68" s="760">
        <f t="shared" si="17"/>
        <v>42552</v>
      </c>
      <c r="L68" s="760">
        <f t="shared" si="17"/>
        <v>42461</v>
      </c>
      <c r="M68" s="760">
        <f t="shared" si="17"/>
        <v>42370</v>
      </c>
      <c r="N68" s="760">
        <f t="shared" si="17"/>
        <v>42278</v>
      </c>
      <c r="O68" s="760">
        <f t="shared" si="17"/>
        <v>42186</v>
      </c>
    </row>
    <row r="69" spans="1:17" ht="21.75" thickBot="1">
      <c r="A69" s="762" t="s">
        <v>2673</v>
      </c>
      <c r="B69" s="758"/>
      <c r="C69" s="763"/>
      <c r="D69" s="763"/>
      <c r="E69" s="763"/>
      <c r="F69" s="764"/>
      <c r="G69" s="764"/>
      <c r="H69" s="763"/>
      <c r="I69" s="763"/>
      <c r="J69" s="1161"/>
      <c r="K69" s="1162"/>
      <c r="L69" s="1163"/>
      <c r="M69" s="1161"/>
      <c r="N69" s="1161"/>
      <c r="O69" s="1161"/>
      <c r="P69" s="503"/>
      <c r="Q69" s="504"/>
    </row>
    <row r="70" spans="1:17" s="508" customFormat="1" ht="15">
      <c r="A70" s="2708" t="s">
        <v>2781</v>
      </c>
      <c r="B70" s="1361"/>
      <c r="C70" s="1573" t="str">
        <f>YEAR(C68)&amp;"-"&amp;ROUNDUP(MONTH(C68)/3,0)</f>
        <v>2018-3</v>
      </c>
      <c r="D70" s="1573" t="str">
        <f>YEAR(D68)&amp;"-"&amp;ROUNDUP(MONTH(D68)/3,0)</f>
        <v>2018-2</v>
      </c>
      <c r="E70" s="1573" t="str">
        <f t="shared" ref="E70:O70" si="18">YEAR(E68)&amp;"-"&amp;ROUNDUP(MONTH(E68)/3,0)</f>
        <v>2018-1</v>
      </c>
      <c r="F70" s="1573" t="str">
        <f t="shared" si="18"/>
        <v>2017-4</v>
      </c>
      <c r="G70" s="1573" t="str">
        <f t="shared" si="18"/>
        <v>2017-3</v>
      </c>
      <c r="H70" s="1573" t="str">
        <f t="shared" si="18"/>
        <v>2017-2</v>
      </c>
      <c r="I70" s="1573" t="str">
        <f t="shared" si="18"/>
        <v>2017-1</v>
      </c>
      <c r="J70" s="1573" t="str">
        <f t="shared" si="18"/>
        <v>2016-4</v>
      </c>
      <c r="K70" s="1573" t="str">
        <f t="shared" si="18"/>
        <v>2016-3</v>
      </c>
      <c r="L70" s="1573" t="str">
        <f t="shared" si="18"/>
        <v>2016-2</v>
      </c>
      <c r="M70" s="1573" t="str">
        <f t="shared" si="18"/>
        <v>2016-1</v>
      </c>
      <c r="N70" s="1573" t="str">
        <f t="shared" si="18"/>
        <v>2015-4</v>
      </c>
      <c r="O70" s="1573" t="str">
        <f t="shared" si="18"/>
        <v>2015-3</v>
      </c>
      <c r="P70" s="507"/>
    </row>
    <row r="71" spans="1:17" s="117" customFormat="1" ht="30" customHeight="1">
      <c r="A71" s="2709" t="s">
        <v>3388</v>
      </c>
      <c r="B71" s="332" t="str">
        <f>"北京市平均增长率"&amp;TEXT(SUMIF(基准地价修正!N21:N25,A71,基准地价修正!P21:P25),"0.00%")</f>
        <v>北京市平均增长率2.15%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2587</v>
      </c>
      <c r="B75" s="528" t="s">
        <v>2553</v>
      </c>
      <c r="C75" s="2957" t="s">
        <v>3092</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v>
      </c>
      <c r="H79" s="547" t="str">
        <f t="shared" si="19"/>
        <v>（含）-</v>
      </c>
      <c r="I79" s="547" t="str">
        <f t="shared" si="19"/>
        <v>（含）-</v>
      </c>
      <c r="J79" s="547" t="str">
        <f t="shared" si="19"/>
        <v>（含）-</v>
      </c>
      <c r="K79" s="547" t="str">
        <f t="shared" si="19"/>
        <v>（含）-</v>
      </c>
      <c r="L79" s="547" t="str">
        <f t="shared" si="19"/>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5"/>
      <c r="O81" s="1155"/>
      <c r="P81" s="45"/>
      <c r="Q81" s="504"/>
    </row>
    <row r="82" spans="1:17" s="471" customFormat="1" ht="15.75" thickTop="1">
      <c r="A82" s="553"/>
      <c r="B82" s="538" t="str">
        <f>B12</f>
        <v>配建</v>
      </c>
      <c r="C82" s="2958" t="s">
        <v>3370</v>
      </c>
      <c r="D82" s="2958" t="s">
        <v>3371</v>
      </c>
      <c r="E82" s="554"/>
      <c r="F82" s="554"/>
      <c r="G82" s="554"/>
      <c r="H82" s="555"/>
      <c r="I82" s="555"/>
      <c r="J82" s="555"/>
      <c r="K82" s="555"/>
      <c r="L82" s="556"/>
      <c r="M82" s="557"/>
      <c r="N82" s="1156"/>
      <c r="O82" s="1156"/>
      <c r="P82" s="558"/>
      <c r="Q82" s="559"/>
    </row>
    <row r="83" spans="1:17" s="471" customFormat="1" ht="15.75" thickBot="1">
      <c r="A83" s="553"/>
      <c r="B83" s="543"/>
      <c r="C83" s="560">
        <v>100</v>
      </c>
      <c r="D83" s="536">
        <v>98</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1">D105-$K31</f>
        <v>96</v>
      </c>
      <c r="F105" s="544">
        <f t="shared" si="21"/>
        <v>94</v>
      </c>
      <c r="G105" s="544">
        <f t="shared" si="21"/>
        <v>92</v>
      </c>
      <c r="H105" s="544">
        <f t="shared" si="21"/>
        <v>90</v>
      </c>
      <c r="I105" s="544">
        <f t="shared" si="21"/>
        <v>88</v>
      </c>
      <c r="J105" s="544">
        <f t="shared" si="21"/>
        <v>86</v>
      </c>
      <c r="K105" s="544">
        <f t="shared" si="21"/>
        <v>84</v>
      </c>
      <c r="L105" s="544">
        <f t="shared" si="21"/>
        <v>82</v>
      </c>
      <c r="M105" s="544">
        <f t="shared" si="21"/>
        <v>80</v>
      </c>
      <c r="N105" s="1155"/>
      <c r="O105" s="1155"/>
      <c r="P105" s="45"/>
      <c r="Q105" s="504"/>
    </row>
    <row r="106" spans="1:17" ht="27.75" thickTop="1">
      <c r="A106" s="534"/>
      <c r="B106" s="538" t="s">
        <v>2690</v>
      </c>
      <c r="C106" s="2958" t="s">
        <v>3093</v>
      </c>
      <c r="D106" s="2958" t="s">
        <v>3094</v>
      </c>
      <c r="E106" s="2958" t="s">
        <v>3095</v>
      </c>
      <c r="F106" s="2958" t="s">
        <v>3096</v>
      </c>
      <c r="G106" s="2958" t="s">
        <v>3097</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2">D107-$K32</f>
        <v>96</v>
      </c>
      <c r="F107" s="544">
        <f t="shared" si="22"/>
        <v>94</v>
      </c>
      <c r="G107" s="544">
        <f t="shared" si="22"/>
        <v>92</v>
      </c>
      <c r="H107" s="544">
        <f t="shared" si="22"/>
        <v>90</v>
      </c>
      <c r="I107" s="544">
        <f t="shared" si="22"/>
        <v>88</v>
      </c>
      <c r="J107" s="544">
        <f t="shared" si="22"/>
        <v>86</v>
      </c>
      <c r="K107" s="544">
        <f t="shared" si="22"/>
        <v>84</v>
      </c>
      <c r="L107" s="544">
        <f t="shared" si="22"/>
        <v>82</v>
      </c>
      <c r="M107" s="544">
        <f t="shared" si="22"/>
        <v>80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2789</v>
      </c>
      <c r="C116" s="529" t="str">
        <f>C117&amp;"(含)"&amp;"-"&amp;D117</f>
        <v>0(含)-50000</v>
      </c>
      <c r="D116" s="529" t="str">
        <f t="shared" ref="D116:M116" si="24">D117&amp;"(含)"&amp;"-"&amp;E117</f>
        <v>50000(含)-100000</v>
      </c>
      <c r="E116" s="529" t="str">
        <f t="shared" si="24"/>
        <v>100000(含)-150000</v>
      </c>
      <c r="F116" s="529" t="str">
        <f t="shared" si="24"/>
        <v>150000(含)-200000</v>
      </c>
      <c r="G116" s="529" t="str">
        <f t="shared" si="24"/>
        <v>200000(含)-</v>
      </c>
      <c r="H116" s="529" t="str">
        <f t="shared" si="24"/>
        <v>(含)-</v>
      </c>
      <c r="I116" s="529" t="str">
        <f t="shared" si="24"/>
        <v>(含)-</v>
      </c>
      <c r="J116" s="529" t="str">
        <f t="shared" si="24"/>
        <v>(含)-</v>
      </c>
      <c r="K116" s="529" t="str">
        <f t="shared" si="24"/>
        <v>(含)-</v>
      </c>
      <c r="L116" s="529" t="str">
        <f t="shared" si="24"/>
        <v>(含)-</v>
      </c>
      <c r="M116" s="529" t="str">
        <f t="shared" si="24"/>
        <v>(含)-</v>
      </c>
      <c r="N116" s="1154"/>
      <c r="O116" s="1154"/>
      <c r="P116" s="45"/>
      <c r="Q116" s="504"/>
    </row>
    <row r="117" spans="1:17" ht="15">
      <c r="A117" s="534"/>
      <c r="B117" s="546"/>
      <c r="C117" s="595">
        <v>0</v>
      </c>
      <c r="D117" s="595">
        <v>50000</v>
      </c>
      <c r="E117" s="595">
        <v>100000</v>
      </c>
      <c r="F117" s="595">
        <v>150000</v>
      </c>
      <c r="G117" s="595">
        <v>200000</v>
      </c>
      <c r="H117" s="595"/>
      <c r="I117" s="595"/>
      <c r="J117" s="595"/>
      <c r="K117" s="595"/>
      <c r="L117" s="595"/>
      <c r="M117" s="595"/>
      <c r="N117" s="1154"/>
      <c r="O117" s="1154"/>
      <c r="P117" s="45"/>
      <c r="Q117" s="504"/>
    </row>
    <row r="118" spans="1:17" ht="15.75" thickBot="1">
      <c r="A118" s="534"/>
      <c r="B118" s="543"/>
      <c r="C118" s="570">
        <v>100</v>
      </c>
      <c r="D118" s="591">
        <v>102</v>
      </c>
      <c r="E118" s="570">
        <v>104</v>
      </c>
      <c r="F118" s="591">
        <v>106</v>
      </c>
      <c r="G118" s="570">
        <v>108</v>
      </c>
      <c r="H118" s="591"/>
      <c r="I118" s="570"/>
      <c r="J118" s="591"/>
      <c r="K118" s="570"/>
      <c r="L118" s="591"/>
      <c r="M118" s="570"/>
      <c r="N118" s="1155"/>
      <c r="O118" s="1155"/>
      <c r="P118" s="45"/>
      <c r="Q118" s="504"/>
    </row>
    <row r="119" spans="1:17" ht="15" thickTop="1">
      <c r="A119" s="599"/>
      <c r="B119" s="538" t="s">
        <v>2790</v>
      </c>
      <c r="C119" s="2959" t="s">
        <v>3098</v>
      </c>
      <c r="D119" s="2959" t="s">
        <v>3099</v>
      </c>
      <c r="E119" s="2959" t="s">
        <v>3100</v>
      </c>
      <c r="F119" s="2959" t="s">
        <v>3101</v>
      </c>
      <c r="G119" s="583"/>
      <c r="H119" s="583"/>
      <c r="I119" s="583"/>
      <c r="J119" s="583"/>
      <c r="K119" s="584"/>
      <c r="L119" s="585"/>
      <c r="M119" s="586"/>
      <c r="N119" s="1154"/>
      <c r="O119" s="1154"/>
      <c r="P119" s="45"/>
      <c r="Q119" s="504"/>
    </row>
    <row r="120" spans="1:17" ht="15.75" thickBot="1">
      <c r="A120" s="534"/>
      <c r="B120" s="543"/>
      <c r="C120" s="544">
        <v>100</v>
      </c>
      <c r="D120" s="544">
        <f t="shared" ref="D120:M120" si="25">C120-$K39</f>
        <v>98</v>
      </c>
      <c r="E120" s="544">
        <f t="shared" si="25"/>
        <v>96</v>
      </c>
      <c r="F120" s="544">
        <f t="shared" si="25"/>
        <v>94</v>
      </c>
      <c r="G120" s="544">
        <f t="shared" si="25"/>
        <v>92</v>
      </c>
      <c r="H120" s="544">
        <f t="shared" si="25"/>
        <v>90</v>
      </c>
      <c r="I120" s="544">
        <f t="shared" si="25"/>
        <v>88</v>
      </c>
      <c r="J120" s="544">
        <f t="shared" si="25"/>
        <v>86</v>
      </c>
      <c r="K120" s="544">
        <f t="shared" si="25"/>
        <v>84</v>
      </c>
      <c r="L120" s="544">
        <f t="shared" si="25"/>
        <v>82</v>
      </c>
      <c r="M120" s="545">
        <f t="shared" si="25"/>
        <v>80</v>
      </c>
      <c r="N120" s="1155"/>
      <c r="O120" s="1155"/>
      <c r="P120" s="45"/>
      <c r="Q120" s="504"/>
    </row>
    <row r="121" spans="1:17" ht="15" thickTop="1">
      <c r="A121" s="599"/>
      <c r="B121" s="538" t="s">
        <v>2791</v>
      </c>
      <c r="C121" s="2958" t="s">
        <v>3102</v>
      </c>
      <c r="D121" s="2958" t="s">
        <v>3103</v>
      </c>
      <c r="E121" s="2958" t="s">
        <v>3104</v>
      </c>
      <c r="F121" s="2959" t="s">
        <v>3105</v>
      </c>
      <c r="G121" s="583"/>
      <c r="H121" s="583"/>
      <c r="I121" s="583"/>
      <c r="J121" s="583"/>
      <c r="K121" s="584"/>
      <c r="L121" s="585"/>
      <c r="M121" s="586"/>
      <c r="N121" s="1154"/>
      <c r="O121" s="1154"/>
      <c r="P121" s="45"/>
      <c r="Q121" s="504"/>
    </row>
    <row r="122" spans="1:17" ht="15.75" thickBot="1">
      <c r="A122" s="534"/>
      <c r="B122" s="543"/>
      <c r="C122" s="544">
        <v>100</v>
      </c>
      <c r="D122" s="544">
        <f t="shared" ref="D122:M122" si="26">C122-$K40</f>
        <v>98</v>
      </c>
      <c r="E122" s="544">
        <f t="shared" si="26"/>
        <v>96</v>
      </c>
      <c r="F122" s="544">
        <f t="shared" si="26"/>
        <v>94</v>
      </c>
      <c r="G122" s="544">
        <f t="shared" si="26"/>
        <v>92</v>
      </c>
      <c r="H122" s="544">
        <f t="shared" si="26"/>
        <v>90</v>
      </c>
      <c r="I122" s="544">
        <f t="shared" si="26"/>
        <v>88</v>
      </c>
      <c r="J122" s="544">
        <f t="shared" si="26"/>
        <v>86</v>
      </c>
      <c r="K122" s="544">
        <f t="shared" si="26"/>
        <v>84</v>
      </c>
      <c r="L122" s="544">
        <f t="shared" si="26"/>
        <v>82</v>
      </c>
      <c r="M122" s="545">
        <f t="shared" si="26"/>
        <v>80</v>
      </c>
      <c r="N122" s="1155"/>
      <c r="O122" s="1155"/>
      <c r="P122" s="45"/>
      <c r="Q122" s="504"/>
    </row>
    <row r="123" spans="1:17" s="471" customFormat="1" ht="15" thickTop="1">
      <c r="A123" s="593"/>
      <c r="B123" s="538" t="s">
        <v>2792</v>
      </c>
      <c r="C123" s="2958" t="s">
        <v>3106</v>
      </c>
      <c r="D123" s="2958" t="s">
        <v>3107</v>
      </c>
      <c r="E123" s="2958" t="s">
        <v>3108</v>
      </c>
      <c r="F123" s="2958" t="s">
        <v>3109</v>
      </c>
      <c r="G123" s="2958" t="s">
        <v>3110</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7">D124-$K41</f>
        <v>96</v>
      </c>
      <c r="F124" s="544">
        <f t="shared" si="27"/>
        <v>94</v>
      </c>
      <c r="G124" s="544">
        <f t="shared" si="27"/>
        <v>92</v>
      </c>
      <c r="H124" s="544">
        <f t="shared" si="27"/>
        <v>90</v>
      </c>
      <c r="I124" s="544">
        <f t="shared" si="27"/>
        <v>88</v>
      </c>
      <c r="J124" s="544">
        <f t="shared" si="27"/>
        <v>86</v>
      </c>
      <c r="K124" s="544">
        <f t="shared" si="27"/>
        <v>84</v>
      </c>
      <c r="L124" s="544">
        <f t="shared" si="27"/>
        <v>82</v>
      </c>
      <c r="M124" s="545">
        <f t="shared" si="27"/>
        <v>80</v>
      </c>
      <c r="N124" s="1156"/>
      <c r="O124" s="1156"/>
      <c r="P124" s="558"/>
      <c r="Q124" s="559"/>
    </row>
    <row r="125" spans="1:17" ht="15" thickTop="1">
      <c r="A125" s="599"/>
      <c r="B125" s="538" t="s">
        <v>2793</v>
      </c>
      <c r="C125" s="2958" t="s">
        <v>3111</v>
      </c>
      <c r="D125" s="2958" t="s">
        <v>3112</v>
      </c>
      <c r="E125" s="2959" t="s">
        <v>3113</v>
      </c>
      <c r="F125" s="2959" t="s">
        <v>3114</v>
      </c>
      <c r="G125" s="2959" t="s">
        <v>3115</v>
      </c>
      <c r="H125" s="583"/>
      <c r="I125" s="583"/>
      <c r="J125" s="583"/>
      <c r="K125" s="584"/>
      <c r="L125" s="585"/>
      <c r="M125" s="586"/>
      <c r="N125" s="1154"/>
      <c r="O125" s="1154"/>
      <c r="P125" s="45"/>
      <c r="Q125" s="504"/>
    </row>
    <row r="126" spans="1:17" ht="15.75" thickBot="1">
      <c r="A126" s="534"/>
      <c r="B126" s="543"/>
      <c r="C126" s="544">
        <v>100</v>
      </c>
      <c r="D126" s="544">
        <f t="shared" ref="D126:M126" si="28">C126-$K42</f>
        <v>98</v>
      </c>
      <c r="E126" s="544">
        <f t="shared" si="28"/>
        <v>96</v>
      </c>
      <c r="F126" s="544">
        <f t="shared" si="28"/>
        <v>94</v>
      </c>
      <c r="G126" s="544">
        <f t="shared" si="28"/>
        <v>92</v>
      </c>
      <c r="H126" s="544">
        <f t="shared" si="28"/>
        <v>90</v>
      </c>
      <c r="I126" s="544">
        <f t="shared" si="28"/>
        <v>88</v>
      </c>
      <c r="J126" s="544">
        <f t="shared" si="28"/>
        <v>86</v>
      </c>
      <c r="K126" s="544">
        <f t="shared" si="28"/>
        <v>84</v>
      </c>
      <c r="L126" s="544">
        <f t="shared" si="28"/>
        <v>82</v>
      </c>
      <c r="M126" s="545">
        <f t="shared" si="28"/>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292432</v>
      </c>
      <c r="C2" s="320" t="s">
        <v>2461</v>
      </c>
      <c r="D2" s="320"/>
      <c r="E2" s="320"/>
      <c r="F2" s="320"/>
      <c r="G2" s="320"/>
      <c r="H2" s="320"/>
      <c r="I2" s="320"/>
      <c r="J2" s="320"/>
      <c r="K2" s="320"/>
    </row>
    <row r="3" spans="1:33" ht="18" customHeight="1" thickBot="1">
      <c r="A3" s="247" t="s">
        <v>2330</v>
      </c>
      <c r="B3" s="248">
        <f ca="1">ROUND(B2*10000/IF(C1="",'数据-汇总表'!E3,INDIRECT("'数据-取费表'!K"&amp;$K$1)),0)</f>
        <v>49207</v>
      </c>
      <c r="C3" s="320" t="s">
        <v>2462</v>
      </c>
      <c r="D3" s="320"/>
      <c r="E3" s="320"/>
      <c r="F3" s="320"/>
      <c r="G3" s="320"/>
      <c r="H3" s="320"/>
      <c r="I3" s="320"/>
      <c r="J3" s="320"/>
      <c r="K3" s="320"/>
    </row>
    <row r="4" spans="1:33" s="958" customFormat="1" ht="16.5" customHeight="1">
      <c r="A4" s="955" t="s">
        <v>2463</v>
      </c>
      <c r="B4" s="956"/>
      <c r="C4" s="998">
        <f ca="1">SUM(C8:K8)</f>
        <v>334337</v>
      </c>
      <c r="D4" s="956"/>
      <c r="E4" s="956"/>
      <c r="F4" s="956"/>
      <c r="G4" s="956"/>
      <c r="H4" s="956"/>
      <c r="I4" s="956"/>
      <c r="J4" s="956"/>
      <c r="K4" s="957"/>
    </row>
    <row r="5" spans="1:33" s="962" customFormat="1" ht="15">
      <c r="A5" s="959" t="s">
        <v>2464</v>
      </c>
      <c r="B5" s="960" t="s">
        <v>2465</v>
      </c>
      <c r="C5" s="2551" t="s">
        <v>3086</v>
      </c>
      <c r="D5" s="2551" t="s">
        <v>1377</v>
      </c>
      <c r="E5" s="2551" t="s">
        <v>2466</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3000">
        <f>'比较法-住宅'!B3</f>
        <v>81909</v>
      </c>
      <c r="D6" s="964">
        <f ca="1">'收益法 (元)'!B3</f>
        <v>23865</v>
      </c>
      <c r="E6" s="3000">
        <f ca="1">'收益法-车库'!B3</f>
        <v>6091</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39446.86</v>
      </c>
      <c r="D7" s="321">
        <f>SUMIF('数据-汇总表'!$C19:$C33,假设开发法!D5,'数据-汇总表'!$E19:$E33)</f>
        <v>110</v>
      </c>
      <c r="E7" s="321">
        <f>SUMIF('数据-汇总表'!$C19:$C33,假设开发法!E5,'数据-汇总表'!$E19:$E33)</f>
        <v>18009.650000000031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2470</v>
      </c>
      <c r="B8" s="177" t="s">
        <v>2471</v>
      </c>
      <c r="C8" s="999">
        <f>'比较法-住宅'!B2</f>
        <v>323105</v>
      </c>
      <c r="D8" s="999">
        <f ca="1">'收益法 (元)'!B2</f>
        <v>263</v>
      </c>
      <c r="E8" s="999">
        <f ca="1">'收益法-车库'!B2</f>
        <v>10969</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3">
        <f ca="1">IF(C1="",'数据-取费表'!P16,INDIRECT("'数据-取费表'!p"&amp;$K$1)+INDIRECT("'数据-取费表'!ar"&amp;$K$1))</f>
        <v>2097</v>
      </c>
      <c r="D11" s="975"/>
      <c r="E11" s="375"/>
      <c r="F11" s="976">
        <f ca="1">1-IF('数据-取费表'!B24=0,1,IF(C1="",'数据-取费表'!N16,INDIRECT("'数据-取费表'!n"&amp;$K$1)))</f>
        <v>9.9999999999999978E-2</v>
      </c>
      <c r="G11" s="8"/>
      <c r="H11" s="970"/>
      <c r="I11" s="970"/>
      <c r="J11" s="970"/>
      <c r="K11" s="971"/>
    </row>
    <row r="12" spans="1:33" s="977" customFormat="1" ht="13.5" customHeight="1">
      <c r="A12" s="973" t="s">
        <v>1335</v>
      </c>
      <c r="B12" s="974" t="s">
        <v>2480</v>
      </c>
      <c r="C12" s="24">
        <f ca="1">ROUND(C11*F12,0)</f>
        <v>84</v>
      </c>
      <c r="D12" s="975"/>
      <c r="E12" s="375"/>
      <c r="F12" s="978">
        <f>'数据-取费表'!B33</f>
        <v>0.04</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83</v>
      </c>
      <c r="D13" s="1035"/>
      <c r="E13" s="375"/>
      <c r="F13" s="978">
        <f>'数据-取费表'!B34</f>
        <v>0.05</v>
      </c>
      <c r="G13" s="8" t="s">
        <v>2483</v>
      </c>
      <c r="H13" s="970"/>
      <c r="I13" s="970"/>
      <c r="J13" s="970"/>
      <c r="K13" s="971"/>
    </row>
    <row r="14" spans="1:33" s="979" customFormat="1" ht="13.5" customHeight="1">
      <c r="A14" s="973" t="s">
        <v>1337</v>
      </c>
      <c r="B14" s="974" t="s">
        <v>2484</v>
      </c>
      <c r="C14" s="24">
        <f ca="1">ROUND(D14*E14*F11/10000,0)</f>
        <v>119</v>
      </c>
      <c r="D14" s="1035">
        <f ca="1">IF(C1="",'数据-汇总表'!E3,INDIRECT("'数据-取费表'!K"&amp;$K$1)+INDIRECT("'数据-取费表'!S"&amp;$K$1))</f>
        <v>59428.920000000027</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31</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2414</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59428.920000000027</v>
      </c>
      <c r="E17" s="24">
        <f>'数据-取费表'!B32</f>
        <v>0</v>
      </c>
      <c r="F17" s="980"/>
      <c r="G17" s="140"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3" t="s">
        <v>3277</v>
      </c>
      <c r="H18" s="1578"/>
      <c r="I18" s="2554"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39446.86</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19982.060000000027</v>
      </c>
      <c r="E20" s="24">
        <f>'数据-取费表'!B28</f>
        <v>0</v>
      </c>
      <c r="F20" s="978"/>
      <c r="G20" s="15"/>
      <c r="H20" s="983"/>
      <c r="I20" s="983"/>
      <c r="J20" s="983"/>
      <c r="K20" s="984"/>
    </row>
    <row r="21" spans="1:33" s="977" customFormat="1" ht="13.5" customHeight="1">
      <c r="A21" s="963" t="s">
        <v>802</v>
      </c>
      <c r="B21" s="987" t="s">
        <v>2495</v>
      </c>
      <c r="C21" s="988">
        <f ca="1">C16+C17+C18</f>
        <v>2414</v>
      </c>
      <c r="D21" s="989"/>
      <c r="E21" s="325"/>
      <c r="F21" s="325"/>
      <c r="G21" s="140" t="s">
        <v>2496</v>
      </c>
      <c r="H21" s="981"/>
      <c r="I21" s="981"/>
      <c r="J21" s="981"/>
      <c r="K21" s="982"/>
    </row>
    <row r="22" spans="1:33" s="977" customFormat="1" ht="13.5" customHeight="1">
      <c r="A22" s="963" t="s">
        <v>2468</v>
      </c>
      <c r="B22" s="987" t="s">
        <v>2497</v>
      </c>
      <c r="C22" s="988">
        <f ca="1">ROUND(C21*F22,0)</f>
        <v>72</v>
      </c>
      <c r="D22" s="325"/>
      <c r="E22" s="325"/>
      <c r="F22" s="990">
        <f>'数据-取费表'!B37</f>
        <v>0.03</v>
      </c>
      <c r="G22" s="8" t="s">
        <v>2498</v>
      </c>
      <c r="H22" s="970"/>
      <c r="I22" s="970"/>
      <c r="J22" s="970"/>
      <c r="K22" s="971"/>
    </row>
    <row r="23" spans="1:33" s="977" customFormat="1" ht="13.5" customHeight="1">
      <c r="A23" s="963" t="s">
        <v>2470</v>
      </c>
      <c r="B23" s="987" t="s">
        <v>2499</v>
      </c>
      <c r="C23" s="988">
        <f ca="1">ROUND(C4*F23*F11,0)</f>
        <v>1003</v>
      </c>
      <c r="D23" s="325"/>
      <c r="E23" s="325"/>
      <c r="F23" s="990">
        <f>'数据-取费表'!B38</f>
        <v>0.03</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16</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16</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2508</v>
      </c>
      <c r="B28" s="2556" t="s">
        <v>2509</v>
      </c>
      <c r="C28" s="331">
        <f ca="1">C30</f>
        <v>768</v>
      </c>
      <c r="D28" s="324">
        <f ca="1">C29</f>
        <v>3.0200000000000001E-2</v>
      </c>
      <c r="E28" s="326" t="s">
        <v>15</v>
      </c>
      <c r="F28" s="332">
        <f ca="1">IF(C1="",'数据-取费表'!Q16,INDIRECT("'数据-取费表'!q"&amp;$K$1))</f>
        <v>0.22</v>
      </c>
      <c r="G28" s="991"/>
      <c r="H28" s="992"/>
      <c r="I28" s="992"/>
      <c r="J28" s="992"/>
      <c r="K28" s="993"/>
    </row>
    <row r="29" spans="1:33" s="335" customFormat="1" ht="13.5" customHeight="1">
      <c r="A29" s="973" t="s">
        <v>803</v>
      </c>
      <c r="B29" s="996" t="s">
        <v>2510</v>
      </c>
      <c r="C29" s="328">
        <f ca="1">ROUND((1+C24)*F28*'数据-取费表'!B24/'数据-取费表'!B20,4)</f>
        <v>3.0200000000000001E-2</v>
      </c>
      <c r="D29" s="328"/>
      <c r="E29" s="329"/>
      <c r="F29" s="334"/>
      <c r="G29" s="140" t="s">
        <v>2511</v>
      </c>
      <c r="H29" s="981"/>
      <c r="I29" s="981"/>
      <c r="J29" s="981"/>
      <c r="K29" s="982"/>
    </row>
    <row r="30" spans="1:33" s="335" customFormat="1" ht="13.5" customHeight="1">
      <c r="A30" s="973" t="s">
        <v>804</v>
      </c>
      <c r="B30" s="996" t="s">
        <v>2512</v>
      </c>
      <c r="C30" s="336">
        <f ca="1">ROUND((C21+C22+C23)*F28,0)</f>
        <v>768</v>
      </c>
      <c r="D30" s="328"/>
      <c r="E30" s="329"/>
      <c r="F30" s="334"/>
      <c r="G30" s="140"/>
      <c r="H30" s="981"/>
      <c r="I30" s="981"/>
      <c r="J30" s="981"/>
      <c r="K30" s="982"/>
    </row>
    <row r="31" spans="1:33" s="977" customFormat="1" ht="13.5" customHeight="1" thickBot="1">
      <c r="A31" s="2557" t="s">
        <v>2513</v>
      </c>
      <c r="B31" s="1007" t="s">
        <v>2514</v>
      </c>
      <c r="C31" s="1008">
        <f ca="1">ROUND(C4*F31/(1+'数据-取费表'!C42),0)</f>
        <v>17513</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292432</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2528</v>
      </c>
      <c r="C1" s="1635" t="s">
        <v>2529</v>
      </c>
      <c r="D1" s="1622" t="s">
        <v>3086</v>
      </c>
      <c r="E1" s="2580"/>
      <c r="F1" s="2581" t="s">
        <v>2530</v>
      </c>
      <c r="G1" s="1632" t="s">
        <v>2531</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323105</v>
      </c>
      <c r="C2" s="2583" t="s">
        <v>70</v>
      </c>
      <c r="D2" s="1367" t="e">
        <f ca="1">SUMIF(INDIRECT("'"&amp;F2&amp;"'"&amp;"!A:A"),"承租人权益价值",INDIRECT("'"&amp;F2&amp;"'"&amp;"!c:c"))</f>
        <v>#REF!</v>
      </c>
      <c r="E2" s="2584" t="s">
        <v>2532</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81909</v>
      </c>
      <c r="C3" s="400" t="s">
        <v>2533</v>
      </c>
      <c r="D3" s="399">
        <f>IF(D1="",'数据-汇总表'!E3,SUMIF('数据-汇总表'!$C19:$C33,D1,'数据-汇总表'!$E19:$E33))</f>
        <v>39446.86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2534</v>
      </c>
      <c r="B4" s="402"/>
      <c r="C4" s="3213" t="s">
        <v>2535</v>
      </c>
      <c r="D4" s="3214"/>
      <c r="E4" s="3215" t="s">
        <v>2536</v>
      </c>
      <c r="F4" s="3216"/>
      <c r="G4" s="3213" t="s">
        <v>2537</v>
      </c>
      <c r="H4" s="3214"/>
      <c r="I4" s="3213" t="s">
        <v>2538</v>
      </c>
      <c r="J4" s="3214"/>
      <c r="K4" s="2593" t="s">
        <v>2539</v>
      </c>
      <c r="L4" s="1132"/>
      <c r="M4" s="1133"/>
      <c r="N4" s="1133"/>
      <c r="O4" s="1133"/>
      <c r="P4" s="3217" t="s">
        <v>2540</v>
      </c>
      <c r="Q4" s="3218"/>
      <c r="R4" s="3200" t="s">
        <v>2536</v>
      </c>
      <c r="S4" s="3201"/>
      <c r="T4" s="3200" t="s">
        <v>2537</v>
      </c>
      <c r="U4" s="3201"/>
      <c r="V4" s="3225" t="s">
        <v>2538</v>
      </c>
      <c r="W4" s="3225"/>
      <c r="X4" s="1814"/>
      <c r="Y4" s="3200" t="s">
        <v>2540</v>
      </c>
      <c r="Z4" s="3201"/>
      <c r="AA4" s="3195" t="s">
        <v>2536</v>
      </c>
      <c r="AB4" s="3195" t="s">
        <v>2537</v>
      </c>
      <c r="AC4" s="3195" t="s">
        <v>2538</v>
      </c>
    </row>
    <row r="5" spans="1:29" ht="15">
      <c r="A5" s="404"/>
      <c r="B5" s="405"/>
      <c r="C5" s="3206" t="s">
        <v>2541</v>
      </c>
      <c r="D5" s="3207"/>
      <c r="E5" s="3238" t="s">
        <v>3380</v>
      </c>
      <c r="F5" s="3205"/>
      <c r="G5" s="3239" t="s">
        <v>3381</v>
      </c>
      <c r="H5" s="3207"/>
      <c r="I5" s="3239" t="s">
        <v>3262</v>
      </c>
      <c r="J5" s="3207"/>
      <c r="K5" s="2594"/>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08" t="s">
        <v>2545</v>
      </c>
      <c r="D6" s="3209"/>
      <c r="E6" s="3210" t="s">
        <v>2545</v>
      </c>
      <c r="F6" s="3211"/>
      <c r="G6" s="3208" t="s">
        <v>2545</v>
      </c>
      <c r="H6" s="3209"/>
      <c r="I6" s="3208" t="s">
        <v>2545</v>
      </c>
      <c r="J6" s="3209"/>
      <c r="K6" s="2594"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198" t="s">
        <v>2548</v>
      </c>
      <c r="Q7" s="3226"/>
      <c r="R7" s="769" t="s">
        <v>23</v>
      </c>
      <c r="S7" s="770">
        <f t="shared" ref="S7:S15" si="0">F7</f>
        <v>100</v>
      </c>
      <c r="T7" s="769" t="s">
        <v>23</v>
      </c>
      <c r="U7" s="770">
        <f t="shared" ref="U7:U15" si="1">H7</f>
        <v>100</v>
      </c>
      <c r="V7" s="769" t="s">
        <v>23</v>
      </c>
      <c r="W7" s="770">
        <f t="shared" ref="W7:W15" si="2">J7</f>
        <v>100</v>
      </c>
      <c r="X7" s="771"/>
      <c r="Y7" s="3198" t="s">
        <v>2548</v>
      </c>
      <c r="Z7" s="3199"/>
      <c r="AA7" s="772">
        <f>D7/F7</f>
        <v>1</v>
      </c>
      <c r="AB7" s="772">
        <f>D7/H7</f>
        <v>1</v>
      </c>
      <c r="AC7" s="772">
        <f>D7/J7</f>
        <v>1</v>
      </c>
    </row>
    <row r="8" spans="1:29" s="117" customFormat="1" ht="15.75" thickBot="1">
      <c r="A8" s="408" t="s">
        <v>2549</v>
      </c>
      <c r="B8" s="409"/>
      <c r="C8" s="414" t="s">
        <v>2550</v>
      </c>
      <c r="D8" s="411">
        <v>100</v>
      </c>
      <c r="E8" s="2596" t="s">
        <v>3243</v>
      </c>
      <c r="F8" s="413">
        <f>SUMIF(61:61,E8,62:62)-SUMIF(61:61,C8,62:62)+100</f>
        <v>100</v>
      </c>
      <c r="G8" s="414" t="s">
        <v>3243</v>
      </c>
      <c r="H8" s="411">
        <f>SUMIF(61:61,G8,62:62)-SUMIF(61:61,C8,62:62)+100</f>
        <v>100</v>
      </c>
      <c r="I8" s="2596" t="s">
        <v>3243</v>
      </c>
      <c r="J8" s="411">
        <f>SUMIF(61:61,I8,62:62)-SUMIF(61:61,C8,62:62)+100</f>
        <v>100</v>
      </c>
      <c r="K8" s="2595"/>
      <c r="L8" s="1134"/>
      <c r="M8" s="1135"/>
      <c r="N8" s="1135"/>
      <c r="O8" s="1135"/>
      <c r="P8" s="3198" t="s">
        <v>2551</v>
      </c>
      <c r="Q8" s="3199"/>
      <c r="R8" s="769" t="s">
        <v>23</v>
      </c>
      <c r="S8" s="770">
        <f t="shared" si="0"/>
        <v>100</v>
      </c>
      <c r="T8" s="769" t="s">
        <v>23</v>
      </c>
      <c r="U8" s="770">
        <f t="shared" si="1"/>
        <v>100</v>
      </c>
      <c r="V8" s="769" t="s">
        <v>23</v>
      </c>
      <c r="W8" s="770">
        <f t="shared" si="2"/>
        <v>100</v>
      </c>
      <c r="X8" s="771"/>
      <c r="Y8" s="3198" t="s">
        <v>2551</v>
      </c>
      <c r="Z8" s="3199"/>
      <c r="AA8" s="772">
        <f t="shared" ref="AA8:AA19" si="3">D8/F8</f>
        <v>1</v>
      </c>
      <c r="AB8" s="772">
        <f t="shared" ref="AB8:AB19" si="4">D8/H8</f>
        <v>1</v>
      </c>
      <c r="AC8" s="772">
        <f t="shared" ref="AC8:AC19" si="5">D8/J8</f>
        <v>1</v>
      </c>
    </row>
    <row r="9" spans="1:29" s="117" customFormat="1">
      <c r="A9" s="415" t="s">
        <v>2552</v>
      </c>
      <c r="B9" s="71" t="s">
        <v>2553</v>
      </c>
      <c r="C9" s="2986" t="s">
        <v>3244</v>
      </c>
      <c r="D9" s="135">
        <v>100</v>
      </c>
      <c r="E9" s="417" t="s">
        <v>3086</v>
      </c>
      <c r="F9" s="418">
        <f>SUMIF(63:63,E9,64:64)-SUMIF(63:63,C9,64:64)+100</f>
        <v>100</v>
      </c>
      <c r="G9" s="419" t="s">
        <v>3086</v>
      </c>
      <c r="H9" s="135">
        <f>SUMIF(63:63,G9,64:64)-SUMIF(63:63,C9,64:64)+100</f>
        <v>100</v>
      </c>
      <c r="I9" s="419" t="s">
        <v>3086</v>
      </c>
      <c r="J9" s="135">
        <f>SUMIF(63:63,I9,64:64)-SUMIF(63:63,C9,64:64)+100</f>
        <v>100</v>
      </c>
      <c r="K9" s="2595"/>
      <c r="L9" s="1134"/>
      <c r="M9" s="1135"/>
      <c r="N9" s="1135"/>
      <c r="O9" s="1135"/>
      <c r="P9" s="3236"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29" s="427" customFormat="1" ht="27">
      <c r="A10" s="421"/>
      <c r="B10" s="422" t="s">
        <v>2556</v>
      </c>
      <c r="C10" s="423" t="s">
        <v>3245</v>
      </c>
      <c r="D10" s="136">
        <v>100</v>
      </c>
      <c r="E10" s="424" t="s">
        <v>3245</v>
      </c>
      <c r="F10" s="425">
        <f>SUMIF(65:65,E10,66:66)-SUMIF(65:65,C10,66:66)+100</f>
        <v>100</v>
      </c>
      <c r="G10" s="423" t="s">
        <v>3245</v>
      </c>
      <c r="H10" s="136">
        <f>SUMIF(65:65,G10,66:66)-SUMIF(65:65,C10,66:66)+100</f>
        <v>100</v>
      </c>
      <c r="I10" s="423" t="s">
        <v>3245</v>
      </c>
      <c r="J10" s="136">
        <f>SUMIF(65:65,I10,66:66)-SUMIF(65:65,C10,66:66)+100</f>
        <v>100</v>
      </c>
      <c r="K10" s="426">
        <v>2</v>
      </c>
      <c r="L10" s="1137"/>
      <c r="M10" s="1138"/>
      <c r="N10" s="1138"/>
      <c r="O10" s="1138"/>
      <c r="P10" s="3236"/>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2557</v>
      </c>
      <c r="C11" s="2996">
        <f>'土地比较法-住宅、综合'!C11</f>
        <v>0.84</v>
      </c>
      <c r="D11" s="136">
        <v>100</v>
      </c>
      <c r="E11" s="430">
        <v>1.4</v>
      </c>
      <c r="F11" s="425">
        <f>LOOKUP(E11,68:68,69:69)-LOOKUP(C11,68:68,69:69)+100</f>
        <v>98</v>
      </c>
      <c r="G11" s="429">
        <v>1.1000000000000001</v>
      </c>
      <c r="H11" s="136">
        <f>LOOKUP(G11,68:68,69:69)-LOOKUP(C11,68:68,69:69)+100</f>
        <v>98</v>
      </c>
      <c r="I11" s="429">
        <v>0.33</v>
      </c>
      <c r="J11" s="136">
        <f>LOOKUP(I11,68:68,69:69)-LOOKUP(C11,68:68,69:69)+100</f>
        <v>100</v>
      </c>
      <c r="K11" s="426">
        <v>2</v>
      </c>
      <c r="L11" s="1140"/>
      <c r="M11" s="1133"/>
      <c r="N11" s="1133"/>
      <c r="O11" s="1133"/>
      <c r="P11" s="3236"/>
      <c r="Q11" s="1796" t="str">
        <f t="shared" si="6"/>
        <v>容积率</v>
      </c>
      <c r="R11" s="769" t="s">
        <v>21</v>
      </c>
      <c r="S11" s="770">
        <f t="shared" si="0"/>
        <v>98</v>
      </c>
      <c r="T11" s="769" t="s">
        <v>21</v>
      </c>
      <c r="U11" s="770">
        <f t="shared" si="1"/>
        <v>98</v>
      </c>
      <c r="V11" s="769" t="s">
        <v>21</v>
      </c>
      <c r="W11" s="770">
        <f t="shared" si="2"/>
        <v>100</v>
      </c>
      <c r="X11" s="771"/>
      <c r="Y11" s="3072"/>
      <c r="Z11" s="55" t="str">
        <f t="shared" si="7"/>
        <v>容积率</v>
      </c>
      <c r="AA11" s="772">
        <f t="shared" si="3"/>
        <v>1.0204081632653061</v>
      </c>
      <c r="AB11" s="772">
        <f t="shared" si="4"/>
        <v>1.0204081632653061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36"/>
      <c r="Q12" s="1796">
        <f t="shared" si="6"/>
        <v>111</v>
      </c>
      <c r="R12" s="769" t="s">
        <v>21</v>
      </c>
      <c r="S12" s="770">
        <f t="shared" si="0"/>
        <v>100</v>
      </c>
      <c r="T12" s="769" t="s">
        <v>21</v>
      </c>
      <c r="U12" s="770">
        <f t="shared" si="1"/>
        <v>100</v>
      </c>
      <c r="V12" s="769" t="s">
        <v>21</v>
      </c>
      <c r="W12" s="770">
        <f t="shared" si="2"/>
        <v>100</v>
      </c>
      <c r="X12" s="771"/>
      <c r="Y12" s="3072"/>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36"/>
      <c r="Q13" s="1796">
        <f t="shared" si="6"/>
        <v>111</v>
      </c>
      <c r="R13" s="769" t="s">
        <v>21</v>
      </c>
      <c r="S13" s="770">
        <f t="shared" si="0"/>
        <v>100</v>
      </c>
      <c r="T13" s="769" t="s">
        <v>21</v>
      </c>
      <c r="U13" s="770">
        <f t="shared" si="1"/>
        <v>100</v>
      </c>
      <c r="V13" s="769" t="s">
        <v>21</v>
      </c>
      <c r="W13" s="770">
        <f t="shared" si="2"/>
        <v>100</v>
      </c>
      <c r="X13" s="771"/>
      <c r="Y13" s="3072"/>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36"/>
      <c r="Q14" s="1796">
        <f t="shared" si="6"/>
        <v>111</v>
      </c>
      <c r="R14" s="769" t="s">
        <v>21</v>
      </c>
      <c r="S14" s="770">
        <f t="shared" si="0"/>
        <v>100</v>
      </c>
      <c r="T14" s="769" t="s">
        <v>21</v>
      </c>
      <c r="U14" s="770">
        <f t="shared" si="1"/>
        <v>100</v>
      </c>
      <c r="V14" s="769" t="s">
        <v>21</v>
      </c>
      <c r="W14" s="770">
        <f t="shared" si="2"/>
        <v>100</v>
      </c>
      <c r="X14" s="771"/>
      <c r="Y14" s="3072"/>
      <c r="Z14" s="55">
        <f t="shared" si="7"/>
        <v>111</v>
      </c>
      <c r="AA14" s="772">
        <f t="shared" si="3"/>
        <v>1</v>
      </c>
      <c r="AB14" s="772">
        <f t="shared" si="4"/>
        <v>1</v>
      </c>
      <c r="AC14" s="772">
        <f t="shared" si="5"/>
        <v>1</v>
      </c>
    </row>
    <row r="15" spans="1:29" ht="99.75">
      <c r="A15" s="440" t="s">
        <v>2558</v>
      </c>
      <c r="B15" s="69" t="s">
        <v>2088</v>
      </c>
      <c r="C15" s="2600" t="str">
        <f>估价对象房地状况!C3</f>
        <v>估价对象周边有春晖园、新于庄园、新世界丽樽等住宅项目，密集度一般，综合评价居住社区成熟度一般。</v>
      </c>
      <c r="D15" s="441">
        <v>100</v>
      </c>
      <c r="E15" s="2987" t="s">
        <v>3379</v>
      </c>
      <c r="F15" s="441">
        <f>SUMIF(76:76,E16,77:77)-SUMIF(76:76,C16,77:77)+100</f>
        <v>100</v>
      </c>
      <c r="G15" s="2987" t="s">
        <v>3379</v>
      </c>
      <c r="H15" s="441">
        <f>SUMIF(76:76,G16,77:77)-SUMIF(76:76,C16,77:77)+100</f>
        <v>100</v>
      </c>
      <c r="I15" s="2987" t="s">
        <v>3250</v>
      </c>
      <c r="J15" s="441">
        <f>SUMIF(76:76,I16,77:77)-SUMIF(76:76,C16,77:77)+100</f>
        <v>100</v>
      </c>
      <c r="K15" s="445">
        <v>2</v>
      </c>
      <c r="L15" s="1142"/>
      <c r="M15" s="1133"/>
      <c r="N15" s="1133"/>
      <c r="O15" s="1133"/>
      <c r="P15" s="3246" t="s">
        <v>2559</v>
      </c>
      <c r="Q15" s="1811" t="str">
        <f t="shared" si="6"/>
        <v>居住社区成熟度</v>
      </c>
      <c r="R15" s="773" t="s">
        <v>21</v>
      </c>
      <c r="S15" s="774">
        <f t="shared" si="0"/>
        <v>100</v>
      </c>
      <c r="T15" s="773" t="s">
        <v>21</v>
      </c>
      <c r="U15" s="774">
        <f t="shared" si="1"/>
        <v>100</v>
      </c>
      <c r="V15" s="773" t="s">
        <v>21</v>
      </c>
      <c r="W15" s="774">
        <f t="shared" si="2"/>
        <v>100</v>
      </c>
      <c r="X15" s="1814"/>
      <c r="Y15" s="3227" t="s">
        <v>2559</v>
      </c>
      <c r="Z15" s="1815" t="str">
        <f t="shared" si="7"/>
        <v>居住社区成熟度</v>
      </c>
      <c r="AA15" s="1812">
        <f t="shared" si="3"/>
        <v>1</v>
      </c>
      <c r="AB15" s="1812">
        <f t="shared" si="4"/>
        <v>1</v>
      </c>
      <c r="AC15" s="1812">
        <f t="shared" si="5"/>
        <v>1</v>
      </c>
    </row>
    <row r="16" spans="1:29" ht="15">
      <c r="A16" s="428"/>
      <c r="B16" s="446"/>
      <c r="C16" s="447" t="s">
        <v>3263</v>
      </c>
      <c r="D16" s="448"/>
      <c r="E16" s="2601" t="s">
        <v>3263</v>
      </c>
      <c r="F16" s="448"/>
      <c r="G16" s="2602" t="s">
        <v>3263</v>
      </c>
      <c r="H16" s="450"/>
      <c r="I16" s="2602" t="s">
        <v>3263</v>
      </c>
      <c r="J16" s="448"/>
      <c r="K16" s="2603"/>
      <c r="L16" s="1142"/>
      <c r="M16" s="1133"/>
      <c r="N16" s="1133"/>
      <c r="O16" s="1133"/>
      <c r="P16" s="3247"/>
      <c r="Q16" s="1811"/>
      <c r="R16" s="773"/>
      <c r="S16" s="774"/>
      <c r="T16" s="773"/>
      <c r="U16" s="774"/>
      <c r="V16" s="773"/>
      <c r="W16" s="774"/>
      <c r="X16" s="1814"/>
      <c r="Y16" s="3228"/>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2988" t="s">
        <v>3375</v>
      </c>
      <c r="F17" s="450">
        <f>SUMIF(78:78,E18,79:79)-SUMIF(78:78,C18,79:79)+100</f>
        <v>100</v>
      </c>
      <c r="G17" s="2988" t="s">
        <v>3375</v>
      </c>
      <c r="H17" s="455">
        <f>SUMIF(78:78,G18,79:79)-SUMIF(78:78,C18,79:79)+100</f>
        <v>100</v>
      </c>
      <c r="I17" s="2988" t="s">
        <v>3251</v>
      </c>
      <c r="J17" s="455">
        <f>SUMIF(78:78,I18,79:79)-SUMIF(78:78,C18,79:79)+100</f>
        <v>102</v>
      </c>
      <c r="K17" s="445">
        <v>2</v>
      </c>
      <c r="L17" s="1142"/>
      <c r="M17" s="1133"/>
      <c r="N17" s="1133"/>
      <c r="O17" s="1133"/>
      <c r="P17" s="3247"/>
      <c r="Q17" s="1811" t="str">
        <f>B17</f>
        <v>交通便捷度</v>
      </c>
      <c r="R17" s="773" t="s">
        <v>21</v>
      </c>
      <c r="S17" s="774">
        <f>F17</f>
        <v>100</v>
      </c>
      <c r="T17" s="773" t="s">
        <v>21</v>
      </c>
      <c r="U17" s="774">
        <f>H17</f>
        <v>100</v>
      </c>
      <c r="V17" s="773" t="s">
        <v>21</v>
      </c>
      <c r="W17" s="774">
        <f>J17</f>
        <v>102</v>
      </c>
      <c r="X17" s="1814"/>
      <c r="Y17" s="3228"/>
      <c r="Z17" s="1815" t="str">
        <f>Q17</f>
        <v>交通便捷度</v>
      </c>
      <c r="AA17" s="1812">
        <f t="shared" si="3"/>
        <v>1</v>
      </c>
      <c r="AB17" s="1812">
        <f t="shared" si="4"/>
        <v>1</v>
      </c>
      <c r="AC17" s="1812">
        <f t="shared" si="5"/>
        <v>0.98039215686274506</v>
      </c>
    </row>
    <row r="18" spans="1:29" ht="15">
      <c r="A18" s="428"/>
      <c r="B18" s="456"/>
      <c r="C18" s="2605" t="s">
        <v>3263</v>
      </c>
      <c r="D18" s="450"/>
      <c r="E18" s="2606" t="s">
        <v>3263</v>
      </c>
      <c r="F18" s="450"/>
      <c r="G18" s="2607" t="s">
        <v>3263</v>
      </c>
      <c r="H18" s="448"/>
      <c r="I18" s="2607" t="s">
        <v>3264</v>
      </c>
      <c r="J18" s="448"/>
      <c r="K18" s="2603"/>
      <c r="L18" s="1142"/>
      <c r="M18" s="1133"/>
      <c r="N18" s="1133"/>
      <c r="O18" s="1133"/>
      <c r="P18" s="3247"/>
      <c r="Q18" s="1811"/>
      <c r="R18" s="773"/>
      <c r="S18" s="774"/>
      <c r="T18" s="773"/>
      <c r="U18" s="774"/>
      <c r="V18" s="773"/>
      <c r="W18" s="774"/>
      <c r="X18" s="1814"/>
      <c r="Y18" s="3228"/>
      <c r="Z18" s="1815"/>
      <c r="AA18" s="1812">
        <v>1</v>
      </c>
      <c r="AB18" s="1812">
        <v>1</v>
      </c>
      <c r="AC18" s="1812">
        <v>1</v>
      </c>
    </row>
    <row r="19" spans="1:29" ht="42.75">
      <c r="A19" s="428"/>
      <c r="B19" s="451" t="s">
        <v>2095</v>
      </c>
      <c r="C19" s="2604" t="str">
        <f>估价对象房地状况!C7</f>
        <v>估价对象所在区域公共配套设施齐备情况一般。</v>
      </c>
      <c r="D19" s="455">
        <v>100</v>
      </c>
      <c r="E19" s="2989" t="s">
        <v>3376</v>
      </c>
      <c r="F19" s="455">
        <f>SUMIF(80:80,E20,81:81)-SUMIF(80:80,C20,81:81)+100</f>
        <v>100</v>
      </c>
      <c r="G19" s="2989" t="s">
        <v>3376</v>
      </c>
      <c r="H19" s="450">
        <f>SUMIF(80:80,G20,81:81)-SUMIF(80:80,C20,81:81)+100</f>
        <v>100</v>
      </c>
      <c r="I19" s="2990" t="s">
        <v>3252</v>
      </c>
      <c r="J19" s="450">
        <f>SUMIF(80:80,I20,81:81)-SUMIF(80:80,C20,81:81)+100</f>
        <v>102</v>
      </c>
      <c r="K19" s="445">
        <v>2</v>
      </c>
      <c r="L19" s="1142"/>
      <c r="M19" s="1133"/>
      <c r="N19" s="1133"/>
      <c r="O19" s="1133"/>
      <c r="P19" s="3247"/>
      <c r="Q19" s="1811" t="str">
        <f>B19</f>
        <v>公共配套设施</v>
      </c>
      <c r="R19" s="773" t="s">
        <v>21</v>
      </c>
      <c r="S19" s="774">
        <f>F19</f>
        <v>100</v>
      </c>
      <c r="T19" s="773" t="s">
        <v>21</v>
      </c>
      <c r="U19" s="774">
        <f>H19</f>
        <v>100</v>
      </c>
      <c r="V19" s="773" t="s">
        <v>21</v>
      </c>
      <c r="W19" s="774">
        <f>J19</f>
        <v>102</v>
      </c>
      <c r="X19" s="1814"/>
      <c r="Y19" s="3228"/>
      <c r="Z19" s="1815" t="str">
        <f>Q19</f>
        <v>公共配套设施</v>
      </c>
      <c r="AA19" s="1812">
        <f t="shared" si="3"/>
        <v>1</v>
      </c>
      <c r="AB19" s="1812">
        <f t="shared" si="4"/>
        <v>1</v>
      </c>
      <c r="AC19" s="1812">
        <f t="shared" si="5"/>
        <v>0.98039215686274506</v>
      </c>
    </row>
    <row r="20" spans="1:29" ht="15">
      <c r="A20" s="428"/>
      <c r="B20" s="456"/>
      <c r="C20" s="447" t="s">
        <v>3263</v>
      </c>
      <c r="D20" s="448"/>
      <c r="E20" s="2601" t="s">
        <v>3263</v>
      </c>
      <c r="F20" s="448"/>
      <c r="G20" s="2602" t="s">
        <v>3263</v>
      </c>
      <c r="H20" s="448"/>
      <c r="I20" s="2602" t="s">
        <v>3264</v>
      </c>
      <c r="J20" s="448"/>
      <c r="K20" s="2603"/>
      <c r="L20" s="1142"/>
      <c r="M20" s="1133"/>
      <c r="N20" s="1133"/>
      <c r="O20" s="1133"/>
      <c r="P20" s="3247"/>
      <c r="Q20" s="1811"/>
      <c r="R20" s="773"/>
      <c r="S20" s="774"/>
      <c r="T20" s="773"/>
      <c r="U20" s="774"/>
      <c r="V20" s="773"/>
      <c r="W20" s="774"/>
      <c r="X20" s="1814"/>
      <c r="Y20" s="3228"/>
      <c r="Z20" s="1815"/>
      <c r="AA20" s="1812">
        <v>1</v>
      </c>
      <c r="AB20" s="1812">
        <v>1</v>
      </c>
      <c r="AC20" s="1812">
        <v>1</v>
      </c>
    </row>
    <row r="21" spans="1:29" ht="42.75">
      <c r="A21" s="428"/>
      <c r="B21" s="1386" t="s">
        <v>2098</v>
      </c>
      <c r="C21" s="2604" t="str">
        <f>估价对象房地状况!C8</f>
        <v>估价对象所在区域基础设施水平达“七通”。</v>
      </c>
      <c r="D21" s="450">
        <v>100</v>
      </c>
      <c r="E21" s="459" t="s">
        <v>3254</v>
      </c>
      <c r="F21" s="455">
        <f>SUMIF(82:82,E22,83:83)-SUMIF(82:82,C22,83:83)+100</f>
        <v>100</v>
      </c>
      <c r="G21" s="457" t="s">
        <v>3254</v>
      </c>
      <c r="H21" s="450">
        <f>SUMIF(82:82,G22,83:83)-SUMIF(82:82,C22,83:83)+100</f>
        <v>100</v>
      </c>
      <c r="I21" s="457" t="s">
        <v>3254</v>
      </c>
      <c r="J21" s="450">
        <f>SUMIF(82:82,I22,83:83)-SUMIF(82:82,C22,83:83)+100</f>
        <v>100</v>
      </c>
      <c r="K21" s="445">
        <v>2</v>
      </c>
      <c r="L21" s="1142"/>
      <c r="M21" s="1133"/>
      <c r="N21" s="1133"/>
      <c r="O21" s="1133"/>
      <c r="P21" s="3247"/>
      <c r="Q21" s="1811" t="str">
        <f>B21</f>
        <v>基础设施水平</v>
      </c>
      <c r="R21" s="773" t="s">
        <v>17</v>
      </c>
      <c r="S21" s="774">
        <f>F21</f>
        <v>100</v>
      </c>
      <c r="T21" s="773" t="s">
        <v>17</v>
      </c>
      <c r="U21" s="774">
        <f>H21</f>
        <v>100</v>
      </c>
      <c r="V21" s="773" t="s">
        <v>17</v>
      </c>
      <c r="W21" s="774">
        <f>J21</f>
        <v>100</v>
      </c>
      <c r="X21" s="1814"/>
      <c r="Y21" s="3228"/>
      <c r="Z21" s="1815" t="str">
        <f>Q21</f>
        <v>基础设施水平</v>
      </c>
      <c r="AA21" s="1812">
        <f>D21/F21</f>
        <v>1</v>
      </c>
      <c r="AB21" s="1812">
        <f>D21/H21</f>
        <v>1</v>
      </c>
      <c r="AC21" s="1812">
        <f>D21/J21</f>
        <v>1</v>
      </c>
    </row>
    <row r="22" spans="1:29" ht="15">
      <c r="A22" s="428"/>
      <c r="B22" s="1386"/>
      <c r="C22" s="2605" t="s">
        <v>3260</v>
      </c>
      <c r="D22" s="448"/>
      <c r="E22" s="447" t="s">
        <v>3260</v>
      </c>
      <c r="F22" s="448"/>
      <c r="G22" s="2608" t="s">
        <v>3260</v>
      </c>
      <c r="H22" s="448"/>
      <c r="I22" s="447" t="s">
        <v>3260</v>
      </c>
      <c r="J22" s="448"/>
      <c r="K22" s="2609"/>
      <c r="L22" s="1142"/>
      <c r="M22" s="1133"/>
      <c r="N22" s="1133"/>
      <c r="O22" s="1133"/>
      <c r="P22" s="3247"/>
      <c r="Q22" s="1811"/>
      <c r="R22" s="773"/>
      <c r="S22" s="774"/>
      <c r="T22" s="773"/>
      <c r="U22" s="774"/>
      <c r="V22" s="773"/>
      <c r="W22" s="774"/>
      <c r="X22" s="1814"/>
      <c r="Y22" s="3228"/>
      <c r="Z22" s="1815"/>
      <c r="AA22" s="1812">
        <v>1</v>
      </c>
      <c r="AB22" s="1812">
        <v>1</v>
      </c>
      <c r="AC22" s="1812">
        <v>1</v>
      </c>
    </row>
    <row r="23" spans="1:29" ht="99.75">
      <c r="A23" s="428"/>
      <c r="B23" s="451" t="s">
        <v>2102</v>
      </c>
      <c r="C23" s="2604" t="str">
        <f>估价对象房地状况!C9</f>
        <v>估价对象所在区域邻近温榆河，自然环境一般；无人文环境场所；综合评价自然及人文环境状况一般。</v>
      </c>
      <c r="D23" s="450">
        <v>100</v>
      </c>
      <c r="E23" s="2988" t="s">
        <v>3373</v>
      </c>
      <c r="F23" s="450">
        <f>SUMIF(84:84,E24,85:85)-SUMIF(84:84,C24,85:85)+100</f>
        <v>98</v>
      </c>
      <c r="G23" s="2988" t="s">
        <v>3373</v>
      </c>
      <c r="H23" s="450">
        <f>SUMIF(84:84,G24,85:85)-SUMIF(84:84,C24,85:85)+100</f>
        <v>98</v>
      </c>
      <c r="I23" s="2988" t="s">
        <v>3358</v>
      </c>
      <c r="J23" s="450">
        <f>SUMIF(84:84,I24,85:85)-SUMIF(84:84,C24,85:85)+100</f>
        <v>100</v>
      </c>
      <c r="K23" s="445">
        <v>2</v>
      </c>
      <c r="L23" s="1142"/>
      <c r="M23" s="1133"/>
      <c r="N23" s="1133"/>
      <c r="O23" s="1133"/>
      <c r="P23" s="3247"/>
      <c r="Q23" s="1811" t="str">
        <f>B23</f>
        <v>自然及人文环境</v>
      </c>
      <c r="R23" s="773" t="s">
        <v>21</v>
      </c>
      <c r="S23" s="774">
        <f>F23</f>
        <v>98</v>
      </c>
      <c r="T23" s="773" t="s">
        <v>21</v>
      </c>
      <c r="U23" s="774">
        <f>H23</f>
        <v>98</v>
      </c>
      <c r="V23" s="773" t="s">
        <v>21</v>
      </c>
      <c r="W23" s="774">
        <f>J23</f>
        <v>100</v>
      </c>
      <c r="X23" s="1814"/>
      <c r="Y23" s="3228"/>
      <c r="Z23" s="1815" t="str">
        <f>Q23</f>
        <v>自然及人文环境</v>
      </c>
      <c r="AA23" s="1812">
        <f>D23/F23</f>
        <v>1.0204081632653061</v>
      </c>
      <c r="AB23" s="1812">
        <f>D23/H23</f>
        <v>1.0204081632653061</v>
      </c>
      <c r="AC23" s="1812">
        <f>D23/J23</f>
        <v>1</v>
      </c>
    </row>
    <row r="24" spans="1:29" ht="15">
      <c r="A24" s="428"/>
      <c r="B24" s="456"/>
      <c r="C24" s="447" t="s">
        <v>3263</v>
      </c>
      <c r="D24" s="448"/>
      <c r="E24" s="2601" t="s">
        <v>3334</v>
      </c>
      <c r="F24" s="448"/>
      <c r="G24" s="2602" t="s">
        <v>3334</v>
      </c>
      <c r="H24" s="448"/>
      <c r="I24" s="2602" t="s">
        <v>3263</v>
      </c>
      <c r="J24" s="448"/>
      <c r="K24" s="2603"/>
      <c r="L24" s="1142"/>
      <c r="M24" s="1133"/>
      <c r="N24" s="1133"/>
      <c r="O24" s="1133"/>
      <c r="P24" s="3247"/>
      <c r="Q24" s="1811"/>
      <c r="R24" s="773"/>
      <c r="S24" s="774"/>
      <c r="T24" s="773"/>
      <c r="U24" s="774"/>
      <c r="V24" s="773"/>
      <c r="W24" s="774"/>
      <c r="X24" s="1814"/>
      <c r="Y24" s="3228"/>
      <c r="Z24" s="1815"/>
      <c r="AA24" s="1812">
        <v>1</v>
      </c>
      <c r="AB24" s="1812">
        <v>1</v>
      </c>
      <c r="AC24" s="1812">
        <v>1</v>
      </c>
    </row>
    <row r="25" spans="1:29" ht="15">
      <c r="A25" s="428"/>
      <c r="B25" s="422" t="s">
        <v>2560</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47"/>
      <c r="Q25" s="1811" t="str">
        <f t="shared" ref="Q25:Q46" si="8">B25</f>
        <v>楼层-1</v>
      </c>
      <c r="R25" s="773" t="s">
        <v>21</v>
      </c>
      <c r="S25" s="774">
        <f t="shared" ref="S25:S46" si="9">F25</f>
        <v>100</v>
      </c>
      <c r="T25" s="773" t="s">
        <v>21</v>
      </c>
      <c r="U25" s="774">
        <f t="shared" ref="U25:U46" si="10">H25</f>
        <v>100</v>
      </c>
      <c r="V25" s="773" t="s">
        <v>21</v>
      </c>
      <c r="W25" s="774">
        <f t="shared" ref="W25:W46" si="11">J25</f>
        <v>100</v>
      </c>
      <c r="X25" s="1814"/>
      <c r="Y25" s="3228"/>
      <c r="Z25" s="1815" t="str">
        <f>Q25</f>
        <v>楼层-1</v>
      </c>
      <c r="AA25" s="1812">
        <f t="shared" ref="AA25:AA46" si="12">D25/F25</f>
        <v>1</v>
      </c>
      <c r="AB25" s="1812">
        <f t="shared" ref="AB25:AB46" si="13">D25/H25</f>
        <v>1</v>
      </c>
      <c r="AC25" s="1812">
        <f t="shared" ref="AC25:AC46" si="14">D25/J25</f>
        <v>1</v>
      </c>
    </row>
    <row r="26" spans="1:29" ht="15">
      <c r="A26" s="428"/>
      <c r="B26" s="422" t="s">
        <v>2561</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47"/>
      <c r="Q26" s="1811" t="str">
        <f t="shared" si="8"/>
        <v>朝向</v>
      </c>
      <c r="R26" s="773" t="s">
        <v>21</v>
      </c>
      <c r="S26" s="774">
        <f t="shared" si="9"/>
        <v>100</v>
      </c>
      <c r="T26" s="773" t="s">
        <v>21</v>
      </c>
      <c r="U26" s="774">
        <f t="shared" si="10"/>
        <v>100</v>
      </c>
      <c r="V26" s="773" t="s">
        <v>21</v>
      </c>
      <c r="W26" s="774">
        <f t="shared" si="11"/>
        <v>100</v>
      </c>
      <c r="X26" s="1814"/>
      <c r="Y26" s="3228"/>
      <c r="Z26" s="1815" t="str">
        <f>Q26</f>
        <v>朝向</v>
      </c>
      <c r="AA26" s="1812">
        <f t="shared" si="12"/>
        <v>1</v>
      </c>
      <c r="AB26" s="1812">
        <f t="shared" si="13"/>
        <v>1</v>
      </c>
      <c r="AC26" s="1812">
        <f t="shared" si="14"/>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47"/>
      <c r="Q27" s="1796">
        <f t="shared" si="8"/>
        <v>111</v>
      </c>
      <c r="R27" s="769" t="s">
        <v>21</v>
      </c>
      <c r="S27" s="770">
        <f t="shared" si="9"/>
        <v>100</v>
      </c>
      <c r="T27" s="769" t="s">
        <v>21</v>
      </c>
      <c r="U27" s="770">
        <f t="shared" si="10"/>
        <v>100</v>
      </c>
      <c r="V27" s="769" t="s">
        <v>21</v>
      </c>
      <c r="W27" s="770">
        <f t="shared" si="11"/>
        <v>100</v>
      </c>
      <c r="X27" s="771"/>
      <c r="Y27" s="3228"/>
      <c r="Z27" s="55">
        <f>Q27</f>
        <v>111</v>
      </c>
      <c r="AA27" s="1812">
        <f t="shared" si="12"/>
        <v>1</v>
      </c>
      <c r="AB27" s="1812">
        <f t="shared" si="13"/>
        <v>1</v>
      </c>
      <c r="AC27" s="1812">
        <f t="shared" si="14"/>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47"/>
      <c r="Q28" s="1811">
        <f t="shared" si="8"/>
        <v>111</v>
      </c>
      <c r="R28" s="773" t="s">
        <v>21</v>
      </c>
      <c r="S28" s="774">
        <f t="shared" si="9"/>
        <v>100</v>
      </c>
      <c r="T28" s="773" t="s">
        <v>21</v>
      </c>
      <c r="U28" s="774">
        <f t="shared" si="10"/>
        <v>100</v>
      </c>
      <c r="V28" s="773" t="s">
        <v>21</v>
      </c>
      <c r="W28" s="774">
        <f t="shared" si="11"/>
        <v>100</v>
      </c>
      <c r="X28" s="1814"/>
      <c r="Y28" s="3228"/>
      <c r="Z28" s="1815">
        <f t="shared" ref="Z28:Z46" si="15">Q28</f>
        <v>111</v>
      </c>
      <c r="AA28" s="1812">
        <f t="shared" si="12"/>
        <v>1</v>
      </c>
      <c r="AB28" s="1812">
        <f t="shared" si="13"/>
        <v>1</v>
      </c>
      <c r="AC28" s="1812">
        <f t="shared" si="14"/>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47"/>
      <c r="Q29" s="1811">
        <f t="shared" si="8"/>
        <v>111</v>
      </c>
      <c r="R29" s="773" t="s">
        <v>21</v>
      </c>
      <c r="S29" s="774">
        <f t="shared" si="9"/>
        <v>100</v>
      </c>
      <c r="T29" s="773" t="s">
        <v>21</v>
      </c>
      <c r="U29" s="774">
        <f t="shared" si="10"/>
        <v>100</v>
      </c>
      <c r="V29" s="773" t="s">
        <v>21</v>
      </c>
      <c r="W29" s="774">
        <f t="shared" si="11"/>
        <v>100</v>
      </c>
      <c r="X29" s="1814"/>
      <c r="Y29" s="3228"/>
      <c r="Z29" s="1815">
        <f t="shared" si="15"/>
        <v>111</v>
      </c>
      <c r="AA29" s="1812">
        <f t="shared" si="12"/>
        <v>1</v>
      </c>
      <c r="AB29" s="1812">
        <f t="shared" si="13"/>
        <v>1</v>
      </c>
      <c r="AC29" s="1812">
        <f t="shared" si="14"/>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47"/>
      <c r="Q30" s="1811">
        <f t="shared" si="8"/>
        <v>111</v>
      </c>
      <c r="R30" s="773" t="s">
        <v>21</v>
      </c>
      <c r="S30" s="774">
        <f t="shared" si="9"/>
        <v>100</v>
      </c>
      <c r="T30" s="773" t="s">
        <v>21</v>
      </c>
      <c r="U30" s="774">
        <f t="shared" si="10"/>
        <v>100</v>
      </c>
      <c r="V30" s="773" t="s">
        <v>21</v>
      </c>
      <c r="W30" s="774">
        <f t="shared" si="11"/>
        <v>100</v>
      </c>
      <c r="X30" s="1814"/>
      <c r="Y30" s="3228"/>
      <c r="Z30" s="1815">
        <f t="shared" si="15"/>
        <v>111</v>
      </c>
      <c r="AA30" s="1812">
        <f t="shared" si="12"/>
        <v>1</v>
      </c>
      <c r="AB30" s="1812">
        <f t="shared" si="13"/>
        <v>1</v>
      </c>
      <c r="AC30" s="1812">
        <f t="shared" si="14"/>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47"/>
      <c r="Q31" s="1811">
        <f t="shared" si="8"/>
        <v>111</v>
      </c>
      <c r="R31" s="773" t="s">
        <v>21</v>
      </c>
      <c r="S31" s="774">
        <f t="shared" si="9"/>
        <v>100</v>
      </c>
      <c r="T31" s="773" t="s">
        <v>21</v>
      </c>
      <c r="U31" s="774">
        <f t="shared" si="10"/>
        <v>100</v>
      </c>
      <c r="V31" s="773" t="s">
        <v>21</v>
      </c>
      <c r="W31" s="774">
        <f t="shared" si="11"/>
        <v>100</v>
      </c>
      <c r="X31" s="1814"/>
      <c r="Y31" s="3228"/>
      <c r="Z31" s="1815">
        <f t="shared" si="15"/>
        <v>111</v>
      </c>
      <c r="AA31" s="1812">
        <f t="shared" si="12"/>
        <v>1</v>
      </c>
      <c r="AB31" s="1812">
        <f t="shared" si="13"/>
        <v>1</v>
      </c>
      <c r="AC31" s="1812">
        <f t="shared" si="14"/>
        <v>1</v>
      </c>
    </row>
    <row r="32" spans="1:29" ht="15">
      <c r="A32" s="440" t="s">
        <v>2562</v>
      </c>
      <c r="B32" s="71" t="s">
        <v>2563</v>
      </c>
      <c r="C32" s="2614" t="s">
        <v>3255</v>
      </c>
      <c r="D32" s="467">
        <v>100</v>
      </c>
      <c r="E32" s="2615" t="s">
        <v>3256</v>
      </c>
      <c r="F32" s="461">
        <f>SUMIF(100:100,E32,101:101)-SUMIF(100:100,C32,101:101)+100</f>
        <v>102</v>
      </c>
      <c r="G32" s="2614" t="s">
        <v>3256</v>
      </c>
      <c r="H32" s="467">
        <f>SUMIF(100:100,G32,101:101)-SUMIF(100:100,C32,101:101)+100</f>
        <v>102</v>
      </c>
      <c r="I32" s="2615" t="s">
        <v>3256</v>
      </c>
      <c r="J32" s="435">
        <f>SUMIF(100:100,I32,101:101)-SUMIF(100:100,C32,101:101)+100</f>
        <v>102</v>
      </c>
      <c r="K32" s="426">
        <v>2</v>
      </c>
      <c r="L32" s="1142"/>
      <c r="M32" s="1133"/>
      <c r="N32" s="1133"/>
      <c r="O32" s="1133"/>
      <c r="P32" s="3242" t="s">
        <v>2564</v>
      </c>
      <c r="Q32" s="1811" t="str">
        <f t="shared" si="8"/>
        <v>建筑类型</v>
      </c>
      <c r="R32" s="773" t="s">
        <v>21</v>
      </c>
      <c r="S32" s="774">
        <f t="shared" si="9"/>
        <v>102</v>
      </c>
      <c r="T32" s="773" t="s">
        <v>21</v>
      </c>
      <c r="U32" s="774">
        <f t="shared" si="10"/>
        <v>102</v>
      </c>
      <c r="V32" s="773" t="s">
        <v>21</v>
      </c>
      <c r="W32" s="774">
        <f t="shared" si="11"/>
        <v>102</v>
      </c>
      <c r="X32" s="1814"/>
      <c r="Y32" s="3230" t="s">
        <v>2564</v>
      </c>
      <c r="Z32" s="1815" t="str">
        <f t="shared" si="15"/>
        <v>建筑类型</v>
      </c>
      <c r="AA32" s="1812">
        <f t="shared" si="12"/>
        <v>0.98039215686274506</v>
      </c>
      <c r="AB32" s="1812">
        <f t="shared" si="13"/>
        <v>0.98039215686274506</v>
      </c>
      <c r="AC32" s="1812">
        <f t="shared" si="14"/>
        <v>0.98039215686274506</v>
      </c>
    </row>
    <row r="33" spans="1:29" s="471" customFormat="1" ht="15">
      <c r="A33" s="468"/>
      <c r="B33" s="422" t="s">
        <v>2565</v>
      </c>
      <c r="C33" s="2997">
        <f>'数据-基础表'!B3</f>
        <v>123809.45999999999</v>
      </c>
      <c r="D33" s="136">
        <v>100</v>
      </c>
      <c r="E33" s="430">
        <v>171253</v>
      </c>
      <c r="F33" s="425">
        <f>LOOKUP(E33,103:103,104:104)-LOOKUP(C33,103:103,104:104)+100</f>
        <v>101</v>
      </c>
      <c r="G33" s="429">
        <v>100000</v>
      </c>
      <c r="H33" s="136">
        <f>LOOKUP(G33,103:103,104:104)-LOOKUP(C33,103:103,104:104)+100</f>
        <v>99</v>
      </c>
      <c r="I33" s="430">
        <v>14600</v>
      </c>
      <c r="J33" s="136">
        <f>LOOKUP(I33,103:103,104:104)-LOOKUP(C33,103:103,104:104)+100</f>
        <v>96</v>
      </c>
      <c r="K33" s="2598"/>
      <c r="L33" s="1140"/>
      <c r="M33" s="1143"/>
      <c r="N33" s="1143"/>
      <c r="O33" s="1143"/>
      <c r="P33" s="3243"/>
      <c r="Q33" s="775" t="str">
        <f t="shared" si="8"/>
        <v>项目建筑规模</v>
      </c>
      <c r="R33" s="776" t="s">
        <v>21</v>
      </c>
      <c r="S33" s="777">
        <f t="shared" si="9"/>
        <v>101</v>
      </c>
      <c r="T33" s="776" t="s">
        <v>21</v>
      </c>
      <c r="U33" s="777">
        <f t="shared" si="10"/>
        <v>99</v>
      </c>
      <c r="V33" s="776" t="s">
        <v>21</v>
      </c>
      <c r="W33" s="777">
        <f t="shared" si="11"/>
        <v>96</v>
      </c>
      <c r="X33" s="778"/>
      <c r="Y33" s="3230"/>
      <c r="Z33" s="779" t="str">
        <f t="shared" si="15"/>
        <v>项目建筑规模</v>
      </c>
      <c r="AA33" s="1812">
        <f t="shared" si="12"/>
        <v>0.99009900990099009</v>
      </c>
      <c r="AB33" s="1812">
        <f t="shared" si="13"/>
        <v>1.0101010101010102</v>
      </c>
      <c r="AC33" s="1812">
        <f t="shared" si="14"/>
        <v>1.0416666666666667</v>
      </c>
    </row>
    <row r="34" spans="1:29" ht="15">
      <c r="A34" s="472"/>
      <c r="B34" s="422" t="s">
        <v>2566</v>
      </c>
      <c r="C34" s="2616" t="s">
        <v>3257</v>
      </c>
      <c r="D34" s="435">
        <v>100</v>
      </c>
      <c r="E34" s="2617" t="s">
        <v>3257</v>
      </c>
      <c r="F34" s="461">
        <f>SUMIF(105:105,E34,106:106)-SUMIF(105:105,C34,106:106)+100</f>
        <v>100</v>
      </c>
      <c r="G34" s="2616" t="s">
        <v>3257</v>
      </c>
      <c r="H34" s="435">
        <f>SUMIF(105:105,G34,106:106)-SUMIF(105:105,C34,106:106)+100</f>
        <v>100</v>
      </c>
      <c r="I34" s="2617" t="s">
        <v>3257</v>
      </c>
      <c r="J34" s="435">
        <f>SUMIF(105:105,I34,106:106)-SUMIF(105:105,C34,106:106)+100</f>
        <v>100</v>
      </c>
      <c r="K34" s="426">
        <v>2</v>
      </c>
      <c r="L34" s="1142"/>
      <c r="M34" s="1133"/>
      <c r="N34" s="1133"/>
      <c r="O34" s="1133"/>
      <c r="P34" s="3243"/>
      <c r="Q34" s="1811" t="str">
        <f t="shared" si="8"/>
        <v>建筑结构</v>
      </c>
      <c r="R34" s="773" t="s">
        <v>21</v>
      </c>
      <c r="S34" s="774">
        <f t="shared" si="9"/>
        <v>100</v>
      </c>
      <c r="T34" s="773" t="s">
        <v>21</v>
      </c>
      <c r="U34" s="774">
        <f t="shared" si="10"/>
        <v>100</v>
      </c>
      <c r="V34" s="773" t="s">
        <v>21</v>
      </c>
      <c r="W34" s="774">
        <f t="shared" si="11"/>
        <v>100</v>
      </c>
      <c r="X34" s="1814"/>
      <c r="Y34" s="3230"/>
      <c r="Z34" s="1815" t="str">
        <f t="shared" si="15"/>
        <v>建筑结构</v>
      </c>
      <c r="AA34" s="1812">
        <f t="shared" si="12"/>
        <v>1</v>
      </c>
      <c r="AB34" s="1812">
        <f t="shared" si="13"/>
        <v>1</v>
      </c>
      <c r="AC34" s="1812">
        <f t="shared" si="14"/>
        <v>1</v>
      </c>
    </row>
    <row r="35" spans="1:29" ht="15">
      <c r="A35" s="472"/>
      <c r="B35" s="422" t="s">
        <v>2567</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43"/>
      <c r="Q35" s="1811" t="str">
        <f t="shared" si="8"/>
        <v>建筑品质</v>
      </c>
      <c r="R35" s="773" t="s">
        <v>21</v>
      </c>
      <c r="S35" s="774">
        <f t="shared" si="9"/>
        <v>100</v>
      </c>
      <c r="T35" s="773" t="s">
        <v>21</v>
      </c>
      <c r="U35" s="774">
        <f t="shared" si="10"/>
        <v>100</v>
      </c>
      <c r="V35" s="773" t="s">
        <v>21</v>
      </c>
      <c r="W35" s="774">
        <f t="shared" si="11"/>
        <v>100</v>
      </c>
      <c r="X35" s="1814"/>
      <c r="Y35" s="3230"/>
      <c r="Z35" s="1815" t="str">
        <f t="shared" si="15"/>
        <v>建筑品质</v>
      </c>
      <c r="AA35" s="1812">
        <f t="shared" si="12"/>
        <v>1</v>
      </c>
      <c r="AB35" s="1812">
        <f t="shared" si="13"/>
        <v>1</v>
      </c>
      <c r="AC35" s="1812">
        <f t="shared" si="14"/>
        <v>1</v>
      </c>
    </row>
    <row r="36" spans="1:29" ht="15">
      <c r="A36" s="472"/>
      <c r="B36" s="422" t="s">
        <v>2568</v>
      </c>
      <c r="C36" s="2610" t="s">
        <v>3258</v>
      </c>
      <c r="D36" s="435">
        <v>100</v>
      </c>
      <c r="E36" s="2611" t="s">
        <v>3258</v>
      </c>
      <c r="F36" s="461">
        <f>SUMIF(109:109,E36,110:110)-SUMIF(109:109,C36,110:110)+100</f>
        <v>100</v>
      </c>
      <c r="G36" s="2610" t="s">
        <v>3258</v>
      </c>
      <c r="H36" s="435">
        <f>SUMIF(109:109,G36,110:110)-SUMIF(109:109,C36,110:110)+100</f>
        <v>100</v>
      </c>
      <c r="I36" s="2611" t="s">
        <v>3258</v>
      </c>
      <c r="J36" s="435">
        <f>SUMIF(109:109,I36,110:110)-SUMIF(109:109,C36,110:110)+100</f>
        <v>100</v>
      </c>
      <c r="K36" s="426">
        <v>2</v>
      </c>
      <c r="L36" s="1142"/>
      <c r="M36" s="1133"/>
      <c r="N36" s="1133"/>
      <c r="O36" s="1133"/>
      <c r="P36" s="3243"/>
      <c r="Q36" s="1811" t="str">
        <f t="shared" si="8"/>
        <v>公共部分装修</v>
      </c>
      <c r="R36" s="773" t="s">
        <v>21</v>
      </c>
      <c r="S36" s="774">
        <f t="shared" si="9"/>
        <v>100</v>
      </c>
      <c r="T36" s="773" t="s">
        <v>21</v>
      </c>
      <c r="U36" s="774">
        <f t="shared" si="10"/>
        <v>100</v>
      </c>
      <c r="V36" s="773" t="s">
        <v>21</v>
      </c>
      <c r="W36" s="774">
        <f t="shared" si="11"/>
        <v>100</v>
      </c>
      <c r="X36" s="1814"/>
      <c r="Y36" s="3230"/>
      <c r="Z36" s="1815" t="str">
        <f t="shared" si="15"/>
        <v>公共部分装修</v>
      </c>
      <c r="AA36" s="1812">
        <f t="shared" si="12"/>
        <v>1</v>
      </c>
      <c r="AB36" s="1812">
        <f t="shared" si="13"/>
        <v>1</v>
      </c>
      <c r="AC36" s="1812">
        <f t="shared" si="14"/>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43"/>
      <c r="Q37" s="1796" t="str">
        <f t="shared" si="8"/>
        <v>成新度</v>
      </c>
      <c r="R37" s="769" t="s">
        <v>21</v>
      </c>
      <c r="S37" s="770">
        <f t="shared" si="9"/>
        <v>100</v>
      </c>
      <c r="T37" s="769" t="s">
        <v>21</v>
      </c>
      <c r="U37" s="770">
        <f t="shared" si="10"/>
        <v>100</v>
      </c>
      <c r="V37" s="769" t="s">
        <v>21</v>
      </c>
      <c r="W37" s="770">
        <f t="shared" si="11"/>
        <v>100</v>
      </c>
      <c r="X37" s="771"/>
      <c r="Y37" s="3230"/>
      <c r="Z37" s="55" t="str">
        <f t="shared" si="15"/>
        <v>成新度</v>
      </c>
      <c r="AA37" s="772">
        <f t="shared" si="12"/>
        <v>1</v>
      </c>
      <c r="AB37" s="772">
        <f t="shared" si="13"/>
        <v>1</v>
      </c>
      <c r="AC37" s="772">
        <f t="shared" si="14"/>
        <v>1</v>
      </c>
    </row>
    <row r="38" spans="1:29" ht="15">
      <c r="A38" s="472"/>
      <c r="B38" s="422" t="s">
        <v>2570</v>
      </c>
      <c r="C38" s="2610" t="s">
        <v>3259</v>
      </c>
      <c r="D38" s="435">
        <v>100</v>
      </c>
      <c r="E38" s="2611" t="s">
        <v>3259</v>
      </c>
      <c r="F38" s="461">
        <f>SUMIF(114:114,E38,115:115)-SUMIF(114:114,C38,115:115)+100</f>
        <v>100</v>
      </c>
      <c r="G38" s="2610" t="s">
        <v>3259</v>
      </c>
      <c r="H38" s="435">
        <f>SUMIF(114:114,G38,115:115)-SUMIF(114:114,C38,115:115)+100</f>
        <v>100</v>
      </c>
      <c r="I38" s="2611" t="s">
        <v>3259</v>
      </c>
      <c r="J38" s="435">
        <f>SUMIF(114:114,I38,115:115)-SUMIF(114:114,C38,115:115)+100</f>
        <v>100</v>
      </c>
      <c r="K38" s="426">
        <v>2</v>
      </c>
      <c r="L38" s="1142"/>
      <c r="M38" s="1133"/>
      <c r="N38" s="1133"/>
      <c r="O38" s="1133"/>
      <c r="P38" s="3243" t="s">
        <v>2564</v>
      </c>
      <c r="Q38" s="1811" t="str">
        <f t="shared" si="8"/>
        <v>物业管理</v>
      </c>
      <c r="R38" s="773" t="s">
        <v>21</v>
      </c>
      <c r="S38" s="774">
        <f t="shared" si="9"/>
        <v>100</v>
      </c>
      <c r="T38" s="773" t="s">
        <v>21</v>
      </c>
      <c r="U38" s="774">
        <f t="shared" si="10"/>
        <v>100</v>
      </c>
      <c r="V38" s="773" t="s">
        <v>21</v>
      </c>
      <c r="W38" s="774">
        <f t="shared" si="11"/>
        <v>100</v>
      </c>
      <c r="X38" s="1814"/>
      <c r="Y38" s="3230" t="s">
        <v>2564</v>
      </c>
      <c r="Z38" s="1815" t="str">
        <f t="shared" si="15"/>
        <v>物业管理</v>
      </c>
      <c r="AA38" s="1812">
        <f t="shared" si="12"/>
        <v>1</v>
      </c>
      <c r="AB38" s="1812">
        <f t="shared" si="13"/>
        <v>1</v>
      </c>
      <c r="AC38" s="1812">
        <f t="shared" si="14"/>
        <v>1</v>
      </c>
    </row>
    <row r="39" spans="1:29" ht="15">
      <c r="A39" s="472"/>
      <c r="B39" s="422" t="s">
        <v>2571</v>
      </c>
      <c r="C39" s="2610" t="s">
        <v>3260</v>
      </c>
      <c r="D39" s="435">
        <v>100</v>
      </c>
      <c r="E39" s="2611" t="s">
        <v>3260</v>
      </c>
      <c r="F39" s="461">
        <f>SUMIF(116:116,E39,117:117)-SUMIF(116:116,C39,117:117)+100</f>
        <v>100</v>
      </c>
      <c r="G39" s="2610" t="s">
        <v>3260</v>
      </c>
      <c r="H39" s="435">
        <f>SUMIF(116:116,G39,117:117)-SUMIF(116:116,C39,117:117)+100</f>
        <v>100</v>
      </c>
      <c r="I39" s="2611" t="s">
        <v>3260</v>
      </c>
      <c r="J39" s="435">
        <f>SUMIF(116:116,I39,117:117)-SUMIF(116:116,C39,117:117)+100</f>
        <v>100</v>
      </c>
      <c r="K39" s="426">
        <v>2</v>
      </c>
      <c r="L39" s="1142"/>
      <c r="M39" s="1133"/>
      <c r="N39" s="1133"/>
      <c r="O39" s="1133"/>
      <c r="P39" s="3243"/>
      <c r="Q39" s="1811" t="str">
        <f t="shared" si="8"/>
        <v>市政基础设施</v>
      </c>
      <c r="R39" s="773" t="s">
        <v>21</v>
      </c>
      <c r="S39" s="774">
        <f t="shared" si="9"/>
        <v>100</v>
      </c>
      <c r="T39" s="773" t="s">
        <v>21</v>
      </c>
      <c r="U39" s="774">
        <f t="shared" si="10"/>
        <v>100</v>
      </c>
      <c r="V39" s="773" t="s">
        <v>21</v>
      </c>
      <c r="W39" s="774">
        <f t="shared" si="11"/>
        <v>100</v>
      </c>
      <c r="X39" s="1814"/>
      <c r="Y39" s="3230"/>
      <c r="Z39" s="1815" t="str">
        <f t="shared" si="15"/>
        <v>市政基础设施</v>
      </c>
      <c r="AA39" s="1812">
        <f t="shared" si="12"/>
        <v>1</v>
      </c>
      <c r="AB39" s="1812">
        <f t="shared" si="13"/>
        <v>1</v>
      </c>
      <c r="AC39" s="1812">
        <f t="shared" si="14"/>
        <v>1</v>
      </c>
    </row>
    <row r="40" spans="1:29" ht="15">
      <c r="A40" s="472"/>
      <c r="B40" s="422" t="s">
        <v>2572</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43"/>
      <c r="Q40" s="1811" t="str">
        <f t="shared" si="8"/>
        <v>房型</v>
      </c>
      <c r="R40" s="773" t="s">
        <v>21</v>
      </c>
      <c r="S40" s="774">
        <f t="shared" si="9"/>
        <v>100</v>
      </c>
      <c r="T40" s="773" t="s">
        <v>21</v>
      </c>
      <c r="U40" s="774">
        <f t="shared" si="10"/>
        <v>100</v>
      </c>
      <c r="V40" s="773" t="s">
        <v>21</v>
      </c>
      <c r="W40" s="774">
        <f t="shared" si="11"/>
        <v>100</v>
      </c>
      <c r="X40" s="1814"/>
      <c r="Y40" s="3230"/>
      <c r="Z40" s="1815" t="str">
        <f t="shared" si="15"/>
        <v>房型</v>
      </c>
      <c r="AA40" s="1812">
        <f t="shared" si="12"/>
        <v>1</v>
      </c>
      <c r="AB40" s="1812">
        <f t="shared" si="13"/>
        <v>1</v>
      </c>
      <c r="AC40" s="1812">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43"/>
      <c r="Q41" s="775" t="str">
        <f t="shared" si="8"/>
        <v>单套/主力户型建筑面积</v>
      </c>
      <c r="R41" s="776" t="s">
        <v>21</v>
      </c>
      <c r="S41" s="777">
        <f t="shared" si="9"/>
        <v>100</v>
      </c>
      <c r="T41" s="776" t="s">
        <v>21</v>
      </c>
      <c r="U41" s="777">
        <f t="shared" si="10"/>
        <v>100</v>
      </c>
      <c r="V41" s="776" t="s">
        <v>21</v>
      </c>
      <c r="W41" s="777">
        <f t="shared" si="11"/>
        <v>100</v>
      </c>
      <c r="X41" s="778"/>
      <c r="Y41" s="3230"/>
      <c r="Z41" s="779" t="str">
        <f t="shared" si="15"/>
        <v>单套/主力户型建筑面积</v>
      </c>
      <c r="AA41" s="1812">
        <f t="shared" si="12"/>
        <v>1</v>
      </c>
      <c r="AB41" s="1812">
        <f t="shared" si="13"/>
        <v>1</v>
      </c>
      <c r="AC41" s="1812">
        <f t="shared" si="14"/>
        <v>1</v>
      </c>
    </row>
    <row r="42" spans="1:29" ht="15">
      <c r="A42" s="472"/>
      <c r="B42" s="422" t="s">
        <v>2574</v>
      </c>
      <c r="C42" s="2610" t="s">
        <v>3258</v>
      </c>
      <c r="D42" s="435">
        <v>100</v>
      </c>
      <c r="E42" s="2611" t="s">
        <v>3261</v>
      </c>
      <c r="F42" s="461">
        <f>SUMIF(122:122,E42,123:123)-SUMIF(122:122,C42,123:123)+100</f>
        <v>94</v>
      </c>
      <c r="G42" s="2610" t="s">
        <v>3261</v>
      </c>
      <c r="H42" s="435">
        <f>SUMIF(122:122,G42,123:123)-SUMIF(122:122,C42,123:123)+100</f>
        <v>94</v>
      </c>
      <c r="I42" s="2611" t="s">
        <v>3261</v>
      </c>
      <c r="J42" s="435">
        <f>SUMIF(122:122,I42,123:123)-SUMIF(122:122,C42,123:123)+100</f>
        <v>94</v>
      </c>
      <c r="K42" s="426">
        <v>2</v>
      </c>
      <c r="L42" s="1142"/>
      <c r="M42" s="1133"/>
      <c r="N42" s="1133"/>
      <c r="O42" s="1133"/>
      <c r="P42" s="3243"/>
      <c r="Q42" s="1811" t="str">
        <f t="shared" si="8"/>
        <v>内部装修</v>
      </c>
      <c r="R42" s="773" t="s">
        <v>21</v>
      </c>
      <c r="S42" s="774">
        <f t="shared" si="9"/>
        <v>94</v>
      </c>
      <c r="T42" s="773" t="s">
        <v>21</v>
      </c>
      <c r="U42" s="774">
        <f t="shared" si="10"/>
        <v>94</v>
      </c>
      <c r="V42" s="773" t="s">
        <v>21</v>
      </c>
      <c r="W42" s="774">
        <f t="shared" si="11"/>
        <v>94</v>
      </c>
      <c r="X42" s="1814"/>
      <c r="Y42" s="3230"/>
      <c r="Z42" s="1815" t="str">
        <f t="shared" si="15"/>
        <v>内部装修</v>
      </c>
      <c r="AA42" s="1812">
        <f t="shared" si="12"/>
        <v>1.0638297872340425</v>
      </c>
      <c r="AB42" s="1812">
        <f t="shared" si="13"/>
        <v>1.0638297872340425</v>
      </c>
      <c r="AC42" s="1812">
        <f t="shared" si="14"/>
        <v>1.0638297872340425</v>
      </c>
    </row>
    <row r="43" spans="1:29" ht="15">
      <c r="A43" s="472"/>
      <c r="B43" s="422" t="s">
        <v>2575</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43"/>
      <c r="Q43" s="1811" t="str">
        <f t="shared" si="8"/>
        <v>内部装修维护情况</v>
      </c>
      <c r="R43" s="773" t="s">
        <v>21</v>
      </c>
      <c r="S43" s="774">
        <f t="shared" si="9"/>
        <v>100</v>
      </c>
      <c r="T43" s="773" t="s">
        <v>21</v>
      </c>
      <c r="U43" s="774">
        <f t="shared" si="10"/>
        <v>100</v>
      </c>
      <c r="V43" s="773" t="s">
        <v>21</v>
      </c>
      <c r="W43" s="774">
        <f t="shared" si="11"/>
        <v>100</v>
      </c>
      <c r="X43" s="1814"/>
      <c r="Y43" s="3230"/>
      <c r="Z43" s="1815" t="str">
        <f t="shared" si="15"/>
        <v>内部装修维护情况</v>
      </c>
      <c r="AA43" s="1812">
        <f t="shared" si="12"/>
        <v>1</v>
      </c>
      <c r="AB43" s="1812">
        <f t="shared" si="13"/>
        <v>1</v>
      </c>
      <c r="AC43" s="1812">
        <f t="shared" si="14"/>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43"/>
      <c r="Q44" s="1796">
        <f t="shared" si="8"/>
        <v>111</v>
      </c>
      <c r="R44" s="769" t="s">
        <v>21</v>
      </c>
      <c r="S44" s="770">
        <f t="shared" si="9"/>
        <v>100</v>
      </c>
      <c r="T44" s="769" t="s">
        <v>21</v>
      </c>
      <c r="U44" s="770">
        <f t="shared" si="10"/>
        <v>100</v>
      </c>
      <c r="V44" s="769" t="s">
        <v>21</v>
      </c>
      <c r="W44" s="770">
        <f t="shared" si="11"/>
        <v>100</v>
      </c>
      <c r="X44" s="771"/>
      <c r="Y44" s="3230"/>
      <c r="Z44" s="55">
        <f t="shared" si="15"/>
        <v>111</v>
      </c>
      <c r="AA44" s="772">
        <f t="shared" si="12"/>
        <v>1</v>
      </c>
      <c r="AB44" s="772">
        <f t="shared" si="13"/>
        <v>1</v>
      </c>
      <c r="AC44" s="772">
        <f t="shared" si="14"/>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43"/>
      <c r="Q45" s="1811">
        <f t="shared" si="8"/>
        <v>111</v>
      </c>
      <c r="R45" s="773" t="s">
        <v>21</v>
      </c>
      <c r="S45" s="774">
        <f t="shared" si="9"/>
        <v>100</v>
      </c>
      <c r="T45" s="773" t="s">
        <v>21</v>
      </c>
      <c r="U45" s="774">
        <f t="shared" si="10"/>
        <v>100</v>
      </c>
      <c r="V45" s="773" t="s">
        <v>21</v>
      </c>
      <c r="W45" s="774">
        <f t="shared" si="11"/>
        <v>100</v>
      </c>
      <c r="X45" s="1814"/>
      <c r="Y45" s="3230"/>
      <c r="Z45" s="1815">
        <f t="shared" si="15"/>
        <v>111</v>
      </c>
      <c r="AA45" s="1812">
        <f t="shared" si="12"/>
        <v>1</v>
      </c>
      <c r="AB45" s="1812">
        <f t="shared" si="13"/>
        <v>1</v>
      </c>
      <c r="AC45" s="1812">
        <f t="shared" si="14"/>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44"/>
      <c r="Q46" s="1811">
        <f t="shared" si="8"/>
        <v>111</v>
      </c>
      <c r="R46" s="773" t="s">
        <v>20</v>
      </c>
      <c r="S46" s="774">
        <f t="shared" si="9"/>
        <v>100</v>
      </c>
      <c r="T46" s="773" t="s">
        <v>20</v>
      </c>
      <c r="U46" s="774">
        <f t="shared" si="10"/>
        <v>100</v>
      </c>
      <c r="V46" s="773" t="s">
        <v>20</v>
      </c>
      <c r="W46" s="774">
        <f t="shared" si="11"/>
        <v>100</v>
      </c>
      <c r="X46" s="1814"/>
      <c r="Y46" s="3245"/>
      <c r="Z46" s="1815">
        <f t="shared" si="15"/>
        <v>111</v>
      </c>
      <c r="AA46" s="1812">
        <f t="shared" si="12"/>
        <v>1</v>
      </c>
      <c r="AB46" s="1812">
        <f t="shared" si="13"/>
        <v>1</v>
      </c>
      <c r="AC46" s="1812">
        <f t="shared" si="14"/>
        <v>1</v>
      </c>
    </row>
    <row r="47" spans="1:29" ht="15">
      <c r="A47" s="479" t="s">
        <v>2576</v>
      </c>
      <c r="B47" s="480"/>
      <c r="C47" s="1409" t="s">
        <v>19</v>
      </c>
      <c r="D47" s="1410"/>
      <c r="E47" s="1411">
        <v>72890</v>
      </c>
      <c r="F47" s="1412"/>
      <c r="G47" s="1413">
        <v>72600</v>
      </c>
      <c r="H47" s="1414"/>
      <c r="I47" s="1411">
        <v>84000</v>
      </c>
      <c r="J47" s="1414"/>
      <c r="K47" s="2618"/>
      <c r="L47" s="1145"/>
      <c r="M47" s="1146"/>
      <c r="N47" s="1133"/>
      <c r="O47" s="1146"/>
      <c r="P47" s="3212" t="str">
        <f>A47</f>
        <v>成交单价（元/平方米）</v>
      </c>
      <c r="Q47" s="3212"/>
      <c r="R47" s="3241">
        <f>E47</f>
        <v>72890</v>
      </c>
      <c r="S47" s="3241"/>
      <c r="T47" s="3241">
        <f>G47</f>
        <v>72600</v>
      </c>
      <c r="U47" s="3241"/>
      <c r="V47" s="3241">
        <f>I47</f>
        <v>84000</v>
      </c>
      <c r="W47" s="3241"/>
      <c r="X47" s="758"/>
      <c r="Y47" s="780"/>
      <c r="Z47" s="758"/>
      <c r="AA47" s="758"/>
      <c r="AB47" s="758"/>
      <c r="AC47" s="758"/>
    </row>
    <row r="48" spans="1:29" ht="15.75" thickBot="1">
      <c r="A48" s="486" t="s">
        <v>2577</v>
      </c>
      <c r="B48" s="487"/>
      <c r="C48" s="2998">
        <f>R49</f>
        <v>81909</v>
      </c>
      <c r="D48" s="1416"/>
      <c r="E48" s="1417">
        <f>R48</f>
        <v>78373</v>
      </c>
      <c r="F48" s="1417"/>
      <c r="G48" s="1415">
        <f>T48</f>
        <v>79638</v>
      </c>
      <c r="H48" s="1416"/>
      <c r="I48" s="1417">
        <f>V48</f>
        <v>87716</v>
      </c>
      <c r="J48" s="1416"/>
      <c r="K48" s="2619"/>
      <c r="L48" s="1145"/>
      <c r="M48" s="1146"/>
      <c r="N48" s="1146"/>
      <c r="O48" s="1146"/>
      <c r="P48" s="3212" t="str">
        <f>A48</f>
        <v>比较价值（元/平方米）</v>
      </c>
      <c r="Q48" s="3212"/>
      <c r="R48" s="3241">
        <f>IF(F1="售价",ROUND(PRODUCT(R47,AA7:AA46),0),ROUND(PRODUCT(R47,AA7:AA46),1))</f>
        <v>78373</v>
      </c>
      <c r="S48" s="3241"/>
      <c r="T48" s="3241">
        <f>IF(F1="售价",ROUND(PRODUCT(T47,AB7:AB46),0),ROUND(PRODUCT(T47,AB7:AB46),1))</f>
        <v>79638</v>
      </c>
      <c r="U48" s="3241"/>
      <c r="V48" s="3241">
        <f>IF(F1="售价",ROUND(PRODUCT(V47,AC7:AC46),0),ROUND(PRODUCT(V47,AC7:AC46),1))</f>
        <v>87716</v>
      </c>
      <c r="W48" s="3241"/>
      <c r="X48" s="758"/>
      <c r="Y48" s="758"/>
      <c r="Z48" s="758"/>
      <c r="AA48" s="758"/>
      <c r="AB48" s="758"/>
      <c r="AC48" s="758"/>
    </row>
    <row r="49" spans="1:29" ht="15.75" thickBot="1">
      <c r="A49" s="492" t="s">
        <v>2578</v>
      </c>
      <c r="B49" s="493"/>
      <c r="C49" s="1418">
        <f>R49</f>
        <v>81909</v>
      </c>
      <c r="D49" s="1419"/>
      <c r="E49" s="1419"/>
      <c r="F49" s="1419"/>
      <c r="G49" s="1419"/>
      <c r="H49" s="1419"/>
      <c r="I49" s="1419"/>
      <c r="J49" s="1419"/>
      <c r="K49" s="2620"/>
      <c r="L49" s="1145"/>
      <c r="M49" s="1146"/>
      <c r="N49" s="1146"/>
      <c r="O49" s="1146"/>
      <c r="P49" s="3232" t="str">
        <f>A49</f>
        <v>估价对象XX用房的比较价值（楼面单价，元/平方米）</v>
      </c>
      <c r="Q49" s="3233"/>
      <c r="R49" s="3240">
        <f>IF(F1="售价",ROUND(AVERAGE(R48:V48),0),ROUND(AVERAGE(R48:V48),1))</f>
        <v>81909</v>
      </c>
      <c r="S49" s="3240"/>
      <c r="T49" s="3240"/>
      <c r="U49" s="3240"/>
      <c r="V49" s="3240"/>
      <c r="W49" s="324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f>IF(E47&lt;E48,E48/E47-1,E47/E48-1)</f>
        <v>7.5222938674715412E-2</v>
      </c>
      <c r="F52" s="500" t="str">
        <f>IF(OR(E52&gt;=0.3,E52&lt;=-0.3),"超过30%","")</f>
        <v/>
      </c>
      <c r="G52" s="499">
        <f>IF(G47&lt;G48,G48/G47-1,G47/G48-1)</f>
        <v>9.6942148760330582E-2</v>
      </c>
      <c r="H52" s="500" t="str">
        <f>IF(OR(G52&gt;=0.3,G52&lt;=-0.3),"超过30%","")</f>
        <v/>
      </c>
      <c r="I52" s="499">
        <f>IF(I47&lt;I48,I48/I47-1,I47/I48-1)</f>
        <v>4.4238095238095188E-2</v>
      </c>
      <c r="J52" s="500" t="str">
        <f>IF(OR(I52&gt;=0.3,I52&lt;=-0.3),"超过30%","")</f>
        <v/>
      </c>
      <c r="K52" s="1107"/>
      <c r="L52" s="1108"/>
      <c r="M52" s="1146"/>
      <c r="N52" s="1146"/>
      <c r="O52" s="1146"/>
    </row>
    <row r="53" spans="1:29" ht="13.5" customHeight="1">
      <c r="A53" s="1146"/>
      <c r="B53" s="1146"/>
      <c r="C53" s="497" t="s">
        <v>2580</v>
      </c>
      <c r="D53" s="501"/>
      <c r="E53" s="499">
        <f>IF(E48&lt;G48,G48/E48-1,E48/G48-1)</f>
        <v>1.6140762762686167E-2</v>
      </c>
      <c r="F53" s="500" t="str">
        <f>IF(OR(E53&gt;=0.2,E53&lt;=-0.2),"超过20%","")</f>
        <v/>
      </c>
      <c r="G53" s="499">
        <f>IF(G48&lt;I48,I48/G48-1,G48/I48-1)</f>
        <v>0.10143398879931698</v>
      </c>
      <c r="H53" s="500" t="str">
        <f>IF(OR(G53&gt;=0.2,G53&lt;=-0.2),"超过20%","")</f>
        <v/>
      </c>
      <c r="I53" s="499">
        <f>IF(I48&lt;E48,E48/I48-1,I48/E48-1)</f>
        <v>0.11921197351128576</v>
      </c>
      <c r="J53" s="500" t="str">
        <f>IF(OR(I53&gt;=0.2,I53&lt;=-0.2),"超过20%","")</f>
        <v/>
      </c>
      <c r="K53" s="1107"/>
      <c r="L53" s="1108"/>
      <c r="M53" s="1146"/>
      <c r="N53" s="1146"/>
      <c r="O53" s="1146"/>
    </row>
    <row r="54" spans="1:29" s="502" customFormat="1" ht="13.5" customHeight="1">
      <c r="A54" s="1147"/>
      <c r="B54" s="1147"/>
      <c r="C54" s="497" t="s">
        <v>2581</v>
      </c>
      <c r="D54" s="501"/>
      <c r="E54" s="499">
        <f>IF(E47&lt;G47,G47/E47-1,E47/G47-1)</f>
        <v>3.9944903581268232E-3</v>
      </c>
      <c r="F54" s="500" t="str">
        <f>IF(OR(E54&gt;=0.3,E54&lt;=-0.3),"超过30%","")</f>
        <v/>
      </c>
      <c r="G54" s="499">
        <f>IF(G47&lt;I47,I47/G47-1,G47/I47-1)</f>
        <v>0.15702479338842967</v>
      </c>
      <c r="H54" s="500" t="str">
        <f>IF(OR(G54&gt;=0.3,G54&lt;=-0.3),"超过30%","")</f>
        <v/>
      </c>
      <c r="I54" s="499">
        <f>IF(I47&lt;E47,E47/I47-1,I47/E47-1)</f>
        <v>0.15242145698998488</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3"/>
      <c r="Q57" s="504"/>
    </row>
    <row r="58" spans="1:29" s="508" customFormat="1" ht="15">
      <c r="A58" s="505" t="s">
        <v>2583</v>
      </c>
      <c r="B58" s="506"/>
      <c r="C58" s="1577" t="str">
        <f>YEAR(C7)&amp;"-"&amp;MONTH(C7)</f>
        <v>2018-7</v>
      </c>
      <c r="D58" s="1576">
        <f>EDATE(C58,-1)</f>
        <v>43252</v>
      </c>
      <c r="E58" s="1576">
        <f>EDATE(D58,-1)</f>
        <v>43221</v>
      </c>
      <c r="F58" s="1576">
        <f t="shared" ref="F58:O58" si="16">EDATE(E58,-1)</f>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 t="shared" si="16"/>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5"/>
      <c r="O66" s="1155"/>
      <c r="P66" s="2627"/>
      <c r="Q66" s="504"/>
    </row>
    <row r="67" spans="1:17" ht="15.75" thickTop="1">
      <c r="A67" s="534"/>
      <c r="B67" s="546" t="s">
        <v>2557</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K68&amp;"（含）"&amp;"-"&amp;L68</f>
        <v>（含）-</v>
      </c>
      <c r="L67" s="547" t="str">
        <f t="shared" si="18"/>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9">C69-$K11</f>
        <v>98</v>
      </c>
      <c r="E69" s="544">
        <f t="shared" si="19"/>
        <v>96</v>
      </c>
      <c r="F69" s="544">
        <f t="shared" si="19"/>
        <v>94</v>
      </c>
      <c r="G69" s="544">
        <f t="shared" si="19"/>
        <v>92</v>
      </c>
      <c r="H69" s="544">
        <f t="shared" si="19"/>
        <v>90</v>
      </c>
      <c r="I69" s="544">
        <f t="shared" si="19"/>
        <v>88</v>
      </c>
      <c r="J69" s="544">
        <f t="shared" si="19"/>
        <v>86</v>
      </c>
      <c r="K69" s="544">
        <f t="shared" si="19"/>
        <v>84</v>
      </c>
      <c r="L69" s="544">
        <f t="shared" si="19"/>
        <v>82</v>
      </c>
      <c r="M69" s="545">
        <f t="shared" si="19"/>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2098</v>
      </c>
      <c r="C82" s="539" t="s">
        <v>2603</v>
      </c>
      <c r="D82" s="539" t="s">
        <v>2604</v>
      </c>
      <c r="E82" s="539" t="s">
        <v>2605</v>
      </c>
      <c r="F82" s="539" t="s">
        <v>2606</v>
      </c>
      <c r="G82" s="539" t="s">
        <v>2607</v>
      </c>
      <c r="H82" s="539"/>
      <c r="I82" s="539"/>
      <c r="J82" s="539"/>
      <c r="K82" s="539"/>
      <c r="L82" s="539"/>
      <c r="M82" s="1384"/>
      <c r="N82" s="1155"/>
      <c r="O82" s="1155"/>
      <c r="P82" s="2627"/>
      <c r="Q82" s="504"/>
    </row>
    <row r="83" spans="1:17" ht="15.75" thickBot="1">
      <c r="A83" s="534"/>
      <c r="B83" s="546"/>
      <c r="C83" s="660">
        <v>100</v>
      </c>
      <c r="D83" s="660">
        <f>C83-$K21</f>
        <v>98</v>
      </c>
      <c r="E83" s="660">
        <f>D83-$K21</f>
        <v>96</v>
      </c>
      <c r="F83" s="660">
        <f>E83-$K21</f>
        <v>94</v>
      </c>
      <c r="G83" s="660">
        <f>F83-$K21</f>
        <v>92</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
        <v>2610</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2562</v>
      </c>
      <c r="B100" s="528" t="s">
        <v>2611</v>
      </c>
      <c r="C100" s="2960" t="s">
        <v>3116</v>
      </c>
      <c r="D100" s="2960" t="s">
        <v>3117</v>
      </c>
      <c r="E100" s="2960" t="s">
        <v>3118</v>
      </c>
      <c r="F100" s="2957" t="s">
        <v>3374</v>
      </c>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4">
        <f t="shared" si="22"/>
        <v>80</v>
      </c>
      <c r="N101" s="1155"/>
      <c r="O101" s="1155"/>
      <c r="P101" s="2627"/>
      <c r="Q101" s="504"/>
    </row>
    <row r="102" spans="1:17" ht="29.25" thickTop="1">
      <c r="A102" s="534"/>
      <c r="B102" s="538" t="s">
        <v>2612</v>
      </c>
      <c r="C102" s="578" t="str">
        <f>C103&amp;"(含)"&amp;"-"&amp;D103</f>
        <v>0(含)-30000</v>
      </c>
      <c r="D102" s="578" t="str">
        <f t="shared" ref="D102:L102" si="23">D103&amp;"(含)"&amp;"-"&amp;E103</f>
        <v>30000(含)-60000</v>
      </c>
      <c r="E102" s="578" t="str">
        <f t="shared" si="23"/>
        <v>60000(含)-90000</v>
      </c>
      <c r="F102" s="578" t="str">
        <f t="shared" si="23"/>
        <v>90000(含)-120000</v>
      </c>
      <c r="G102" s="578" t="str">
        <f t="shared" si="23"/>
        <v>120000(含)-150000</v>
      </c>
      <c r="H102" s="578" t="str">
        <f t="shared" si="23"/>
        <v>150000(含)-180000</v>
      </c>
      <c r="I102" s="578" t="str">
        <f t="shared" si="23"/>
        <v>180000(含)-</v>
      </c>
      <c r="J102" s="578" t="str">
        <f t="shared" si="23"/>
        <v>(含)-</v>
      </c>
      <c r="K102" s="578" t="str">
        <f>K103&amp;"(含)"&amp;"-"&amp;L103</f>
        <v>(含)-</v>
      </c>
      <c r="L102" s="578" t="str">
        <f t="shared" si="23"/>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2613</v>
      </c>
      <c r="C105" s="2961" t="s">
        <v>3119</v>
      </c>
      <c r="D105" s="2961" t="s">
        <v>3120</v>
      </c>
      <c r="E105" s="2962" t="s">
        <v>3121</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5"/>
      <c r="O106" s="1155"/>
      <c r="P106" s="2627"/>
      <c r="Q106" s="504"/>
    </row>
    <row r="107" spans="1:17" ht="15" thickTop="1">
      <c r="A107" s="599"/>
      <c r="B107" s="538" t="s">
        <v>2614</v>
      </c>
      <c r="C107" s="2962" t="s">
        <v>3122</v>
      </c>
      <c r="D107" s="2962" t="s">
        <v>3123</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5"/>
      <c r="O108" s="1155"/>
      <c r="P108" s="2627"/>
      <c r="Q108" s="504"/>
    </row>
    <row r="109" spans="1:17" ht="15" thickTop="1">
      <c r="A109" s="599"/>
      <c r="B109" s="538" t="s">
        <v>2615</v>
      </c>
      <c r="C109" s="2961" t="s">
        <v>3124</v>
      </c>
      <c r="D109" s="2961" t="s">
        <v>3125</v>
      </c>
      <c r="E109" s="2961" t="s">
        <v>3126</v>
      </c>
      <c r="F109" s="2962" t="s">
        <v>3127</v>
      </c>
      <c r="G109" s="583"/>
      <c r="H109" s="583"/>
      <c r="I109" s="583"/>
      <c r="J109" s="583"/>
      <c r="K109" s="584"/>
      <c r="L109" s="585"/>
      <c r="M109" s="586"/>
      <c r="N109" s="1154"/>
      <c r="O109" s="1154"/>
      <c r="P109" s="2627"/>
      <c r="Q109" s="504"/>
    </row>
    <row r="110" spans="1:17" ht="15.75"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2616</v>
      </c>
      <c r="C114" s="2961" t="s">
        <v>3128</v>
      </c>
      <c r="D114" s="2961" t="s">
        <v>3129</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7">C115-$K38</f>
        <v>98</v>
      </c>
      <c r="E115" s="544">
        <f t="shared" si="27"/>
        <v>96</v>
      </c>
      <c r="F115" s="544">
        <f t="shared" si="27"/>
        <v>94</v>
      </c>
      <c r="G115" s="544">
        <f t="shared" si="27"/>
        <v>92</v>
      </c>
      <c r="H115" s="544">
        <f t="shared" si="27"/>
        <v>90</v>
      </c>
      <c r="I115" s="544">
        <f t="shared" si="27"/>
        <v>88</v>
      </c>
      <c r="J115" s="544">
        <f t="shared" si="27"/>
        <v>86</v>
      </c>
      <c r="K115" s="544">
        <f t="shared" si="27"/>
        <v>84</v>
      </c>
      <c r="L115" s="544">
        <f t="shared" si="27"/>
        <v>82</v>
      </c>
      <c r="M115" s="544">
        <f t="shared" si="27"/>
        <v>80</v>
      </c>
      <c r="N115" s="1155"/>
      <c r="O115" s="1155"/>
      <c r="P115" s="2627"/>
      <c r="Q115" s="504"/>
    </row>
    <row r="116" spans="1:17" ht="15" thickTop="1">
      <c r="A116" s="599"/>
      <c r="B116" s="538" t="s">
        <v>2617</v>
      </c>
      <c r="C116" s="2961" t="s">
        <v>3130</v>
      </c>
      <c r="D116" s="2961" t="s">
        <v>3131</v>
      </c>
      <c r="E116" s="2961" t="s">
        <v>3132</v>
      </c>
      <c r="F116" s="2961" t="s">
        <v>3133</v>
      </c>
      <c r="G116" s="2961" t="s">
        <v>3134</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2618</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5"/>
      <c r="O119" s="1155"/>
      <c r="P119" s="2627"/>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2619</v>
      </c>
      <c r="C122" s="2961" t="s">
        <v>3124</v>
      </c>
      <c r="D122" s="2961" t="s">
        <v>3125</v>
      </c>
      <c r="E122" s="2961" t="s">
        <v>3126</v>
      </c>
      <c r="F122" s="2962" t="s">
        <v>3127</v>
      </c>
      <c r="G122" s="583"/>
      <c r="H122" s="583"/>
      <c r="I122" s="583"/>
      <c r="J122" s="583"/>
      <c r="K122" s="584"/>
      <c r="L122" s="585"/>
      <c r="M122" s="586"/>
      <c r="N122" s="1154"/>
      <c r="O122" s="1154"/>
      <c r="P122" s="2627"/>
      <c r="Q122" s="504"/>
    </row>
    <row r="123" spans="1:17" ht="15.75"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6">
        <v>6</v>
      </c>
      <c r="C139" s="1087">
        <v>96</v>
      </c>
      <c r="D139" s="2645" t="s">
        <v>2630</v>
      </c>
      <c r="E139" s="1088">
        <v>100</v>
      </c>
      <c r="F139" s="1089">
        <v>102.5</v>
      </c>
      <c r="G139" s="2645" t="s">
        <v>2630</v>
      </c>
      <c r="H139" s="1090">
        <v>105</v>
      </c>
      <c r="I139" s="2646" t="s">
        <v>2631</v>
      </c>
      <c r="J139" s="1087">
        <v>20</v>
      </c>
      <c r="K139" s="1091">
        <f>C145/(J139-2)</f>
        <v>4.0555555555555553E-3</v>
      </c>
    </row>
    <row r="140" spans="1:17" ht="15">
      <c r="B140" s="1092">
        <v>5</v>
      </c>
      <c r="C140" s="1093">
        <v>100</v>
      </c>
      <c r="D140" s="1093"/>
      <c r="E140" s="1094"/>
      <c r="F140" s="1095">
        <v>102</v>
      </c>
      <c r="G140" s="1093"/>
      <c r="H140" s="1096"/>
      <c r="I140" s="2647" t="s">
        <v>2632</v>
      </c>
      <c r="J140" s="315">
        <f>ROUNDUP((J139-1)/2,0)</f>
        <v>10</v>
      </c>
      <c r="K140" s="1097">
        <v>100</v>
      </c>
    </row>
    <row r="141" spans="1:17" ht="15">
      <c r="B141" s="1092">
        <v>4</v>
      </c>
      <c r="C141" s="1093">
        <v>102</v>
      </c>
      <c r="D141" s="1093"/>
      <c r="E141" s="1094"/>
      <c r="F141" s="1095">
        <v>101.5</v>
      </c>
      <c r="G141" s="1093"/>
      <c r="H141" s="1096"/>
      <c r="I141" s="2647" t="s">
        <v>2633</v>
      </c>
      <c r="J141" s="315">
        <v>1</v>
      </c>
      <c r="K141" s="1098">
        <f>ROUND(100+(J141-J140)*K139*100,1)</f>
        <v>96.4</v>
      </c>
    </row>
    <row r="142" spans="1:17" ht="15">
      <c r="B142" s="1092">
        <v>3</v>
      </c>
      <c r="C142" s="1093">
        <v>103</v>
      </c>
      <c r="D142" s="1093"/>
      <c r="E142" s="1094"/>
      <c r="F142" s="1095">
        <v>101</v>
      </c>
      <c r="G142" s="1093"/>
      <c r="H142" s="1096"/>
      <c r="I142" s="2647" t="s">
        <v>2634</v>
      </c>
      <c r="J142" s="315">
        <f>J139</f>
        <v>20</v>
      </c>
      <c r="K142" s="1099">
        <v>95</v>
      </c>
    </row>
    <row r="143" spans="1:17" ht="15">
      <c r="B143" s="1092">
        <v>2</v>
      </c>
      <c r="C143" s="1093">
        <v>100</v>
      </c>
      <c r="D143" s="1093"/>
      <c r="E143" s="1094"/>
      <c r="F143" s="1095">
        <v>100.5</v>
      </c>
      <c r="G143" s="1093"/>
      <c r="H143" s="1096"/>
      <c r="I143" s="2647" t="s">
        <v>2635</v>
      </c>
      <c r="J143" s="1093">
        <v>15</v>
      </c>
      <c r="K143" s="1098">
        <f>ROUND(100+(J143-J140)*K139*100,1)</f>
        <v>102</v>
      </c>
    </row>
    <row r="144" spans="1:17" ht="15">
      <c r="B144" s="1092">
        <v>1</v>
      </c>
      <c r="C144" s="1093">
        <v>98</v>
      </c>
      <c r="D144" s="2648" t="s">
        <v>2636</v>
      </c>
      <c r="E144" s="1094">
        <v>102</v>
      </c>
      <c r="F144" s="1100">
        <v>100</v>
      </c>
      <c r="G144" s="2648" t="s">
        <v>2636</v>
      </c>
      <c r="H144" s="1096">
        <v>105</v>
      </c>
      <c r="I144" s="2647" t="s">
        <v>2635</v>
      </c>
      <c r="J144" s="1093">
        <v>18</v>
      </c>
      <c r="K144" s="1098">
        <f>ROUND(100+(J144-J140)*K139*100,1)</f>
        <v>103.2</v>
      </c>
    </row>
    <row r="145" spans="2:11" ht="15.75" thickBot="1">
      <c r="B145" s="2649" t="s">
        <v>2637</v>
      </c>
      <c r="C145" s="1101">
        <f>ROUND(MAX(C139:C144)/MIN(C139:C144)-1,3)</f>
        <v>7.2999999999999995E-2</v>
      </c>
      <c r="D145" s="1102"/>
      <c r="E145" s="1102"/>
      <c r="F145" s="2650" t="s">
        <v>2638</v>
      </c>
      <c r="G145" s="2651"/>
      <c r="H145" s="2652"/>
      <c r="I145" s="2653" t="s">
        <v>2635</v>
      </c>
      <c r="J145" s="1103">
        <v>8</v>
      </c>
      <c r="K145" s="1104">
        <f>ROUND(100+(J145-J140)*K139*100,1)</f>
        <v>99.2</v>
      </c>
    </row>
    <row r="147" spans="2:11">
      <c r="B147" s="2634" t="s">
        <v>2639</v>
      </c>
    </row>
    <row r="148" spans="2:11">
      <c r="B148" s="2634"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I31" sqref="I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3268</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261</v>
      </c>
      <c r="C2" s="1846" t="s">
        <v>1516</v>
      </c>
      <c r="D2" s="1846"/>
      <c r="E2" s="1847"/>
      <c r="F2" s="1848"/>
      <c r="G2" s="1849"/>
      <c r="H2" s="1841"/>
      <c r="I2" s="1841"/>
      <c r="J2" s="1841"/>
      <c r="K2" s="1842"/>
      <c r="L2" s="1841"/>
      <c r="M2" s="1841"/>
    </row>
    <row r="3" spans="1:37" ht="18" customHeight="1" thickBot="1">
      <c r="A3" s="1850" t="s">
        <v>1517</v>
      </c>
      <c r="B3" s="1851">
        <f ca="1">IF(ISERROR(B2*10000/F43),0,ROUND(B2*10000/F43,0))</f>
        <v>23727</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23</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23</v>
      </c>
      <c r="D6" s="164" t="s">
        <v>3032</v>
      </c>
      <c r="E6" s="347" t="s">
        <v>1405</v>
      </c>
      <c r="F6" s="348">
        <f ca="1">INDIRECT("'数据-取费表'!u"&amp;$G$1)</f>
        <v>6.5</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2999" t="s">
        <v>3377</v>
      </c>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34</v>
      </c>
      <c r="D14" s="1801" t="s">
        <v>1418</v>
      </c>
      <c r="E14" s="1795"/>
      <c r="F14" s="364"/>
      <c r="G14" s="1852"/>
      <c r="H14" s="1203" t="s">
        <v>1035</v>
      </c>
      <c r="I14" s="347" t="s">
        <v>1419</v>
      </c>
      <c r="J14" s="24">
        <f ca="1">C29</f>
        <v>53</v>
      </c>
      <c r="K14" s="15"/>
      <c r="L14" s="981"/>
      <c r="M14" s="982"/>
    </row>
    <row r="15" spans="1:37" s="1859" customFormat="1" ht="18" customHeight="1" thickBot="1">
      <c r="A15" s="1203" t="s">
        <v>1036</v>
      </c>
      <c r="B15" s="347" t="s">
        <v>1420</v>
      </c>
      <c r="C15" s="24">
        <f ca="1">ROUND(C14*F15,0)</f>
        <v>1</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v>
      </c>
      <c r="K16" s="1339" t="s">
        <v>1425</v>
      </c>
      <c r="L16" s="1340"/>
      <c r="M16" s="1296"/>
    </row>
    <row r="17" spans="1:37" s="1859" customFormat="1" ht="18" customHeight="1">
      <c r="A17" s="1203" t="s">
        <v>1390</v>
      </c>
      <c r="B17" s="347" t="s">
        <v>1426</v>
      </c>
      <c r="C17" s="24">
        <f ca="1">ROUND(F17*(F43+INDIRECT("'数据-取费表'!S"&amp;$G$1))/10000,0)</f>
        <v>2</v>
      </c>
      <c r="D17" s="347" t="s">
        <v>1427</v>
      </c>
      <c r="E17" s="347" t="s">
        <v>1428</v>
      </c>
      <c r="F17" s="26">
        <f>'数据-取费表'!B35</f>
        <v>200</v>
      </c>
      <c r="G17" s="1855"/>
      <c r="H17" s="1203" t="s">
        <v>1035</v>
      </c>
      <c r="I17" s="347" t="s">
        <v>1429</v>
      </c>
      <c r="J17" s="24">
        <f ca="1">ROUND(IF(项目基本情况!B11="自然人",J5*M17,J18+J19+J20),1)</f>
        <v>0.5</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38</v>
      </c>
      <c r="D19" s="140" t="s">
        <v>1436</v>
      </c>
      <c r="E19" s="1819"/>
      <c r="F19" s="26"/>
      <c r="G19" s="1852"/>
      <c r="H19" s="1203" t="s">
        <v>1036</v>
      </c>
      <c r="I19" s="347" t="s">
        <v>1437</v>
      </c>
      <c r="J19" s="24">
        <f ca="1">IF(K19="按租金收入计税",ROUND(J5*M19,2),ROUND(C29*M19*0.7,2))</f>
        <v>0.45</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v>
      </c>
      <c r="D20" s="369" t="s">
        <v>1440</v>
      </c>
      <c r="E20" s="347" t="s">
        <v>1422</v>
      </c>
      <c r="F20" s="367">
        <f>'数据-取费表'!B37</f>
        <v>0.03</v>
      </c>
      <c r="G20" s="1855"/>
      <c r="H20" s="1203" t="s">
        <v>1389</v>
      </c>
      <c r="I20" s="164" t="s">
        <v>1441</v>
      </c>
      <c r="J20" s="25">
        <f ca="1">ROUND(M20*M21/10000,2)</f>
        <v>0.01</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0.8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-1</v>
      </c>
      <c r="K25" s="1347" t="s">
        <v>1464</v>
      </c>
      <c r="L25" s="1348"/>
      <c r="M25" s="1349"/>
    </row>
    <row r="26" spans="1:37">
      <c r="A26" s="1203" t="s">
        <v>1034</v>
      </c>
      <c r="B26" s="347" t="s">
        <v>1465</v>
      </c>
      <c r="C26" s="24">
        <f ca="1">ROUND((C19+C20)*F26,0)</f>
        <v>8</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1.2</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2.76</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0.01</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ROUND(C29*F36,1)</f>
        <v>0.8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0.5</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23727</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-334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3257</v>
      </c>
      <c r="K47" s="1883" t="s">
        <v>1527</v>
      </c>
      <c r="L47" s="1884">
        <f ca="1">INDIRECT("'数据-取费表'!d"&amp;$G$1)</f>
        <v>40</v>
      </c>
      <c r="M47" s="1839" t="str">
        <f>IF(ISNUMBER(FIND("住宅",C1)),"住宅","非住宅")</f>
        <v>非住宅</v>
      </c>
      <c r="O47" s="1885" t="s">
        <v>1040</v>
      </c>
      <c r="P47" s="1886" t="s">
        <v>1528</v>
      </c>
      <c r="Q47" s="1887">
        <f ca="1">C40+J29</f>
        <v>261</v>
      </c>
      <c r="R47" s="1887" t="s">
        <v>1529</v>
      </c>
    </row>
    <row r="48" spans="1:18" s="1843" customFormat="1" ht="28.5" thickBot="1">
      <c r="A48" s="1362" t="s">
        <v>1135</v>
      </c>
      <c r="B48" s="345" t="s">
        <v>1401</v>
      </c>
      <c r="C48" s="1818">
        <f ca="1">C49+C53+C55</f>
        <v>0</v>
      </c>
      <c r="D48" s="1364"/>
      <c r="E48" s="1365"/>
      <c r="F48" s="1183"/>
      <c r="G48" s="791"/>
      <c r="H48" s="792"/>
      <c r="I48" s="1888" t="s">
        <v>1530</v>
      </c>
      <c r="J48" s="1889" t="s">
        <v>3270</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3033</v>
      </c>
      <c r="E49" s="1831" t="s">
        <v>1491</v>
      </c>
      <c r="F49" s="1283"/>
      <c r="G49" s="1892"/>
      <c r="H49" s="792"/>
      <c r="I49" s="1888" t="s">
        <v>1534</v>
      </c>
      <c r="J49" s="1893">
        <v>2018</v>
      </c>
      <c r="K49" s="1890" t="s">
        <v>1535</v>
      </c>
      <c r="L49" s="1894"/>
      <c r="O49" s="1895" t="s">
        <v>1042</v>
      </c>
      <c r="P49" s="1886" t="s">
        <v>1536</v>
      </c>
      <c r="Q49" s="1887">
        <f ca="1">C29</f>
        <v>53</v>
      </c>
      <c r="R49" s="1887" t="s">
        <v>1529</v>
      </c>
    </row>
    <row r="50" spans="1:18" s="1843" customFormat="1" ht="13.5" thickBot="1">
      <c r="A50" s="1197"/>
      <c r="B50" s="1200"/>
      <c r="C50" s="1370"/>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35.15</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261</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53</v>
      </c>
      <c r="D56" s="1915"/>
      <c r="E56" s="1916"/>
      <c r="F56" s="1908"/>
      <c r="I56" s="1917" t="s">
        <v>1554</v>
      </c>
      <c r="J56" s="1918" t="s">
        <v>3061</v>
      </c>
      <c r="K56" s="1888" t="s">
        <v>1555</v>
      </c>
      <c r="L56" s="1891" t="str">
        <f ca="1">IF(L48&lt;J51,"——",L48-J53)</f>
        <v>——</v>
      </c>
      <c r="O56" s="1885" t="s">
        <v>1040</v>
      </c>
      <c r="P56" s="1886" t="s">
        <v>1528</v>
      </c>
      <c r="Q56" s="1887">
        <f ca="1">C40+J29</f>
        <v>261</v>
      </c>
      <c r="R56" s="1887" t="s">
        <v>1529</v>
      </c>
    </row>
    <row r="57" spans="1:18" s="1843" customFormat="1" ht="24.75" thickBot="1">
      <c r="A57" s="1919"/>
      <c r="B57" s="1171" t="s">
        <v>1478</v>
      </c>
      <c r="C57" s="282">
        <f ca="1">C29</f>
        <v>53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5</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4.45</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0.01</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0.8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0.1</v>
      </c>
      <c r="D65" s="1185" t="s">
        <v>1454</v>
      </c>
      <c r="E65" s="1171" t="s">
        <v>1455</v>
      </c>
      <c r="F65" s="376">
        <f t="shared" ca="1" si="0"/>
        <v>2E-3</v>
      </c>
      <c r="I65" s="1930" t="s">
        <v>1579</v>
      </c>
      <c r="J65" s="1931">
        <v>40</v>
      </c>
      <c r="K65" s="1931">
        <v>30</v>
      </c>
      <c r="L65" s="1931">
        <v>50</v>
      </c>
      <c r="M65" s="1933">
        <v>0.02</v>
      </c>
      <c r="O65" s="1885" t="s">
        <v>1040</v>
      </c>
      <c r="P65" s="1886" t="s">
        <v>1580</v>
      </c>
      <c r="Q65" s="1887">
        <f ca="1">C40+J29</f>
        <v>261</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v>
      </c>
      <c r="D67" s="1184" t="s">
        <v>1464</v>
      </c>
      <c r="E67" s="1189"/>
      <c r="F67" s="1190"/>
      <c r="O67" s="1895" t="s">
        <v>1042</v>
      </c>
      <c r="P67" s="1886" t="s">
        <v>1562</v>
      </c>
      <c r="Q67" s="1934">
        <f ca="1">L51</f>
        <v>208</v>
      </c>
      <c r="R67" s="1887" t="s">
        <v>1582</v>
      </c>
    </row>
    <row r="68" spans="1:18" s="1843" customFormat="1" ht="16.5" thickBot="1">
      <c r="A68" s="1168" t="s">
        <v>1032</v>
      </c>
      <c r="B68" s="1169" t="s">
        <v>1485</v>
      </c>
      <c r="C68" s="346">
        <f ca="1">ROUND(C67*(1-((1+F70)/(1+F68))^F69)/(F68-F70),0)</f>
        <v>-73</v>
      </c>
      <c r="D68" s="1186" t="s">
        <v>1469</v>
      </c>
      <c r="E68" s="1171" t="s">
        <v>1470</v>
      </c>
      <c r="F68" s="357">
        <f ca="1">F40</f>
        <v>0.06</v>
      </c>
      <c r="O68" s="1895" t="s">
        <v>1043</v>
      </c>
      <c r="P68" s="1935" t="s">
        <v>1583</v>
      </c>
      <c r="Q68" s="1887">
        <f ca="1">ROUND(Q69-Q70*Q71,0)</f>
        <v>13</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v>
      </c>
      <c r="R69" s="1887" t="s">
        <v>1529</v>
      </c>
    </row>
    <row r="70" spans="1:18" s="1843" customFormat="1" ht="13.5" thickBot="1">
      <c r="A70" s="1175"/>
      <c r="B70" s="1176"/>
      <c r="C70" s="355"/>
      <c r="D70" s="1187"/>
      <c r="E70" s="1171" t="s">
        <v>1477</v>
      </c>
      <c r="F70" s="1277"/>
      <c r="O70" s="1895" t="s">
        <v>1049</v>
      </c>
      <c r="P70" s="1935" t="s">
        <v>1585</v>
      </c>
      <c r="Q70" s="1887">
        <f ca="1">C13</f>
        <v>53</v>
      </c>
      <c r="R70" s="1887" t="s">
        <v>1529</v>
      </c>
    </row>
    <row r="71" spans="1:18" s="1843" customFormat="1" ht="13.5" thickBot="1">
      <c r="A71" s="1192" t="s">
        <v>1033</v>
      </c>
      <c r="B71" s="1193" t="s">
        <v>1487</v>
      </c>
      <c r="C71" s="382">
        <f ca="1">ROUND(C68*10000/F71,0)</f>
        <v>-6636</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v>
      </c>
      <c r="D75" s="1843"/>
      <c r="E75" s="1843"/>
      <c r="F75" s="1843"/>
      <c r="K75" s="1869"/>
      <c r="L75" s="1843"/>
      <c r="O75" s="1885" t="s">
        <v>1046</v>
      </c>
      <c r="P75" s="1886" t="s">
        <v>1549</v>
      </c>
      <c r="Q75" s="1887">
        <f ca="1">Q65+Q66</f>
        <v>261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0.72199999999999998</v>
      </c>
    </row>
    <row r="80" spans="1:18">
      <c r="B80" s="386" t="s">
        <v>1511</v>
      </c>
      <c r="C80" s="318">
        <f ca="1">ROUND(C75/C39,3)</f>
        <v>0.27800000000000002</v>
      </c>
    </row>
    <row r="81" spans="2:3">
      <c r="B81" s="314" t="s">
        <v>1512</v>
      </c>
      <c r="C81" s="282"/>
    </row>
    <row r="82" spans="2:3">
      <c r="B82" s="317" t="s">
        <v>1513</v>
      </c>
      <c r="C82" s="319">
        <f ca="1">1-C83</f>
        <v>0.79699999999999993</v>
      </c>
    </row>
    <row r="83" spans="2:3">
      <c r="B83" s="317" t="s">
        <v>1514</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3268</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263</v>
      </c>
      <c r="C2" s="1846" t="s">
        <v>1591</v>
      </c>
      <c r="D2" s="1939">
        <f ca="1">C40+J29+L46</f>
        <v>2625101</v>
      </c>
      <c r="E2" s="1847" t="s">
        <v>1592</v>
      </c>
      <c r="F2" s="1848"/>
      <c r="G2" s="1849"/>
      <c r="H2" s="1841"/>
      <c r="I2" s="1841"/>
      <c r="J2" s="1841"/>
      <c r="K2" s="1842"/>
      <c r="L2" s="1841"/>
      <c r="M2" s="1841"/>
    </row>
    <row r="3" spans="1:37" ht="18" customHeight="1" thickBot="1">
      <c r="A3" s="1850" t="s">
        <v>1593</v>
      </c>
      <c r="B3" s="1851">
        <f ca="1">IF(ISERROR(D2/F43),0,ROUND(D2/F43,0))</f>
        <v>23865</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235172</v>
      </c>
      <c r="D5" s="1823" t="s">
        <v>1601</v>
      </c>
      <c r="E5" s="1295"/>
      <c r="F5" s="1296"/>
      <c r="G5" s="1852"/>
      <c r="H5" s="344">
        <v>1</v>
      </c>
      <c r="I5" s="345" t="s">
        <v>1600</v>
      </c>
      <c r="J5" s="1294">
        <f ca="1">J6+J10+J12</f>
        <v>0</v>
      </c>
      <c r="K5" s="1823" t="s">
        <v>1601</v>
      </c>
      <c r="L5" s="1295"/>
      <c r="M5" s="1296"/>
    </row>
    <row r="6" spans="1:37" ht="18" customHeight="1">
      <c r="A6" s="1293" t="s">
        <v>1035</v>
      </c>
      <c r="B6" s="3250" t="s">
        <v>1403</v>
      </c>
      <c r="C6" s="1298">
        <f ca="1">ROUND(F6*F8*F7*(1-F9),0)</f>
        <v>234878</v>
      </c>
      <c r="D6" s="164" t="s">
        <v>3029</v>
      </c>
      <c r="E6" s="347" t="s">
        <v>1405</v>
      </c>
      <c r="F6" s="348">
        <f ca="1">INDIRECT("'数据-取费表'!u"&amp;$G$1)</f>
        <v>6.5</v>
      </c>
      <c r="G6" s="1852"/>
      <c r="H6" s="1293" t="s">
        <v>1035</v>
      </c>
      <c r="I6" s="3250" t="s">
        <v>1403</v>
      </c>
      <c r="J6" s="346">
        <f ca="1">ROUND(M6*M8*M7*(1-M9),0)</f>
        <v>0</v>
      </c>
      <c r="K6" s="1835" t="s">
        <v>3030</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294</v>
      </c>
      <c r="D10" s="1825" t="s">
        <v>3040</v>
      </c>
      <c r="E10" s="358" t="s">
        <v>1410</v>
      </c>
      <c r="F10" s="1368" t="s">
        <v>3377</v>
      </c>
      <c r="G10" s="1852"/>
      <c r="H10" s="1293" t="s">
        <v>1039</v>
      </c>
      <c r="I10" s="1824" t="s">
        <v>1409</v>
      </c>
      <c r="J10" s="346">
        <f ca="1">ROUND(IF(M10="押一",J6/12*M11,IF(M10="押二",J6/12*2*M11,IF(M10="押三",J6/12*3*M11,J11*M11))),0)</f>
        <v>0</v>
      </c>
      <c r="K10" s="1836" t="s">
        <v>3042</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529851</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337832</v>
      </c>
      <c r="D14" s="1801" t="s">
        <v>1418</v>
      </c>
      <c r="E14" s="1795"/>
      <c r="F14" s="364"/>
      <c r="G14" s="1852"/>
      <c r="H14" s="1203" t="s">
        <v>1035</v>
      </c>
      <c r="I14" s="347" t="s">
        <v>1419</v>
      </c>
      <c r="J14" s="24">
        <f ca="1">C29</f>
        <v>529851</v>
      </c>
      <c r="K14" s="15"/>
      <c r="L14" s="981"/>
      <c r="M14" s="982"/>
    </row>
    <row r="15" spans="1:37" s="1859" customFormat="1" ht="18" customHeight="1" thickBot="1">
      <c r="A15" s="1203" t="s">
        <v>1036</v>
      </c>
      <c r="B15" s="347" t="s">
        <v>1420</v>
      </c>
      <c r="C15" s="24">
        <f ca="1">ROUND(C14*F15,0)</f>
        <v>13513</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12492</v>
      </c>
      <c r="K16" s="1339" t="s">
        <v>1425</v>
      </c>
      <c r="L16" s="1340"/>
      <c r="M16" s="1296"/>
    </row>
    <row r="17" spans="1:37" s="1859" customFormat="1" ht="18" customHeight="1">
      <c r="A17" s="1203" t="s">
        <v>1390</v>
      </c>
      <c r="B17" s="347" t="s">
        <v>1426</v>
      </c>
      <c r="C17" s="24">
        <f ca="1">ROUND(F17*(F43+INDIRECT("'数据-取费表'!S"&amp;$G$1)),0)</f>
        <v>22712</v>
      </c>
      <c r="D17" s="347" t="s">
        <v>1427</v>
      </c>
      <c r="E17" s="347" t="s">
        <v>1428</v>
      </c>
      <c r="F17" s="26">
        <f>'数据-取费表'!B35</f>
        <v>200</v>
      </c>
      <c r="G17" s="1855"/>
      <c r="H17" s="1203" t="s">
        <v>1035</v>
      </c>
      <c r="I17" s="347" t="s">
        <v>1429</v>
      </c>
      <c r="J17" s="24">
        <f ca="1">ROUND(IF(项目基本情况!B11="自然人",J5*M17,J18+J19+J20),0)</f>
        <v>4544</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5067</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379124</v>
      </c>
      <c r="D19" s="140" t="s">
        <v>1436</v>
      </c>
      <c r="E19" s="1819"/>
      <c r="F19" s="26"/>
      <c r="G19" s="1852"/>
      <c r="H19" s="1203" t="s">
        <v>1036</v>
      </c>
      <c r="I19" s="347" t="s">
        <v>1437</v>
      </c>
      <c r="J19" s="24">
        <f ca="1">IF(K19="按租金收入计税",ROUND(J5*M19,0),ROUND(C29*M19*0.7,0))</f>
        <v>4451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11374</v>
      </c>
      <c r="D20" s="369" t="s">
        <v>1440</v>
      </c>
      <c r="E20" s="347" t="s">
        <v>1422</v>
      </c>
      <c r="F20" s="367">
        <f>'数据-取费表'!B37</f>
        <v>0.03</v>
      </c>
      <c r="G20" s="1855"/>
      <c r="H20" s="1203" t="s">
        <v>1389</v>
      </c>
      <c r="I20" s="164" t="s">
        <v>1441</v>
      </c>
      <c r="J20" s="25">
        <f ca="1">ROUND(M20*M21,0)</f>
        <v>93</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7948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13831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-12492</v>
      </c>
      <c r="K25" s="1347" t="s">
        <v>1464</v>
      </c>
      <c r="L25" s="1348"/>
      <c r="M25" s="1349"/>
    </row>
    <row r="26" spans="1:37" ht="18" customHeight="1">
      <c r="A26" s="1203" t="s">
        <v>1034</v>
      </c>
      <c r="B26" s="347" t="s">
        <v>1465</v>
      </c>
      <c r="C26" s="24">
        <f ca="1">ROUND((C19+C20)*F26,0)</f>
        <v>78100</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529851</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54344</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40633</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12319</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28221</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93</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ROUND(C29*F36,0)</f>
        <v>7948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ROUND(C13*F37,0)</f>
        <v>1060</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4703.3999999999996</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180828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2625101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ROUND(C40/F43,0)</f>
        <v>23865</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-3403335</v>
      </c>
      <c r="D45" s="1941" t="s">
        <v>1604</v>
      </c>
      <c r="E45" s="1867"/>
      <c r="F45" s="1867"/>
      <c r="O45" s="1870" t="s">
        <v>1519</v>
      </c>
      <c r="P45" s="1840"/>
      <c r="Q45" s="1840"/>
      <c r="R45" s="1840"/>
    </row>
    <row r="46" spans="1:18" s="1843" customFormat="1" ht="13.5" thickBot="1">
      <c r="A46" s="1871" t="s">
        <v>1520</v>
      </c>
      <c r="C46" s="1872">
        <f ca="1">ROUND(C45/10000,0)</f>
        <v>-340</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t="s">
        <v>3257</v>
      </c>
      <c r="K47" s="1883" t="s">
        <v>1527</v>
      </c>
      <c r="L47" s="1884">
        <f ca="1">INDIRECT("'数据-取费表'!d"&amp;$G$1)</f>
        <v>40</v>
      </c>
      <c r="M47" s="1839" t="str">
        <f>IF(ISNUMBER(FIND("住宅",C1)),"住宅","非住宅")</f>
        <v>非住宅</v>
      </c>
      <c r="O47" s="1885" t="s">
        <v>1040</v>
      </c>
      <c r="P47" s="1886" t="s">
        <v>1528</v>
      </c>
      <c r="Q47" s="1887">
        <f ca="1">C40+J29</f>
        <v>2625101</v>
      </c>
      <c r="R47" s="1887" t="s">
        <v>1529</v>
      </c>
    </row>
    <row r="48" spans="1:18" s="1843" customFormat="1" ht="28.5" thickBot="1">
      <c r="A48" s="1362" t="s">
        <v>1135</v>
      </c>
      <c r="B48" s="345" t="s">
        <v>1401</v>
      </c>
      <c r="C48" s="1818">
        <f ca="1">C49+C53+C55</f>
        <v>0</v>
      </c>
      <c r="D48" s="1364"/>
      <c r="E48" s="1365"/>
      <c r="F48" s="1183"/>
      <c r="G48" s="791"/>
      <c r="H48" s="792"/>
      <c r="I48" s="1888" t="s">
        <v>1530</v>
      </c>
      <c r="J48" s="1889" t="s">
        <v>3270</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529851</v>
      </c>
      <c r="R49" s="1887" t="s">
        <v>1529</v>
      </c>
    </row>
    <row r="50" spans="1:18" s="1843" customFormat="1" ht="13.5" thickBot="1">
      <c r="A50" s="1197"/>
      <c r="B50" s="1200"/>
      <c r="C50" s="1201"/>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2096930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f ca="1">J53</f>
        <v>35.15</v>
      </c>
      <c r="R52" s="1887" t="s">
        <v>1546</v>
      </c>
    </row>
    <row r="53" spans="1:18" s="1843" customFormat="1" ht="30.75" customHeight="1" thickBot="1">
      <c r="A53" s="1363" t="s">
        <v>1137</v>
      </c>
      <c r="B53" s="369" t="s">
        <v>1409</v>
      </c>
      <c r="C53" s="361">
        <f ca="1">ROUND(IF(F53="押一",C49/12*F11,IF(F53="押二",C49/12*2*F11,IF(F53="押三",C49/12*3*F11,C54*F11))),0)</f>
        <v>0</v>
      </c>
      <c r="D53" s="1825" t="s">
        <v>3043</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2625101</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529851</v>
      </c>
      <c r="D56" s="1915"/>
      <c r="E56" s="1916"/>
      <c r="F56" s="1908"/>
      <c r="I56" s="1917" t="s">
        <v>1554</v>
      </c>
      <c r="J56" s="1918" t="s">
        <v>3061</v>
      </c>
      <c r="K56" s="1888" t="s">
        <v>1555</v>
      </c>
      <c r="L56" s="1891" t="str">
        <f ca="1">IF(L48&lt;J51,"——",L48-J51)</f>
        <v>——</v>
      </c>
      <c r="O56" s="1885" t="s">
        <v>1040</v>
      </c>
      <c r="P56" s="1886" t="s">
        <v>1528</v>
      </c>
      <c r="Q56" s="1887">
        <f ca="1">C40+J29</f>
        <v>2625101</v>
      </c>
      <c r="R56" s="1887" t="s">
        <v>1529</v>
      </c>
    </row>
    <row r="57" spans="1:18" s="1843" customFormat="1" ht="24.75" thickBot="1">
      <c r="A57" s="1919"/>
      <c r="B57" s="1171" t="s">
        <v>1478</v>
      </c>
      <c r="C57" s="282">
        <f ca="1">C29</f>
        <v>529851</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79" t="s">
        <v>1424</v>
      </c>
      <c r="C58" s="361">
        <f ca="1">ROUND(C59+C64+C65+C66,0)</f>
        <v>53608</v>
      </c>
      <c r="D58" s="1181" t="s">
        <v>1425</v>
      </c>
      <c r="E58" s="1182"/>
      <c r="F58" s="1183"/>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44600</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44507</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93</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2625101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7948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1060</v>
      </c>
      <c r="D65" s="1185" t="s">
        <v>1454</v>
      </c>
      <c r="E65" s="1171" t="s">
        <v>1455</v>
      </c>
      <c r="F65" s="376">
        <f t="shared" ca="1" si="0"/>
        <v>2E-3</v>
      </c>
      <c r="I65" s="1930" t="s">
        <v>1579</v>
      </c>
      <c r="J65" s="1931">
        <v>40</v>
      </c>
      <c r="K65" s="1931">
        <v>30</v>
      </c>
      <c r="L65" s="1931">
        <v>50</v>
      </c>
      <c r="M65" s="1933">
        <v>0.02</v>
      </c>
      <c r="O65" s="1885" t="s">
        <v>1040</v>
      </c>
      <c r="P65" s="1886" t="s">
        <v>1580</v>
      </c>
      <c r="Q65" s="1887">
        <f ca="1">C40+J29</f>
        <v>2625101</v>
      </c>
      <c r="R65" s="1887" t="s">
        <v>1529</v>
      </c>
    </row>
    <row r="66" spans="1:18" s="1843" customFormat="1" ht="16.5" thickBot="1">
      <c r="A66" s="1203" t="s">
        <v>1504</v>
      </c>
      <c r="B66" s="1171" t="s">
        <v>1439</v>
      </c>
      <c r="C66" s="24">
        <f ca="1">ROUND(C48*F66,0)</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-53608</v>
      </c>
      <c r="D67" s="1184" t="s">
        <v>1464</v>
      </c>
      <c r="E67" s="1189"/>
      <c r="F67" s="1190"/>
      <c r="O67" s="1895" t="s">
        <v>1042</v>
      </c>
      <c r="P67" s="1886" t="s">
        <v>1562</v>
      </c>
      <c r="Q67" s="1934">
        <f ca="1">L51</f>
        <v>2096930</v>
      </c>
      <c r="R67" s="1887" t="s">
        <v>1582</v>
      </c>
    </row>
    <row r="68" spans="1:18" s="1843" customFormat="1" ht="16.5" thickBot="1">
      <c r="A68" s="1168" t="s">
        <v>1032</v>
      </c>
      <c r="B68" s="1169" t="s">
        <v>1485</v>
      </c>
      <c r="C68" s="346">
        <f ca="1">ROUND(C67*(1-((1+F70)/(1+F68))^F69)/(F68-F70),0)</f>
        <v>-778234</v>
      </c>
      <c r="D68" s="1186" t="s">
        <v>1469</v>
      </c>
      <c r="E68" s="1171" t="s">
        <v>1470</v>
      </c>
      <c r="F68" s="357">
        <f ca="1">F40</f>
        <v>0.06</v>
      </c>
      <c r="O68" s="1895" t="s">
        <v>1043</v>
      </c>
      <c r="P68" s="1935" t="s">
        <v>1583</v>
      </c>
      <c r="Q68" s="1887">
        <f ca="1">ROUND(Q69-Q70*Q71,0)</f>
        <v>135791</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180828</v>
      </c>
      <c r="R69" s="1887" t="s">
        <v>1529</v>
      </c>
    </row>
    <row r="70" spans="1:18" s="1843" customFormat="1" ht="13.5" thickBot="1">
      <c r="A70" s="1175"/>
      <c r="B70" s="1176"/>
      <c r="C70" s="355"/>
      <c r="D70" s="1187"/>
      <c r="E70" s="1171" t="s">
        <v>1477</v>
      </c>
      <c r="F70" s="1277">
        <f ca="1">F42</f>
        <v>0</v>
      </c>
      <c r="O70" s="1895" t="s">
        <v>1049</v>
      </c>
      <c r="P70" s="1935" t="s">
        <v>1585</v>
      </c>
      <c r="Q70" s="1887">
        <f ca="1">C13</f>
        <v>529851</v>
      </c>
      <c r="R70" s="1887" t="s">
        <v>1529</v>
      </c>
    </row>
    <row r="71" spans="1:18" s="1843" customFormat="1" ht="13.5" thickBot="1">
      <c r="A71" s="1192" t="s">
        <v>1033</v>
      </c>
      <c r="B71" s="1193" t="s">
        <v>1487</v>
      </c>
      <c r="C71" s="382">
        <f ca="1">ROUND(C68/F71,0)</f>
        <v>-7075</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45037</v>
      </c>
      <c r="D75" s="1843"/>
      <c r="E75" s="1843"/>
      <c r="F75" s="1843"/>
      <c r="K75" s="1869"/>
      <c r="L75" s="1843"/>
      <c r="O75" s="1885" t="s">
        <v>1046</v>
      </c>
      <c r="P75" s="1886" t="s">
        <v>1549</v>
      </c>
      <c r="Q75" s="1887">
        <f ca="1">Q65+Q66</f>
        <v>2625101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0.751</v>
      </c>
    </row>
    <row r="80" spans="1:18">
      <c r="B80" s="386" t="s">
        <v>1511</v>
      </c>
      <c r="C80" s="318">
        <f ca="1">ROUND(C75/C39,3)</f>
        <v>0.249</v>
      </c>
    </row>
    <row r="81" spans="2:3">
      <c r="B81" s="314" t="s">
        <v>1512</v>
      </c>
      <c r="C81" s="282"/>
    </row>
    <row r="82" spans="2:3">
      <c r="B82" s="317" t="s">
        <v>1513</v>
      </c>
      <c r="C82" s="319">
        <f ca="1">1-C83</f>
        <v>0.79800000000000004</v>
      </c>
    </row>
    <row r="83" spans="2:3">
      <c r="B83" s="317" t="s">
        <v>1514</v>
      </c>
      <c r="C83" s="318">
        <f ca="1">ROUND(C13/C40,3)</f>
        <v>0.20200000000000001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2525</v>
      </c>
      <c r="B1" s="2559"/>
      <c r="C1" s="2559"/>
      <c r="D1" s="2559"/>
      <c r="E1" s="2560"/>
    </row>
    <row r="2" spans="1:6" ht="15.75">
      <c r="A2" s="2561" t="s">
        <v>2328</v>
      </c>
      <c r="B2" s="2562">
        <f ca="1">SUMIF(B6:B13,"&lt;&gt;#ref!",B6:B13)</f>
        <v>11232</v>
      </c>
      <c r="C2" s="2563" t="s">
        <v>2518</v>
      </c>
      <c r="D2" s="2564" t="s">
        <v>2519</v>
      </c>
      <c r="E2" s="2565">
        <f>SUM(E6:E13)</f>
        <v>18705.860000000033</v>
      </c>
    </row>
    <row r="3" spans="1:6" ht="15.75">
      <c r="A3" s="2561" t="s">
        <v>1395</v>
      </c>
      <c r="B3" s="2562">
        <f ca="1">ROUND(B2*10000/E2,0)</f>
        <v>6005</v>
      </c>
      <c r="C3" s="2563" t="s">
        <v>2526</v>
      </c>
      <c r="D3" s="2566"/>
      <c r="E3" s="2567"/>
    </row>
    <row r="4" spans="1:6" ht="15.75">
      <c r="A4" s="2568"/>
      <c r="B4" s="2566"/>
      <c r="C4" s="2566"/>
      <c r="D4" s="2566"/>
      <c r="E4" s="2567"/>
    </row>
    <row r="5" spans="1:6" ht="15">
      <c r="A5" s="2569" t="s">
        <v>2520</v>
      </c>
      <c r="B5" s="3253" t="s">
        <v>2521</v>
      </c>
      <c r="C5" s="3253"/>
      <c r="D5" s="2570"/>
      <c r="E5" s="2571" t="s">
        <v>2522</v>
      </c>
      <c r="F5" s="2572" t="s">
        <v>2523</v>
      </c>
    </row>
    <row r="6" spans="1:6">
      <c r="A6" s="2573">
        <f>'数据-取费表'!AN6</f>
        <v>0</v>
      </c>
      <c r="B6" s="2572" t="e">
        <f ca="1">IF(F6="是",'数据-取费表'!AO6,0)</f>
        <v>#REF!</v>
      </c>
      <c r="C6" s="2563" t="s">
        <v>2518</v>
      </c>
      <c r="D6" s="2566"/>
      <c r="E6" s="2574">
        <f>IF(OR(A6=0,F6="否"),0,'数据-取费表'!K6+'数据-取费表'!S6)</f>
        <v>0</v>
      </c>
      <c r="F6" s="2575" t="s">
        <v>2524</v>
      </c>
    </row>
    <row r="7" spans="1:6">
      <c r="A7" s="2573" t="str">
        <f>'数据-取费表'!AN7</f>
        <v>收益法 (元)</v>
      </c>
      <c r="B7" s="2572">
        <f ca="1">IF(F7="是",'数据-取费表'!AO7,0)</f>
        <v>263</v>
      </c>
      <c r="C7" s="2563" t="s">
        <v>2518</v>
      </c>
      <c r="D7" s="2566"/>
      <c r="E7" s="2574">
        <f>IF(OR(A7=0,F7="否"),0,'数据-取费表'!K7+'数据-取费表'!S7)</f>
        <v>113.56</v>
      </c>
      <c r="F7" s="2575" t="s">
        <v>2524</v>
      </c>
    </row>
    <row r="8" spans="1:6">
      <c r="A8" s="2573" t="str">
        <f>'数据-取费表'!AN8</f>
        <v>收益法-车库</v>
      </c>
      <c r="B8" s="2572">
        <f ca="1">IF(F8="是",'数据-取费表'!AO8,0)</f>
        <v>10969</v>
      </c>
      <c r="C8" s="2563" t="s">
        <v>2518</v>
      </c>
      <c r="D8" s="2566"/>
      <c r="E8" s="2574">
        <f>IF(OR(A8=0,F8="否"),0,'数据-取费表'!K8+'数据-取费表'!S8)</f>
        <v>18592.300000000032</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59" t="s">
        <v>1077</v>
      </c>
      <c r="B2" s="3260" t="s">
        <v>1078</v>
      </c>
      <c r="C2" s="3260"/>
      <c r="D2" s="1303" t="s">
        <v>1079</v>
      </c>
      <c r="E2" s="1303" t="s">
        <v>1080</v>
      </c>
      <c r="F2" s="1303" t="s">
        <v>1081</v>
      </c>
      <c r="G2" s="1303" t="s">
        <v>1082</v>
      </c>
      <c r="H2" s="1303" t="s">
        <v>1083</v>
      </c>
      <c r="I2" s="1304" t="s">
        <v>1084</v>
      </c>
    </row>
    <row r="3" spans="1:9">
      <c r="A3" s="3259"/>
      <c r="B3" s="3260" t="s">
        <v>1085</v>
      </c>
      <c r="C3" s="3260"/>
      <c r="D3" s="1305"/>
      <c r="E3" s="1303"/>
      <c r="F3" s="1306"/>
      <c r="G3" s="1306"/>
      <c r="H3" s="1307"/>
      <c r="I3" s="1308">
        <f>ROUND(D3*E3*F3*G3*H3/10000,0)</f>
        <v>0</v>
      </c>
    </row>
    <row r="4" spans="1:9">
      <c r="A4" s="3259"/>
      <c r="B4" s="3260" t="s">
        <v>1086</v>
      </c>
      <c r="C4" s="3260"/>
      <c r="D4" s="1305"/>
      <c r="E4" s="1303"/>
      <c r="F4" s="1306"/>
      <c r="G4" s="1306"/>
      <c r="H4" s="1307"/>
      <c r="I4" s="1308">
        <f t="shared" ref="I4:I9" si="0">ROUND(D4*E4*F4*G4*H4/10000,0)</f>
        <v>0</v>
      </c>
    </row>
    <row r="5" spans="1:9">
      <c r="A5" s="3259"/>
      <c r="B5" s="3260" t="s">
        <v>1087</v>
      </c>
      <c r="C5" s="3260"/>
      <c r="D5" s="1305"/>
      <c r="E5" s="1303"/>
      <c r="F5" s="1306"/>
      <c r="G5" s="1306"/>
      <c r="H5" s="1307"/>
      <c r="I5" s="1308">
        <f t="shared" si="0"/>
        <v>0</v>
      </c>
    </row>
    <row r="6" spans="1:9">
      <c r="A6" s="3259"/>
      <c r="B6" s="3260" t="s">
        <v>1088</v>
      </c>
      <c r="C6" s="3260"/>
      <c r="D6" s="1305"/>
      <c r="E6" s="1303"/>
      <c r="F6" s="1306"/>
      <c r="G6" s="1306"/>
      <c r="H6" s="1307"/>
      <c r="I6" s="1308">
        <f t="shared" si="0"/>
        <v>0</v>
      </c>
    </row>
    <row r="7" spans="1:9">
      <c r="A7" s="3259"/>
      <c r="B7" s="3260" t="s">
        <v>1089</v>
      </c>
      <c r="C7" s="3260"/>
      <c r="D7" s="1305"/>
      <c r="E7" s="1303"/>
      <c r="F7" s="1306"/>
      <c r="G7" s="1306"/>
      <c r="H7" s="1307"/>
      <c r="I7" s="1308">
        <f t="shared" si="0"/>
        <v>0</v>
      </c>
    </row>
    <row r="8" spans="1:9">
      <c r="A8" s="3259"/>
      <c r="B8" s="3260" t="s">
        <v>1090</v>
      </c>
      <c r="C8" s="3260"/>
      <c r="D8" s="1305"/>
      <c r="E8" s="1303"/>
      <c r="F8" s="1306"/>
      <c r="G8" s="1306"/>
      <c r="H8" s="1307"/>
      <c r="I8" s="1308">
        <f t="shared" si="0"/>
        <v>0</v>
      </c>
    </row>
    <row r="9" spans="1:9">
      <c r="A9" s="3259"/>
      <c r="B9" s="3260" t="s">
        <v>1091</v>
      </c>
      <c r="C9" s="3260"/>
      <c r="D9" s="1305"/>
      <c r="E9" s="1303"/>
      <c r="F9" s="1306"/>
      <c r="G9" s="1306"/>
      <c r="H9" s="1307"/>
      <c r="I9" s="1308">
        <f t="shared" si="0"/>
        <v>0</v>
      </c>
    </row>
    <row r="10" spans="1:9">
      <c r="A10" s="3259"/>
      <c r="B10" s="3261" t="s">
        <v>1092</v>
      </c>
      <c r="C10" s="3261"/>
      <c r="D10" s="1309"/>
      <c r="E10" s="1309" t="e">
        <f>ROUND(D1*10000/D10/H9,0)</f>
        <v>#DIV/0!</v>
      </c>
      <c r="F10" s="1310"/>
      <c r="G10" s="1310"/>
      <c r="H10" s="1311"/>
      <c r="I10" s="1312">
        <f>SUM(I3:I9)</f>
        <v>0</v>
      </c>
    </row>
    <row r="11" spans="1:9" ht="14.25">
      <c r="A11" s="3259" t="s">
        <v>1093</v>
      </c>
      <c r="B11" s="3260" t="s">
        <v>1094</v>
      </c>
      <c r="C11" s="3260"/>
      <c r="D11" s="1305" t="s">
        <v>1095</v>
      </c>
      <c r="E11" s="1305" t="s">
        <v>1096</v>
      </c>
      <c r="F11" s="1306" t="s">
        <v>1097</v>
      </c>
      <c r="G11" s="1306" t="s">
        <v>1083</v>
      </c>
      <c r="H11" s="1313" t="s">
        <v>1098</v>
      </c>
      <c r="I11" s="1304" t="s">
        <v>1084</v>
      </c>
    </row>
    <row r="12" spans="1:9">
      <c r="A12" s="3259"/>
      <c r="B12" s="3260" t="s">
        <v>1099</v>
      </c>
      <c r="C12" s="3260"/>
      <c r="D12" s="1305"/>
      <c r="E12" s="1305"/>
      <c r="F12" s="1306"/>
      <c r="G12" s="1307"/>
      <c r="H12" s="1314"/>
      <c r="I12" s="1304">
        <f>ROUND(D12*E12*F12*G12/10000,0)</f>
        <v>0</v>
      </c>
    </row>
    <row r="13" spans="1:9">
      <c r="A13" s="3259"/>
      <c r="B13" s="3260" t="s">
        <v>1100</v>
      </c>
      <c r="C13" s="3260"/>
      <c r="D13" s="1305"/>
      <c r="E13" s="1305"/>
      <c r="F13" s="1306"/>
      <c r="G13" s="1307"/>
      <c r="H13" s="1314"/>
      <c r="I13" s="1304">
        <f>ROUND(D13*E13*F13*G13/10000,0)</f>
        <v>0</v>
      </c>
    </row>
    <row r="14" spans="1:9">
      <c r="A14" s="3259"/>
      <c r="B14" s="3260" t="s">
        <v>1101</v>
      </c>
      <c r="C14" s="3260"/>
      <c r="D14" s="1305"/>
      <c r="E14" s="1305"/>
      <c r="F14" s="1306"/>
      <c r="G14" s="1307"/>
      <c r="H14" s="1314"/>
      <c r="I14" s="1304">
        <f>ROUND(D14*E14*F14*G14/10000,0)</f>
        <v>0</v>
      </c>
    </row>
    <row r="15" spans="1:9">
      <c r="A15" s="3259"/>
      <c r="B15" s="3261" t="s">
        <v>1092</v>
      </c>
      <c r="C15" s="3261"/>
      <c r="D15" s="1309"/>
      <c r="E15" s="1309">
        <f>SUM(E12:E14)</f>
        <v>0</v>
      </c>
      <c r="F15" s="1310"/>
      <c r="G15" s="1307"/>
      <c r="H15" s="1314"/>
      <c r="I15" s="1315">
        <f>SUM(I12:I14)</f>
        <v>0</v>
      </c>
    </row>
    <row r="16" spans="1:9" ht="24">
      <c r="A16" s="3259" t="s">
        <v>1102</v>
      </c>
      <c r="B16" s="3260" t="s">
        <v>1103</v>
      </c>
      <c r="C16" s="3260"/>
      <c r="D16" s="1305" t="s">
        <v>1079</v>
      </c>
      <c r="E16" s="1316" t="s">
        <v>1104</v>
      </c>
      <c r="F16" s="1306" t="s">
        <v>1105</v>
      </c>
      <c r="G16" s="1307" t="s">
        <v>1083</v>
      </c>
      <c r="H16" s="1313" t="s">
        <v>1098</v>
      </c>
      <c r="I16" s="1304" t="s">
        <v>1084</v>
      </c>
    </row>
    <row r="17" spans="1:9" ht="14.25">
      <c r="A17" s="3259"/>
      <c r="B17" s="3260" t="s">
        <v>1106</v>
      </c>
      <c r="C17" s="3260"/>
      <c r="D17" s="1305"/>
      <c r="E17" s="1305"/>
      <c r="F17" s="1306"/>
      <c r="G17" s="1307"/>
      <c r="H17" s="1317"/>
      <c r="I17" s="1318">
        <f>ROUND(D17*E17*F17*G17/10000,0)</f>
        <v>0</v>
      </c>
    </row>
    <row r="18" spans="1:9" ht="14.25">
      <c r="A18" s="3259"/>
      <c r="B18" s="3260" t="s">
        <v>1107</v>
      </c>
      <c r="C18" s="3260"/>
      <c r="D18" s="1305"/>
      <c r="E18" s="1305"/>
      <c r="F18" s="1306"/>
      <c r="G18" s="1307"/>
      <c r="H18" s="1317"/>
      <c r="I18" s="1318">
        <f>ROUND(D18*E18*F18*G18/10000,0)</f>
        <v>0</v>
      </c>
    </row>
    <row r="19" spans="1:9" ht="14.25">
      <c r="A19" s="3259"/>
      <c r="B19" s="3260" t="s">
        <v>1108</v>
      </c>
      <c r="C19" s="3260"/>
      <c r="D19" s="1305"/>
      <c r="E19" s="1305"/>
      <c r="F19" s="1306"/>
      <c r="G19" s="1307"/>
      <c r="H19" s="1317"/>
      <c r="I19" s="1318">
        <f>ROUND(D19*E19*F19*G19/10000,0)</f>
        <v>0</v>
      </c>
    </row>
    <row r="20" spans="1:9">
      <c r="A20" s="3259"/>
      <c r="B20" s="3261" t="s">
        <v>1092</v>
      </c>
      <c r="C20" s="3261"/>
      <c r="D20" s="1309">
        <f>SUM(D17:D19)</f>
        <v>0</v>
      </c>
      <c r="E20" s="1309"/>
      <c r="F20" s="1310"/>
      <c r="G20" s="1307"/>
      <c r="H20" s="1314"/>
      <c r="I20" s="1315">
        <f>SUM(I17:I19)</f>
        <v>0</v>
      </c>
    </row>
    <row r="21" spans="1:9">
      <c r="A21" s="3259" t="s">
        <v>1109</v>
      </c>
      <c r="B21" s="3263"/>
      <c r="C21" s="3263"/>
      <c r="D21" s="3263"/>
      <c r="E21" s="3263"/>
      <c r="F21" s="3263"/>
      <c r="G21" s="3263"/>
      <c r="H21" s="1766">
        <v>0.1</v>
      </c>
      <c r="I21" s="1312">
        <f>ROUND(I10*H21,0)</f>
        <v>0</v>
      </c>
    </row>
    <row r="22" spans="1:9" ht="14.25">
      <c r="A22" s="3264" t="s">
        <v>1110</v>
      </c>
      <c r="B22" s="3265"/>
      <c r="C22" s="3266"/>
      <c r="D22" s="1319" t="s">
        <v>1111</v>
      </c>
      <c r="E22" s="1319" t="s">
        <v>1112</v>
      </c>
      <c r="F22" s="1320" t="s">
        <v>1113</v>
      </c>
      <c r="G22" s="1320" t="s">
        <v>1114</v>
      </c>
      <c r="H22" s="1313" t="s">
        <v>1115</v>
      </c>
      <c r="I22" s="1304" t="s">
        <v>1116</v>
      </c>
    </row>
    <row r="23" spans="1:9" ht="14.25" thickBot="1">
      <c r="A23" s="3267"/>
      <c r="B23" s="3268"/>
      <c r="C23" s="3269"/>
      <c r="D23" s="1321"/>
      <c r="E23" s="1321"/>
      <c r="F23" s="1321"/>
      <c r="G23" s="1322"/>
      <c r="H23" s="1323"/>
      <c r="I23" s="1324">
        <f>ROUND(E23*D23*F23*(1-G23)/10000,0)</f>
        <v>0</v>
      </c>
    </row>
    <row r="26" spans="1:9">
      <c r="A26" s="1325" t="s">
        <v>1117</v>
      </c>
      <c r="B26" s="1325"/>
      <c r="C26" s="1325"/>
      <c r="D26" s="1325"/>
      <c r="E26" s="3270">
        <f>C27-C30-C31-C32</f>
        <v>0</v>
      </c>
      <c r="F26" s="3270"/>
      <c r="G26" s="3270"/>
      <c r="H26" s="1738" t="s">
        <v>1340</v>
      </c>
    </row>
    <row r="27" spans="1:9">
      <c r="A27" s="1326">
        <v>1</v>
      </c>
      <c r="B27" s="1327" t="s">
        <v>1118</v>
      </c>
      <c r="C27" s="1327">
        <f>C28+C29</f>
        <v>0</v>
      </c>
      <c r="D27" s="1327"/>
      <c r="E27" s="3271"/>
      <c r="F27" s="3271"/>
      <c r="G27" s="3271"/>
    </row>
    <row r="28" spans="1:9">
      <c r="A28" s="1328" t="s">
        <v>1119</v>
      </c>
      <c r="B28" s="1327" t="s">
        <v>1120</v>
      </c>
      <c r="C28" s="1327"/>
      <c r="D28" s="1327"/>
      <c r="E28" s="3271"/>
      <c r="F28" s="3271"/>
      <c r="G28" s="327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62"/>
      <c r="F32" s="3262"/>
      <c r="G32" s="3262"/>
    </row>
    <row r="33" spans="1:7" hidden="1">
      <c r="A33" s="3272" t="s">
        <v>1129</v>
      </c>
      <c r="B33" s="3273"/>
      <c r="C33" s="3273"/>
      <c r="D33" s="3274"/>
      <c r="E33" s="3270"/>
      <c r="F33" s="3270"/>
      <c r="G33" s="3270"/>
    </row>
    <row r="34" spans="1:7" hidden="1">
      <c r="A34" s="1330">
        <v>1</v>
      </c>
      <c r="B34" s="1327" t="s">
        <v>1130</v>
      </c>
      <c r="C34" s="1327"/>
      <c r="D34" s="1327"/>
      <c r="E34" s="3271"/>
      <c r="F34" s="3271"/>
      <c r="G34" s="3271"/>
    </row>
    <row r="35" spans="1:7" hidden="1">
      <c r="A35" s="1330">
        <v>2</v>
      </c>
      <c r="B35" s="1327" t="s">
        <v>1131</v>
      </c>
      <c r="C35" s="1327"/>
      <c r="D35" s="1327"/>
      <c r="E35" s="3271"/>
      <c r="F35" s="3271"/>
      <c r="G35" s="3271"/>
    </row>
    <row r="36" spans="1:7" hidden="1">
      <c r="A36" s="1330">
        <v>3</v>
      </c>
      <c r="B36" s="1327" t="s">
        <v>1132</v>
      </c>
      <c r="C36" s="1327"/>
      <c r="D36" s="1327"/>
      <c r="E36" s="3271"/>
      <c r="F36" s="3271"/>
      <c r="G36" s="3271"/>
    </row>
    <row r="37" spans="1:7" hidden="1">
      <c r="A37" s="1330">
        <v>4</v>
      </c>
      <c r="B37" s="1327" t="s">
        <v>1133</v>
      </c>
      <c r="C37" s="1327"/>
      <c r="D37" s="1327"/>
      <c r="E37" s="3271"/>
      <c r="F37" s="3271"/>
      <c r="G37" s="3271"/>
    </row>
    <row r="38" spans="1:7" hidden="1">
      <c r="A38" s="3272" t="s">
        <v>1134</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2641</v>
      </c>
      <c r="C1" s="1635" t="s">
        <v>2529</v>
      </c>
      <c r="D1" s="1622"/>
      <c r="E1" s="2654"/>
      <c r="F1" s="2581"/>
      <c r="G1" s="1632" t="s">
        <v>2642</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2328</v>
      </c>
      <c r="B2" s="1420" t="e">
        <f ca="1">IF(C2="——",ROUND(C49*D3/10000,0),ROUND(C49*D3/10000,0)-D2)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2330</v>
      </c>
      <c r="B3" s="609" t="e">
        <f ca="1">IF(C2="——",C49,ROUND(B2*10000/D3,0))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225"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225"/>
      <c r="AC5" s="3196"/>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225"/>
      <c r="AC6" s="3197"/>
    </row>
    <row r="7" spans="1:29" s="117" customFormat="1" ht="15.75" thickBot="1">
      <c r="A7" s="408" t="s">
        <v>2547</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8" t="s">
        <v>2548</v>
      </c>
      <c r="Q7" s="3226"/>
      <c r="R7" s="769" t="s">
        <v>17</v>
      </c>
      <c r="S7" s="770">
        <f t="shared" ref="S7:S15" si="0">F7</f>
        <v>0</v>
      </c>
      <c r="T7" s="769" t="s">
        <v>17</v>
      </c>
      <c r="U7" s="770">
        <f t="shared" ref="U7:U15" si="1">H7</f>
        <v>0</v>
      </c>
      <c r="V7" s="769" t="s">
        <v>17</v>
      </c>
      <c r="W7" s="770">
        <f t="shared" ref="W7:W15" si="2">J7</f>
        <v>0</v>
      </c>
      <c r="X7" s="771"/>
      <c r="Y7" s="3198" t="s">
        <v>2548</v>
      </c>
      <c r="Z7" s="3199"/>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36"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36"/>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36"/>
      <c r="Q11" s="1796" t="str">
        <f t="shared" si="6"/>
        <v>容积率</v>
      </c>
      <c r="R11" s="769" t="s">
        <v>17</v>
      </c>
      <c r="S11" s="770">
        <f t="shared" si="0"/>
        <v>100</v>
      </c>
      <c r="T11" s="769" t="s">
        <v>17</v>
      </c>
      <c r="U11" s="770">
        <f t="shared" si="1"/>
        <v>100</v>
      </c>
      <c r="V11" s="769" t="s">
        <v>17</v>
      </c>
      <c r="W11" s="770">
        <f t="shared" si="2"/>
        <v>100</v>
      </c>
      <c r="X11" s="771"/>
      <c r="Y11" s="3072"/>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6"/>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6"/>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6"/>
      <c r="Q14" s="1796">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85.5">
      <c r="A15" s="440" t="s">
        <v>2558</v>
      </c>
      <c r="B15" s="69" t="s">
        <v>2652</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6" t="s">
        <v>2559</v>
      </c>
      <c r="Q15" s="1811" t="str">
        <f t="shared" si="6"/>
        <v>商业繁华度</v>
      </c>
      <c r="R15" s="773" t="s">
        <v>17</v>
      </c>
      <c r="S15" s="774">
        <f t="shared" si="0"/>
        <v>100</v>
      </c>
      <c r="T15" s="773" t="s">
        <v>17</v>
      </c>
      <c r="U15" s="774">
        <f t="shared" si="1"/>
        <v>100</v>
      </c>
      <c r="V15" s="773" t="s">
        <v>17</v>
      </c>
      <c r="W15" s="774">
        <f t="shared" si="2"/>
        <v>100</v>
      </c>
      <c r="X15" s="1814"/>
      <c r="Y15" s="3227"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47"/>
      <c r="Q16" s="1811"/>
      <c r="R16" s="773"/>
      <c r="S16" s="774"/>
      <c r="T16" s="773"/>
      <c r="U16" s="774"/>
      <c r="V16" s="773"/>
      <c r="W16" s="774"/>
      <c r="X16" s="1814"/>
      <c r="Y16" s="3228"/>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7"/>
      <c r="Q17" s="1811" t="str">
        <f>B17</f>
        <v>交通便捷度</v>
      </c>
      <c r="R17" s="773" t="s">
        <v>17</v>
      </c>
      <c r="S17" s="774">
        <f>F17</f>
        <v>100</v>
      </c>
      <c r="T17" s="773" t="s">
        <v>17</v>
      </c>
      <c r="U17" s="774">
        <f>H17</f>
        <v>100</v>
      </c>
      <c r="V17" s="773" t="s">
        <v>17</v>
      </c>
      <c r="W17" s="774">
        <f>J17</f>
        <v>100</v>
      </c>
      <c r="X17" s="1814"/>
      <c r="Y17" s="3228"/>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47"/>
      <c r="Q18" s="1811"/>
      <c r="R18" s="773"/>
      <c r="S18" s="774"/>
      <c r="T18" s="773"/>
      <c r="U18" s="774"/>
      <c r="V18" s="773"/>
      <c r="W18" s="774"/>
      <c r="X18" s="1814"/>
      <c r="Y18" s="3228"/>
      <c r="Z18" s="1815"/>
      <c r="AA18" s="1812">
        <v>1</v>
      </c>
      <c r="AB18" s="1812">
        <v>1</v>
      </c>
      <c r="AC18" s="1812">
        <v>1</v>
      </c>
    </row>
    <row r="19" spans="1:29" ht="42.75">
      <c r="A19" s="428"/>
      <c r="B19" s="451" t="s">
        <v>2653</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7"/>
      <c r="Q19" s="1811" t="str">
        <f>B19</f>
        <v>公共配套设施</v>
      </c>
      <c r="R19" s="773" t="s">
        <v>17</v>
      </c>
      <c r="S19" s="774">
        <f>F19</f>
        <v>100</v>
      </c>
      <c r="T19" s="773" t="s">
        <v>17</v>
      </c>
      <c r="U19" s="774">
        <f>H19</f>
        <v>100</v>
      </c>
      <c r="V19" s="773" t="s">
        <v>17</v>
      </c>
      <c r="W19" s="774">
        <f>J19</f>
        <v>100</v>
      </c>
      <c r="X19" s="1814"/>
      <c r="Y19" s="3228"/>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47"/>
      <c r="Q20" s="1811"/>
      <c r="R20" s="773"/>
      <c r="S20" s="774"/>
      <c r="T20" s="773"/>
      <c r="U20" s="774"/>
      <c r="V20" s="773"/>
      <c r="W20" s="774"/>
      <c r="X20" s="1814"/>
      <c r="Y20" s="3228"/>
      <c r="Z20" s="1815"/>
      <c r="AA20" s="1812">
        <v>1</v>
      </c>
      <c r="AB20" s="1812">
        <v>1</v>
      </c>
      <c r="AC20" s="1812">
        <v>1</v>
      </c>
    </row>
    <row r="21" spans="1:29" ht="42.75">
      <c r="A21" s="428"/>
      <c r="B21" s="1386" t="s">
        <v>2654</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7"/>
      <c r="Q21" s="1811" t="str">
        <f>B21</f>
        <v>基础设施水平</v>
      </c>
      <c r="R21" s="773" t="s">
        <v>17</v>
      </c>
      <c r="S21" s="774">
        <f>F21</f>
        <v>100</v>
      </c>
      <c r="T21" s="773" t="s">
        <v>17</v>
      </c>
      <c r="U21" s="774">
        <f>H21</f>
        <v>100</v>
      </c>
      <c r="V21" s="773" t="s">
        <v>17</v>
      </c>
      <c r="W21" s="774">
        <f>J21</f>
        <v>100</v>
      </c>
      <c r="X21" s="1814"/>
      <c r="Y21" s="3228"/>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33"/>
      <c r="P22" s="3247"/>
      <c r="Q22" s="1811"/>
      <c r="R22" s="773"/>
      <c r="S22" s="774"/>
      <c r="T22" s="773"/>
      <c r="U22" s="774"/>
      <c r="V22" s="773"/>
      <c r="W22" s="774"/>
      <c r="X22" s="1814"/>
      <c r="Y22" s="3228"/>
      <c r="Z22" s="1815"/>
      <c r="AA22" s="1812">
        <v>1</v>
      </c>
      <c r="AB22" s="1812">
        <v>1</v>
      </c>
      <c r="AC22" s="1812">
        <v>1</v>
      </c>
    </row>
    <row r="23" spans="1:29" ht="99.75">
      <c r="A23" s="428"/>
      <c r="B23" s="451" t="s">
        <v>2102</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7"/>
      <c r="Q23" s="1811" t="str">
        <f>B23</f>
        <v>自然及人文环境</v>
      </c>
      <c r="R23" s="773" t="s">
        <v>17</v>
      </c>
      <c r="S23" s="774">
        <f>F23</f>
        <v>100</v>
      </c>
      <c r="T23" s="773" t="s">
        <v>17</v>
      </c>
      <c r="U23" s="774">
        <f>H23</f>
        <v>100</v>
      </c>
      <c r="V23" s="773" t="s">
        <v>17</v>
      </c>
      <c r="W23" s="774">
        <f>J23</f>
        <v>100</v>
      </c>
      <c r="X23" s="1814"/>
      <c r="Y23" s="3228"/>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47"/>
      <c r="Q24" s="1811"/>
      <c r="R24" s="773"/>
      <c r="S24" s="774"/>
      <c r="T24" s="773"/>
      <c r="U24" s="774"/>
      <c r="V24" s="773"/>
      <c r="W24" s="774"/>
      <c r="X24" s="1814"/>
      <c r="Y24" s="3228"/>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7"/>
      <c r="Q25" s="1811" t="str">
        <f t="shared" ref="Q25:Q46" si="8">B25</f>
        <v>临街状况</v>
      </c>
      <c r="R25" s="773" t="s">
        <v>17</v>
      </c>
      <c r="S25" s="774">
        <f>F25</f>
        <v>100</v>
      </c>
      <c r="T25" s="773" t="s">
        <v>17</v>
      </c>
      <c r="U25" s="774">
        <f>H25</f>
        <v>100</v>
      </c>
      <c r="V25" s="773" t="s">
        <v>17</v>
      </c>
      <c r="W25" s="774">
        <f>J25</f>
        <v>100</v>
      </c>
      <c r="X25" s="1814"/>
      <c r="Y25" s="3228"/>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7"/>
      <c r="Q26" s="1811" t="str">
        <f t="shared" si="8"/>
        <v>平面位置/可视性</v>
      </c>
      <c r="R26" s="773" t="s">
        <v>17</v>
      </c>
      <c r="S26" s="774">
        <f>F26</f>
        <v>100</v>
      </c>
      <c r="T26" s="773" t="s">
        <v>17</v>
      </c>
      <c r="U26" s="774">
        <f>H26</f>
        <v>100</v>
      </c>
      <c r="V26" s="773" t="s">
        <v>17</v>
      </c>
      <c r="W26" s="774">
        <f>J26</f>
        <v>100</v>
      </c>
      <c r="X26" s="1814"/>
      <c r="Y26" s="3228"/>
      <c r="Z26" s="1815" t="str">
        <f>Q26</f>
        <v>平面位置/可视性</v>
      </c>
      <c r="AA26" s="1812">
        <f t="shared" si="3"/>
        <v>1</v>
      </c>
      <c r="AB26" s="1812">
        <f t="shared" si="4"/>
        <v>1</v>
      </c>
      <c r="AC26" s="1812">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47"/>
      <c r="Q27" s="1796" t="str">
        <f t="shared" si="8"/>
        <v>人流量</v>
      </c>
      <c r="R27" s="769" t="s">
        <v>17</v>
      </c>
      <c r="S27" s="770">
        <f>F27</f>
        <v>100</v>
      </c>
      <c r="T27" s="769" t="s">
        <v>17</v>
      </c>
      <c r="U27" s="770">
        <f>H27</f>
        <v>100</v>
      </c>
      <c r="V27" s="769" t="s">
        <v>17</v>
      </c>
      <c r="W27" s="770">
        <f>J27</f>
        <v>100</v>
      </c>
      <c r="X27" s="771"/>
      <c r="Y27" s="3228"/>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7"/>
      <c r="Q28" s="1811" t="str">
        <f t="shared" si="8"/>
        <v>楼层</v>
      </c>
      <c r="R28" s="773" t="s">
        <v>17</v>
      </c>
      <c r="S28" s="774">
        <f t="shared" ref="S28:S46" si="9">F28</f>
        <v>100</v>
      </c>
      <c r="T28" s="773" t="s">
        <v>17</v>
      </c>
      <c r="U28" s="774">
        <f t="shared" ref="U28:U46" si="10">H28</f>
        <v>100</v>
      </c>
      <c r="V28" s="773" t="s">
        <v>17</v>
      </c>
      <c r="W28" s="774">
        <f t="shared" ref="W28:W46" si="11">J28</f>
        <v>100</v>
      </c>
      <c r="X28" s="1814"/>
      <c r="Y28" s="3228"/>
      <c r="Z28" s="1815" t="str">
        <f t="shared" ref="Z28:Z46" si="12">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7"/>
      <c r="Q29" s="1811">
        <f t="shared" si="8"/>
        <v>111</v>
      </c>
      <c r="R29" s="773" t="s">
        <v>17</v>
      </c>
      <c r="S29" s="774">
        <f t="shared" si="9"/>
        <v>100</v>
      </c>
      <c r="T29" s="773" t="s">
        <v>17</v>
      </c>
      <c r="U29" s="774">
        <f t="shared" si="10"/>
        <v>100</v>
      </c>
      <c r="V29" s="773" t="s">
        <v>17</v>
      </c>
      <c r="W29" s="774">
        <f t="shared" si="11"/>
        <v>100</v>
      </c>
      <c r="X29" s="1814"/>
      <c r="Y29" s="3228"/>
      <c r="Z29" s="1815">
        <f t="shared" si="12"/>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7"/>
      <c r="Q30" s="1811">
        <f t="shared" si="8"/>
        <v>111</v>
      </c>
      <c r="R30" s="773" t="s">
        <v>17</v>
      </c>
      <c r="S30" s="774">
        <f t="shared" si="9"/>
        <v>100</v>
      </c>
      <c r="T30" s="773" t="s">
        <v>17</v>
      </c>
      <c r="U30" s="774">
        <f t="shared" si="10"/>
        <v>100</v>
      </c>
      <c r="V30" s="773" t="s">
        <v>17</v>
      </c>
      <c r="W30" s="774">
        <f t="shared" si="11"/>
        <v>100</v>
      </c>
      <c r="X30" s="1814"/>
      <c r="Y30" s="3228"/>
      <c r="Z30" s="1815">
        <f t="shared" si="12"/>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7"/>
      <c r="Q31" s="1811">
        <f t="shared" si="8"/>
        <v>111</v>
      </c>
      <c r="R31" s="773" t="s">
        <v>17</v>
      </c>
      <c r="S31" s="774">
        <f t="shared" si="9"/>
        <v>100</v>
      </c>
      <c r="T31" s="773" t="s">
        <v>17</v>
      </c>
      <c r="U31" s="774">
        <f t="shared" si="10"/>
        <v>100</v>
      </c>
      <c r="V31" s="773" t="s">
        <v>17</v>
      </c>
      <c r="W31" s="774">
        <f t="shared" si="11"/>
        <v>100</v>
      </c>
      <c r="X31" s="1814"/>
      <c r="Y31" s="3228"/>
      <c r="Z31" s="1815">
        <f t="shared" si="12"/>
        <v>111</v>
      </c>
      <c r="AA31" s="1812">
        <f t="shared" si="3"/>
        <v>1</v>
      </c>
      <c r="AB31" s="1812">
        <f t="shared" si="4"/>
        <v>1</v>
      </c>
      <c r="AC31" s="1812">
        <f t="shared" si="5"/>
        <v>1</v>
      </c>
    </row>
    <row r="32" spans="1:29" ht="15">
      <c r="A32" s="440" t="s">
        <v>2562</v>
      </c>
      <c r="B32" s="71" t="s">
        <v>2659</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42" t="s">
        <v>2564</v>
      </c>
      <c r="Q32" s="1811" t="str">
        <f t="shared" si="8"/>
        <v>商业类型</v>
      </c>
      <c r="R32" s="773" t="s">
        <v>17</v>
      </c>
      <c r="S32" s="774">
        <f t="shared" si="9"/>
        <v>100</v>
      </c>
      <c r="T32" s="773" t="s">
        <v>17</v>
      </c>
      <c r="U32" s="774">
        <f t="shared" si="10"/>
        <v>100</v>
      </c>
      <c r="V32" s="773" t="s">
        <v>17</v>
      </c>
      <c r="W32" s="774">
        <f t="shared" si="11"/>
        <v>100</v>
      </c>
      <c r="X32" s="1814"/>
      <c r="Y32" s="3230" t="s">
        <v>2564</v>
      </c>
      <c r="Z32" s="1815" t="str">
        <f t="shared" si="12"/>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3"/>
      <c r="Q33" s="775" t="str">
        <f t="shared" si="8"/>
        <v>项目建筑规模</v>
      </c>
      <c r="R33" s="776" t="s">
        <v>17</v>
      </c>
      <c r="S33" s="777" t="e">
        <f t="shared" si="9"/>
        <v>#N/A</v>
      </c>
      <c r="T33" s="776" t="s">
        <v>17</v>
      </c>
      <c r="U33" s="777" t="e">
        <f t="shared" si="10"/>
        <v>#N/A</v>
      </c>
      <c r="V33" s="776" t="s">
        <v>17</v>
      </c>
      <c r="W33" s="777" t="e">
        <f t="shared" si="11"/>
        <v>#N/A</v>
      </c>
      <c r="X33" s="778"/>
      <c r="Y33" s="3230"/>
      <c r="Z33" s="779" t="str">
        <f t="shared" si="12"/>
        <v>项目建筑规模</v>
      </c>
      <c r="AA33" s="1812" t="e">
        <f t="shared" si="3"/>
        <v>#N/A</v>
      </c>
      <c r="AB33" s="1812" t="e">
        <f t="shared" si="4"/>
        <v>#N/A</v>
      </c>
      <c r="AC33" s="1812" t="e">
        <f t="shared" si="5"/>
        <v>#N/A</v>
      </c>
    </row>
    <row r="34" spans="1:29" ht="15">
      <c r="A34" s="472"/>
      <c r="B34" s="422" t="s">
        <v>2566</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43"/>
      <c r="Q34" s="1811" t="str">
        <f t="shared" si="8"/>
        <v>建筑结构</v>
      </c>
      <c r="R34" s="773" t="s">
        <v>17</v>
      </c>
      <c r="S34" s="774">
        <f t="shared" si="9"/>
        <v>100</v>
      </c>
      <c r="T34" s="773" t="s">
        <v>17</v>
      </c>
      <c r="U34" s="774">
        <f t="shared" si="10"/>
        <v>100</v>
      </c>
      <c r="V34" s="773" t="s">
        <v>17</v>
      </c>
      <c r="W34" s="774">
        <f t="shared" si="11"/>
        <v>100</v>
      </c>
      <c r="X34" s="1814"/>
      <c r="Y34" s="3230"/>
      <c r="Z34" s="1815" t="str">
        <f t="shared" si="12"/>
        <v>建筑结构</v>
      </c>
      <c r="AA34" s="1812">
        <f t="shared" si="3"/>
        <v>1</v>
      </c>
      <c r="AB34" s="1812">
        <f t="shared" si="4"/>
        <v>1</v>
      </c>
      <c r="AC34" s="1812">
        <f t="shared" si="5"/>
        <v>1</v>
      </c>
    </row>
    <row r="35" spans="1:29" ht="15">
      <c r="A35" s="472"/>
      <c r="B35" s="422" t="s">
        <v>2660</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43"/>
      <c r="Q35" s="1811" t="str">
        <f t="shared" si="8"/>
        <v>公共部分装修</v>
      </c>
      <c r="R35" s="773" t="s">
        <v>17</v>
      </c>
      <c r="S35" s="774">
        <f t="shared" si="9"/>
        <v>100</v>
      </c>
      <c r="T35" s="773" t="s">
        <v>17</v>
      </c>
      <c r="U35" s="774">
        <f t="shared" si="10"/>
        <v>100</v>
      </c>
      <c r="V35" s="773" t="s">
        <v>17</v>
      </c>
      <c r="W35" s="774">
        <f t="shared" si="11"/>
        <v>100</v>
      </c>
      <c r="X35" s="1814"/>
      <c r="Y35" s="3230"/>
      <c r="Z35" s="1815" t="str">
        <f t="shared" si="12"/>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3"/>
      <c r="Q36" s="1811" t="str">
        <f t="shared" si="8"/>
        <v>成新度</v>
      </c>
      <c r="R36" s="773" t="s">
        <v>17</v>
      </c>
      <c r="S36" s="774" t="e">
        <f t="shared" si="9"/>
        <v>#N/A</v>
      </c>
      <c r="T36" s="773" t="s">
        <v>17</v>
      </c>
      <c r="U36" s="774" t="e">
        <f t="shared" si="10"/>
        <v>#N/A</v>
      </c>
      <c r="V36" s="773" t="s">
        <v>17</v>
      </c>
      <c r="W36" s="774" t="e">
        <f t="shared" si="11"/>
        <v>#N/A</v>
      </c>
      <c r="X36" s="1814"/>
      <c r="Y36" s="3230"/>
      <c r="Z36" s="1815" t="str">
        <f t="shared" si="12"/>
        <v>成新度</v>
      </c>
      <c r="AA36" s="1812" t="e">
        <f t="shared" si="3"/>
        <v>#N/A</v>
      </c>
      <c r="AB36" s="1812" t="e">
        <f t="shared" si="4"/>
        <v>#N/A</v>
      </c>
      <c r="AC36" s="1812" t="e">
        <f t="shared" si="5"/>
        <v>#N/A</v>
      </c>
    </row>
    <row r="37" spans="1:29" s="117" customFormat="1" ht="15">
      <c r="A37" s="473"/>
      <c r="B37" s="422" t="s">
        <v>2662</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43"/>
      <c r="Q37" s="1796" t="str">
        <f t="shared" si="8"/>
        <v>市政基础设施</v>
      </c>
      <c r="R37" s="769" t="s">
        <v>17</v>
      </c>
      <c r="S37" s="770">
        <f t="shared" si="9"/>
        <v>100</v>
      </c>
      <c r="T37" s="769" t="s">
        <v>17</v>
      </c>
      <c r="U37" s="770">
        <f t="shared" si="10"/>
        <v>100</v>
      </c>
      <c r="V37" s="769" t="s">
        <v>17</v>
      </c>
      <c r="W37" s="770">
        <f t="shared" si="11"/>
        <v>100</v>
      </c>
      <c r="X37" s="771"/>
      <c r="Y37" s="3230"/>
      <c r="Z37" s="55" t="str">
        <f t="shared" si="12"/>
        <v>市政基础设施</v>
      </c>
      <c r="AA37" s="772">
        <f t="shared" si="3"/>
        <v>1</v>
      </c>
      <c r="AB37" s="772">
        <f t="shared" si="4"/>
        <v>1</v>
      </c>
      <c r="AC37" s="772">
        <f t="shared" si="5"/>
        <v>1</v>
      </c>
    </row>
    <row r="38" spans="1:29" ht="15">
      <c r="A38" s="472"/>
      <c r="B38" s="422" t="s">
        <v>2663</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43" t="s">
        <v>2564</v>
      </c>
      <c r="Q38" s="1811" t="str">
        <f t="shared" si="8"/>
        <v>业态</v>
      </c>
      <c r="R38" s="773" t="s">
        <v>17</v>
      </c>
      <c r="S38" s="774">
        <f t="shared" si="9"/>
        <v>100</v>
      </c>
      <c r="T38" s="773" t="s">
        <v>17</v>
      </c>
      <c r="U38" s="774">
        <f t="shared" si="10"/>
        <v>100</v>
      </c>
      <c r="V38" s="773" t="s">
        <v>17</v>
      </c>
      <c r="W38" s="774">
        <f t="shared" si="11"/>
        <v>100</v>
      </c>
      <c r="X38" s="1814"/>
      <c r="Y38" s="3230" t="s">
        <v>2564</v>
      </c>
      <c r="Z38" s="1815" t="str">
        <f t="shared" si="12"/>
        <v>业态</v>
      </c>
      <c r="AA38" s="1812">
        <f t="shared" si="3"/>
        <v>1</v>
      </c>
      <c r="AB38" s="1812">
        <f t="shared" si="4"/>
        <v>1</v>
      </c>
      <c r="AC38" s="1812">
        <f t="shared" si="5"/>
        <v>1</v>
      </c>
    </row>
    <row r="39" spans="1:29" ht="15">
      <c r="A39" s="472"/>
      <c r="B39" s="422" t="s">
        <v>2664</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43"/>
      <c r="Q39" s="1811" t="str">
        <f t="shared" si="8"/>
        <v>层高</v>
      </c>
      <c r="R39" s="773" t="s">
        <v>17</v>
      </c>
      <c r="S39" s="774">
        <f t="shared" si="9"/>
        <v>100</v>
      </c>
      <c r="T39" s="773" t="s">
        <v>17</v>
      </c>
      <c r="U39" s="774">
        <f t="shared" si="10"/>
        <v>100</v>
      </c>
      <c r="V39" s="773" t="s">
        <v>17</v>
      </c>
      <c r="W39" s="774">
        <f t="shared" si="11"/>
        <v>100</v>
      </c>
      <c r="X39" s="1814"/>
      <c r="Y39" s="3230"/>
      <c r="Z39" s="1815" t="str">
        <f t="shared" si="12"/>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3"/>
      <c r="Q40" s="1811" t="str">
        <f t="shared" si="8"/>
        <v>单套建筑面积</v>
      </c>
      <c r="R40" s="773" t="s">
        <v>17</v>
      </c>
      <c r="S40" s="774">
        <f t="shared" si="9"/>
        <v>100</v>
      </c>
      <c r="T40" s="773" t="s">
        <v>17</v>
      </c>
      <c r="U40" s="774">
        <f t="shared" si="10"/>
        <v>100</v>
      </c>
      <c r="V40" s="773" t="s">
        <v>17</v>
      </c>
      <c r="W40" s="774">
        <f t="shared" si="11"/>
        <v>100</v>
      </c>
      <c r="X40" s="1814"/>
      <c r="Y40" s="3230"/>
      <c r="Z40" s="1815" t="str">
        <f t="shared" si="12"/>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3"/>
      <c r="Q41" s="775" t="str">
        <f t="shared" si="8"/>
        <v>进深比</v>
      </c>
      <c r="R41" s="776" t="s">
        <v>17</v>
      </c>
      <c r="S41" s="777">
        <f t="shared" si="9"/>
        <v>100</v>
      </c>
      <c r="T41" s="776" t="s">
        <v>17</v>
      </c>
      <c r="U41" s="777">
        <f t="shared" si="10"/>
        <v>100</v>
      </c>
      <c r="V41" s="776" t="s">
        <v>17</v>
      </c>
      <c r="W41" s="777">
        <f t="shared" si="11"/>
        <v>100</v>
      </c>
      <c r="X41" s="778"/>
      <c r="Y41" s="3230"/>
      <c r="Z41" s="779" t="str">
        <f t="shared" si="12"/>
        <v>进深比</v>
      </c>
      <c r="AA41" s="1812">
        <f t="shared" si="3"/>
        <v>1</v>
      </c>
      <c r="AB41" s="1812">
        <f t="shared" si="4"/>
        <v>1</v>
      </c>
      <c r="AC41" s="1812">
        <f t="shared" si="5"/>
        <v>1</v>
      </c>
    </row>
    <row r="42" spans="1:29" ht="15">
      <c r="A42" s="472"/>
      <c r="B42" s="422" t="s">
        <v>2667</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43"/>
      <c r="Q42" s="1811" t="str">
        <f t="shared" si="8"/>
        <v>内部装修</v>
      </c>
      <c r="R42" s="773" t="s">
        <v>17</v>
      </c>
      <c r="S42" s="774">
        <f t="shared" si="9"/>
        <v>100</v>
      </c>
      <c r="T42" s="773" t="s">
        <v>17</v>
      </c>
      <c r="U42" s="774">
        <f t="shared" si="10"/>
        <v>100</v>
      </c>
      <c r="V42" s="773" t="s">
        <v>17</v>
      </c>
      <c r="W42" s="774">
        <f t="shared" si="11"/>
        <v>100</v>
      </c>
      <c r="X42" s="1814"/>
      <c r="Y42" s="3230"/>
      <c r="Z42" s="1815" t="str">
        <f t="shared" si="12"/>
        <v>内部装修</v>
      </c>
      <c r="AA42" s="1812">
        <f t="shared" si="3"/>
        <v>1</v>
      </c>
      <c r="AB42" s="1812">
        <f t="shared" si="4"/>
        <v>1</v>
      </c>
      <c r="AC42" s="1812">
        <f t="shared" si="5"/>
        <v>1</v>
      </c>
    </row>
    <row r="43" spans="1:29" ht="15">
      <c r="A43" s="472"/>
      <c r="B43" s="422" t="s">
        <v>2575</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43"/>
      <c r="Q43" s="1811" t="str">
        <f t="shared" si="8"/>
        <v>内部装修维护情况</v>
      </c>
      <c r="R43" s="773" t="s">
        <v>17</v>
      </c>
      <c r="S43" s="774">
        <f t="shared" si="9"/>
        <v>100</v>
      </c>
      <c r="T43" s="773" t="s">
        <v>17</v>
      </c>
      <c r="U43" s="774">
        <f t="shared" si="10"/>
        <v>100</v>
      </c>
      <c r="V43" s="773" t="s">
        <v>17</v>
      </c>
      <c r="W43" s="774">
        <f t="shared" si="11"/>
        <v>100</v>
      </c>
      <c r="X43" s="1814"/>
      <c r="Y43" s="3230"/>
      <c r="Z43" s="1815" t="str">
        <f t="shared" si="12"/>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3"/>
      <c r="Q44" s="1796">
        <f t="shared" si="8"/>
        <v>111</v>
      </c>
      <c r="R44" s="769" t="s">
        <v>17</v>
      </c>
      <c r="S44" s="770">
        <f t="shared" si="9"/>
        <v>100</v>
      </c>
      <c r="T44" s="769" t="s">
        <v>17</v>
      </c>
      <c r="U44" s="770">
        <f t="shared" si="10"/>
        <v>100</v>
      </c>
      <c r="V44" s="769" t="s">
        <v>17</v>
      </c>
      <c r="W44" s="770">
        <f t="shared" si="11"/>
        <v>100</v>
      </c>
      <c r="X44" s="771"/>
      <c r="Y44" s="3230"/>
      <c r="Z44" s="55">
        <f t="shared" si="12"/>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3"/>
      <c r="Q45" s="1811">
        <f t="shared" si="8"/>
        <v>111</v>
      </c>
      <c r="R45" s="773" t="s">
        <v>17</v>
      </c>
      <c r="S45" s="774">
        <f t="shared" si="9"/>
        <v>100</v>
      </c>
      <c r="T45" s="773" t="s">
        <v>17</v>
      </c>
      <c r="U45" s="774">
        <f t="shared" si="10"/>
        <v>100</v>
      </c>
      <c r="V45" s="773" t="s">
        <v>17</v>
      </c>
      <c r="W45" s="774">
        <f t="shared" si="11"/>
        <v>100</v>
      </c>
      <c r="X45" s="1814"/>
      <c r="Y45" s="3230"/>
      <c r="Z45" s="1815">
        <f t="shared" si="12"/>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4"/>
      <c r="Q46" s="1811">
        <f t="shared" si="8"/>
        <v>111</v>
      </c>
      <c r="R46" s="773" t="s">
        <v>17</v>
      </c>
      <c r="S46" s="774">
        <f t="shared" si="9"/>
        <v>100</v>
      </c>
      <c r="T46" s="773" t="s">
        <v>17</v>
      </c>
      <c r="U46" s="774">
        <f t="shared" si="10"/>
        <v>100</v>
      </c>
      <c r="V46" s="773" t="s">
        <v>17</v>
      </c>
      <c r="W46" s="774">
        <f t="shared" si="11"/>
        <v>100</v>
      </c>
      <c r="X46" s="1814"/>
      <c r="Y46" s="3245"/>
      <c r="Z46" s="1815">
        <f t="shared" si="12"/>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2"/>
      <c r="L47" s="1145"/>
      <c r="M47" s="1146"/>
      <c r="N47" s="1133"/>
      <c r="O47" s="1146"/>
      <c r="P47" s="3212" t="str">
        <f>A47</f>
        <v>成交单价（元/平方米）</v>
      </c>
      <c r="Q47" s="3212"/>
      <c r="R47" s="3225">
        <f>E47</f>
        <v>0</v>
      </c>
      <c r="S47" s="3225"/>
      <c r="T47" s="3225">
        <f>G47</f>
        <v>0</v>
      </c>
      <c r="U47" s="3225"/>
      <c r="V47" s="3225">
        <f>I47</f>
        <v>0</v>
      </c>
      <c r="W47" s="3225"/>
      <c r="X47" s="758"/>
      <c r="Y47" s="780"/>
      <c r="Z47" s="758"/>
      <c r="AA47" s="758"/>
      <c r="AB47" s="758"/>
      <c r="AC47" s="758"/>
    </row>
    <row r="48" spans="1:29" ht="15.75" thickBot="1">
      <c r="A48" s="486" t="s">
        <v>2668</v>
      </c>
      <c r="B48" s="487"/>
      <c r="C48" s="1415" t="e">
        <f>R49</f>
        <v>#DIV/0!</v>
      </c>
      <c r="D48" s="1416"/>
      <c r="E48" s="1417" t="e">
        <f>R48</f>
        <v>#DIV/0!</v>
      </c>
      <c r="F48" s="1417"/>
      <c r="G48" s="1415" t="e">
        <f>T48</f>
        <v>#DIV/0!</v>
      </c>
      <c r="H48" s="1416"/>
      <c r="I48" s="1417" t="e">
        <f>V48</f>
        <v>#DIV/0!</v>
      </c>
      <c r="J48" s="1416"/>
      <c r="K48" s="783"/>
      <c r="L48" s="1145"/>
      <c r="M48" s="1146"/>
      <c r="N48" s="1133"/>
      <c r="O48" s="1146"/>
      <c r="P48" s="3212" t="str">
        <f>A48</f>
        <v>比较价值（元/平方米）</v>
      </c>
      <c r="Q48" s="3212"/>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8"/>
      <c r="Y48" s="758"/>
      <c r="Z48" s="758"/>
      <c r="AA48" s="758"/>
      <c r="AB48" s="758"/>
      <c r="AC48" s="758"/>
    </row>
    <row r="49" spans="1:29" ht="15.75" thickBot="1">
      <c r="A49" s="492" t="s">
        <v>2669</v>
      </c>
      <c r="B49" s="493"/>
      <c r="C49" s="1419" t="e">
        <f>R49</f>
        <v>#DIV/0!</v>
      </c>
      <c r="D49" s="1419"/>
      <c r="E49" s="1419"/>
      <c r="F49" s="1419"/>
      <c r="G49" s="1419"/>
      <c r="H49" s="1419"/>
      <c r="I49" s="1419"/>
      <c r="J49" s="1419"/>
      <c r="K49" s="784"/>
      <c r="L49" s="1145"/>
      <c r="M49" s="1146"/>
      <c r="N49" s="1133"/>
      <c r="O49" s="1146"/>
      <c r="P49" s="3232" t="str">
        <f>A49</f>
        <v>估价对象XX用房的比较价值（楼面单价，元/平方米）</v>
      </c>
      <c r="Q49" s="3233"/>
      <c r="R49" s="3240" t="e">
        <f>IF(F1="售价",ROUND(AVERAGE(R48:V48),0),ROUND(AVERAGE(R48:V48),1))</f>
        <v>#DIV/0!</v>
      </c>
      <c r="S49" s="3240"/>
      <c r="T49" s="3240"/>
      <c r="U49" s="3240"/>
      <c r="V49" s="3240"/>
      <c r="W49" s="324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2547</v>
      </c>
      <c r="B58" s="506"/>
      <c r="C58" s="1575" t="str">
        <f>YEAR(C7)&amp;"-"&amp;MONTH(C7)</f>
        <v>2018-7</v>
      </c>
      <c r="D58" s="1576">
        <f>EDATE(C58,-1)</f>
        <v>43252</v>
      </c>
      <c r="E58" s="1576">
        <f t="shared" ref="E58:N58" si="13">EDATE(D58,-1)</f>
        <v>43221</v>
      </c>
      <c r="F58" s="1576">
        <f t="shared" si="13"/>
        <v>43191</v>
      </c>
      <c r="G58" s="1576">
        <f t="shared" si="13"/>
        <v>43160</v>
      </c>
      <c r="H58" s="1576">
        <f t="shared" si="13"/>
        <v>43132</v>
      </c>
      <c r="I58" s="1576">
        <f t="shared" si="13"/>
        <v>43101</v>
      </c>
      <c r="J58" s="1576">
        <f t="shared" si="13"/>
        <v>43070</v>
      </c>
      <c r="K58" s="1576">
        <f t="shared" si="13"/>
        <v>43040</v>
      </c>
      <c r="L58" s="1576">
        <f t="shared" si="13"/>
        <v>43009</v>
      </c>
      <c r="M58" s="1576">
        <f t="shared" si="13"/>
        <v>42979</v>
      </c>
      <c r="N58" s="1576">
        <f t="shared" si="13"/>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2557</v>
      </c>
      <c r="C67" s="547" t="str">
        <f>C68&amp;"（含）"&amp;"-"&amp;D68</f>
        <v>0（含）-1</v>
      </c>
      <c r="D67" s="547" t="str">
        <f t="shared" ref="D67:L67" si="14">D68&amp;"（含）"&amp;"-"&amp;E68</f>
        <v>1（含）-2</v>
      </c>
      <c r="E67" s="547" t="str">
        <f t="shared" si="14"/>
        <v>2（含）-3</v>
      </c>
      <c r="F67" s="547" t="str">
        <f t="shared" si="14"/>
        <v>3（含）-4</v>
      </c>
      <c r="G67" s="547" t="str">
        <f t="shared" si="14"/>
        <v>4（含）-</v>
      </c>
      <c r="H67" s="547" t="str">
        <f t="shared" si="14"/>
        <v>（含）-</v>
      </c>
      <c r="I67" s="547" t="str">
        <f t="shared" si="14"/>
        <v>（含）-</v>
      </c>
      <c r="J67" s="547" t="str">
        <f t="shared" si="14"/>
        <v>（含）-</v>
      </c>
      <c r="K67" s="547" t="str">
        <f t="shared" si="14"/>
        <v>（含）-</v>
      </c>
      <c r="L67" s="547" t="str">
        <f t="shared" si="14"/>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27"/>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2679</v>
      </c>
      <c r="C86" s="2958" t="s">
        <v>3135</v>
      </c>
      <c r="D86" s="2958" t="s">
        <v>3136</v>
      </c>
      <c r="E86" s="2958" t="s">
        <v>3137</v>
      </c>
      <c r="F86" s="2958" t="s">
        <v>3138</v>
      </c>
      <c r="G86" s="554"/>
      <c r="H86" s="554"/>
      <c r="I86" s="554"/>
      <c r="J86" s="554"/>
      <c r="K86" s="554"/>
      <c r="L86" s="580"/>
      <c r="M86" s="581"/>
      <c r="N86" s="1153"/>
      <c r="O86" s="1153"/>
      <c r="P86" s="2627"/>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2562</v>
      </c>
      <c r="B100" s="528" t="s">
        <v>2680</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5"/>
      <c r="O101" s="1155"/>
      <c r="P101" s="2627"/>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2613</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5"/>
      <c r="O106" s="1155"/>
      <c r="P106" s="2627"/>
      <c r="Q106" s="504"/>
    </row>
    <row r="107" spans="1:17" ht="15" thickTop="1">
      <c r="A107" s="599"/>
      <c r="B107" s="538" t="s">
        <v>2615</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5"/>
      <c r="O111" s="1155"/>
      <c r="P111" s="2627"/>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6"/>
      <c r="O113" s="1156"/>
      <c r="P113" s="2628"/>
      <c r="Q113" s="559"/>
    </row>
    <row r="114" spans="1:17" ht="15" thickTop="1">
      <c r="A114" s="599"/>
      <c r="B114" s="538" t="s">
        <v>2681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5"/>
      <c r="O115" s="1155"/>
      <c r="P115" s="2627"/>
      <c r="Q115" s="504"/>
    </row>
    <row r="116" spans="1:17" ht="15" thickTop="1">
      <c r="A116" s="599"/>
      <c r="B116" s="538" t="s">
        <v>2682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2683</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6"/>
      <c r="O121" s="1156"/>
      <c r="P121" s="2628"/>
      <c r="Q121" s="559"/>
    </row>
    <row r="122" spans="1:17" ht="15" thickTop="1">
      <c r="A122" s="599"/>
      <c r="B122" s="538" t="s">
        <v>2619</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2685</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IF(C2="——",ROUND(C50*D3/10000,0),ROUND(C50*D3/10000,0)-D2)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81" t="s">
        <v>2650</v>
      </c>
      <c r="Q4" s="3282"/>
      <c r="R4" s="3276" t="s">
        <v>2646</v>
      </c>
      <c r="S4" s="3277"/>
      <c r="T4" s="3276" t="s">
        <v>2647</v>
      </c>
      <c r="U4" s="3277"/>
      <c r="V4" s="3285" t="s">
        <v>2648</v>
      </c>
      <c r="W4" s="3285"/>
      <c r="X4" s="2667"/>
      <c r="Y4" s="3276" t="s">
        <v>2650</v>
      </c>
      <c r="Z4" s="3277"/>
      <c r="AA4" s="3275" t="s">
        <v>2646</v>
      </c>
      <c r="AB4" s="3275" t="s">
        <v>2647</v>
      </c>
      <c r="AC4" s="3278" t="s">
        <v>2648</v>
      </c>
    </row>
    <row r="5" spans="1:29" ht="15">
      <c r="A5" s="404"/>
      <c r="B5" s="405"/>
      <c r="C5" s="3206" t="s">
        <v>2541</v>
      </c>
      <c r="D5" s="3207"/>
      <c r="E5" s="3204" t="s">
        <v>2542</v>
      </c>
      <c r="F5" s="3205"/>
      <c r="G5" s="3206" t="s">
        <v>2543</v>
      </c>
      <c r="H5" s="3207"/>
      <c r="I5" s="3206" t="s">
        <v>2544</v>
      </c>
      <c r="J5" s="3207"/>
      <c r="K5" s="610"/>
      <c r="L5" s="1132"/>
      <c r="M5" s="1133"/>
      <c r="N5" s="1133"/>
      <c r="O5" s="1133"/>
      <c r="P5" s="3283"/>
      <c r="Q5" s="3220"/>
      <c r="R5" s="3202"/>
      <c r="S5" s="3203"/>
      <c r="T5" s="3202"/>
      <c r="U5" s="3203"/>
      <c r="V5" s="3225"/>
      <c r="W5" s="3225"/>
      <c r="X5" s="1814"/>
      <c r="Y5" s="3202"/>
      <c r="Z5" s="3203"/>
      <c r="AA5" s="3196"/>
      <c r="AB5" s="3196"/>
      <c r="AC5" s="3279"/>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84"/>
      <c r="Q6" s="3222"/>
      <c r="R6" s="3202"/>
      <c r="S6" s="3203"/>
      <c r="T6" s="3223"/>
      <c r="U6" s="3224"/>
      <c r="V6" s="3225"/>
      <c r="W6" s="3225"/>
      <c r="X6" s="1814"/>
      <c r="Y6" s="3223"/>
      <c r="Z6" s="3224"/>
      <c r="AA6" s="3197"/>
      <c r="AB6" s="3197"/>
      <c r="AC6" s="3280"/>
    </row>
    <row r="7" spans="1:29" s="117" customFormat="1" ht="15.75" thickBot="1">
      <c r="A7" s="408" t="s">
        <v>2547</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6" t="s">
        <v>2548</v>
      </c>
      <c r="Q7" s="3226"/>
      <c r="R7" s="769" t="s">
        <v>17</v>
      </c>
      <c r="S7" s="770">
        <f t="shared" ref="S7:S15" si="0">F7</f>
        <v>0</v>
      </c>
      <c r="T7" s="769" t="s">
        <v>17</v>
      </c>
      <c r="U7" s="770">
        <f t="shared" ref="U7:U15" si="1">H7</f>
        <v>0</v>
      </c>
      <c r="V7" s="769" t="s">
        <v>17</v>
      </c>
      <c r="W7" s="770">
        <f t="shared" ref="W7:W15" si="2">J7</f>
        <v>0</v>
      </c>
      <c r="X7" s="771"/>
      <c r="Y7" s="3198" t="s">
        <v>2548</v>
      </c>
      <c r="Z7" s="3199"/>
      <c r="AA7" s="772" t="e">
        <f>D7/F7</f>
        <v>#DIV/0!</v>
      </c>
      <c r="AB7" s="772" t="e">
        <f>D7/H7</f>
        <v>#DIV/0!</v>
      </c>
      <c r="AC7" s="266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6" t="s">
        <v>2551</v>
      </c>
      <c r="Q8" s="3199"/>
      <c r="R8" s="769" t="s">
        <v>17</v>
      </c>
      <c r="S8" s="770">
        <f t="shared" si="0"/>
        <v>0</v>
      </c>
      <c r="T8" s="769" t="s">
        <v>17</v>
      </c>
      <c r="U8" s="770">
        <f t="shared" si="1"/>
        <v>0</v>
      </c>
      <c r="V8" s="769" t="s">
        <v>17</v>
      </c>
      <c r="W8" s="770">
        <f t="shared" si="2"/>
        <v>0</v>
      </c>
      <c r="X8" s="771"/>
      <c r="Y8" s="3198" t="s">
        <v>2551</v>
      </c>
      <c r="Z8" s="3199"/>
      <c r="AA8" s="772" t="e">
        <f t="shared" ref="AA8:AA47" si="3">D8/F8</f>
        <v>#DIV/0!</v>
      </c>
      <c r="AB8" s="772" t="e">
        <f t="shared" ref="AB8:AB47" si="4">D8/H8</f>
        <v>#DIV/0!</v>
      </c>
      <c r="AC8" s="266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6"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6"/>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266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6"/>
      <c r="Q11" s="1796"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36"/>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36"/>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36"/>
      <c r="Q14" s="1796">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2668">
        <f t="shared" si="5"/>
        <v>1</v>
      </c>
    </row>
    <row r="15" spans="1:29" ht="42.75">
      <c r="A15" s="440" t="s">
        <v>2558</v>
      </c>
      <c r="B15" s="629" t="s">
        <v>2686</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6" t="s">
        <v>2559</v>
      </c>
      <c r="Q15" s="1811" t="str">
        <f t="shared" si="6"/>
        <v>办公集聚程度</v>
      </c>
      <c r="R15" s="773" t="s">
        <v>17</v>
      </c>
      <c r="S15" s="774">
        <f t="shared" si="0"/>
        <v>100</v>
      </c>
      <c r="T15" s="773" t="s">
        <v>17</v>
      </c>
      <c r="U15" s="774">
        <f t="shared" si="1"/>
        <v>100</v>
      </c>
      <c r="V15" s="773" t="s">
        <v>17</v>
      </c>
      <c r="W15" s="774">
        <f t="shared" si="2"/>
        <v>100</v>
      </c>
      <c r="X15" s="1814"/>
      <c r="Y15" s="3227" t="s">
        <v>2559</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47"/>
      <c r="Q16" s="1811"/>
      <c r="R16" s="773"/>
      <c r="S16" s="774"/>
      <c r="T16" s="773"/>
      <c r="U16" s="774"/>
      <c r="V16" s="773"/>
      <c r="W16" s="774"/>
      <c r="X16" s="1814"/>
      <c r="Y16" s="3228"/>
      <c r="Z16" s="1815"/>
      <c r="AA16" s="1812">
        <v>1</v>
      </c>
      <c r="AB16" s="1812">
        <v>1</v>
      </c>
      <c r="AC16" s="2671">
        <v>1</v>
      </c>
    </row>
    <row r="17" spans="1:29" ht="85.5">
      <c r="A17" s="428"/>
      <c r="B17" s="631" t="s">
        <v>2097</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7"/>
      <c r="Q17" s="1811" t="str">
        <f>B17</f>
        <v>交通便捷度</v>
      </c>
      <c r="R17" s="773" t="s">
        <v>17</v>
      </c>
      <c r="S17" s="774">
        <f>F17</f>
        <v>100</v>
      </c>
      <c r="T17" s="773" t="s">
        <v>17</v>
      </c>
      <c r="U17" s="774">
        <f>H17</f>
        <v>100</v>
      </c>
      <c r="V17" s="773" t="s">
        <v>17</v>
      </c>
      <c r="W17" s="774">
        <f>J17</f>
        <v>100</v>
      </c>
      <c r="X17" s="1814"/>
      <c r="Y17" s="3228"/>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47"/>
      <c r="Q18" s="1811"/>
      <c r="R18" s="773"/>
      <c r="S18" s="774"/>
      <c r="T18" s="773"/>
      <c r="U18" s="774"/>
      <c r="V18" s="773"/>
      <c r="W18" s="774"/>
      <c r="X18" s="1814"/>
      <c r="Y18" s="3228"/>
      <c r="Z18" s="1815"/>
      <c r="AA18" s="1812">
        <v>1</v>
      </c>
      <c r="AB18" s="1812">
        <v>1</v>
      </c>
      <c r="AC18" s="2671">
        <v>1</v>
      </c>
    </row>
    <row r="19" spans="1:29" ht="42.75">
      <c r="A19" s="428"/>
      <c r="B19" s="631" t="s">
        <v>2687</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7"/>
      <c r="Q19" s="1811" t="str">
        <f>B19</f>
        <v>公共配套设施</v>
      </c>
      <c r="R19" s="773" t="s">
        <v>17</v>
      </c>
      <c r="S19" s="774">
        <f>F19</f>
        <v>100</v>
      </c>
      <c r="T19" s="773" t="s">
        <v>17</v>
      </c>
      <c r="U19" s="774">
        <f>H19</f>
        <v>100</v>
      </c>
      <c r="V19" s="773" t="s">
        <v>17</v>
      </c>
      <c r="W19" s="774">
        <f>J19</f>
        <v>100</v>
      </c>
      <c r="X19" s="1814"/>
      <c r="Y19" s="3228"/>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47"/>
      <c r="Q20" s="1811"/>
      <c r="R20" s="773"/>
      <c r="S20" s="774"/>
      <c r="T20" s="773"/>
      <c r="U20" s="774"/>
      <c r="V20" s="773"/>
      <c r="W20" s="774"/>
      <c r="X20" s="1814"/>
      <c r="Y20" s="3228"/>
      <c r="Z20" s="1815"/>
      <c r="AA20" s="1812">
        <v>1</v>
      </c>
      <c r="AB20" s="1812">
        <v>1</v>
      </c>
      <c r="AC20" s="2671">
        <v>1</v>
      </c>
    </row>
    <row r="21" spans="1:29" ht="42.75">
      <c r="A21" s="428"/>
      <c r="B21" s="633" t="s">
        <v>2688</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7"/>
      <c r="Q21" s="1811" t="str">
        <f>B21</f>
        <v>基础设施水平</v>
      </c>
      <c r="R21" s="773" t="s">
        <v>17</v>
      </c>
      <c r="S21" s="774">
        <f>F21</f>
        <v>100</v>
      </c>
      <c r="T21" s="773" t="s">
        <v>17</v>
      </c>
      <c r="U21" s="774">
        <f>H21</f>
        <v>100</v>
      </c>
      <c r="V21" s="773" t="s">
        <v>17</v>
      </c>
      <c r="W21" s="774">
        <f>J21</f>
        <v>100</v>
      </c>
      <c r="X21" s="1814"/>
      <c r="Y21" s="3228"/>
      <c r="Z21" s="1815" t="str">
        <f>Q21</f>
        <v>基础设施水平</v>
      </c>
      <c r="AA21" s="1812">
        <f>D21/F21</f>
        <v>1</v>
      </c>
      <c r="AB21" s="1812">
        <f>D21/H21</f>
        <v>1</v>
      </c>
      <c r="AC21" s="2671">
        <f>D21/J21</f>
        <v>1</v>
      </c>
    </row>
    <row r="22" spans="1:29" ht="15">
      <c r="A22" s="428"/>
      <c r="B22" s="633"/>
      <c r="C22" s="2673"/>
      <c r="D22" s="448"/>
      <c r="E22" s="447"/>
      <c r="F22" s="448"/>
      <c r="G22" s="2608"/>
      <c r="H22" s="448"/>
      <c r="I22" s="2608"/>
      <c r="J22" s="448"/>
      <c r="K22" s="1385"/>
      <c r="L22" s="1142"/>
      <c r="M22" s="1133"/>
      <c r="N22" s="1133"/>
      <c r="O22" s="1133"/>
      <c r="P22" s="3247"/>
      <c r="Q22" s="1811"/>
      <c r="R22" s="773"/>
      <c r="S22" s="774"/>
      <c r="T22" s="773"/>
      <c r="U22" s="774"/>
      <c r="V22" s="773"/>
      <c r="W22" s="774"/>
      <c r="X22" s="1814"/>
      <c r="Y22" s="3228"/>
      <c r="Z22" s="1815"/>
      <c r="AA22" s="1812">
        <v>1</v>
      </c>
      <c r="AB22" s="1812">
        <v>1</v>
      </c>
      <c r="AC22" s="2671">
        <v>1</v>
      </c>
    </row>
    <row r="23" spans="1:29" ht="85.5">
      <c r="A23" s="428"/>
      <c r="B23" s="631" t="s">
        <v>2689</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7"/>
      <c r="Q23" s="1811" t="str">
        <f>B23</f>
        <v>环境质量</v>
      </c>
      <c r="R23" s="773" t="s">
        <v>17</v>
      </c>
      <c r="S23" s="774">
        <f>F23</f>
        <v>100</v>
      </c>
      <c r="T23" s="773" t="s">
        <v>17</v>
      </c>
      <c r="U23" s="774">
        <f>H23</f>
        <v>100</v>
      </c>
      <c r="V23" s="773" t="s">
        <v>17</v>
      </c>
      <c r="W23" s="774">
        <f>J23</f>
        <v>100</v>
      </c>
      <c r="X23" s="1814"/>
      <c r="Y23" s="3228"/>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47"/>
      <c r="Q24" s="1811"/>
      <c r="R24" s="773"/>
      <c r="S24" s="774"/>
      <c r="T24" s="773"/>
      <c r="U24" s="774"/>
      <c r="V24" s="773"/>
      <c r="W24" s="774"/>
      <c r="X24" s="1814"/>
      <c r="Y24" s="3228"/>
      <c r="Z24" s="1815"/>
      <c r="AA24" s="1812">
        <v>1</v>
      </c>
      <c r="AB24" s="1812">
        <v>1</v>
      </c>
      <c r="AC24" s="2671">
        <v>1</v>
      </c>
    </row>
    <row r="25" spans="1:29" ht="27">
      <c r="A25" s="404"/>
      <c r="B25" s="631" t="s">
        <v>2690</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47"/>
      <c r="Q25" s="1811" t="str">
        <f>B25</f>
        <v>毗邻道路的类型与等级</v>
      </c>
      <c r="R25" s="773" t="s">
        <v>17</v>
      </c>
      <c r="S25" s="774">
        <f>F25</f>
        <v>100</v>
      </c>
      <c r="T25" s="773" t="s">
        <v>17</v>
      </c>
      <c r="U25" s="774">
        <f>H25</f>
        <v>100</v>
      </c>
      <c r="V25" s="773" t="s">
        <v>17</v>
      </c>
      <c r="W25" s="774">
        <f>J25</f>
        <v>100</v>
      </c>
      <c r="X25" s="1814"/>
      <c r="Y25" s="3228"/>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47"/>
      <c r="Q26" s="1811"/>
      <c r="R26" s="773"/>
      <c r="S26" s="774"/>
      <c r="T26" s="773"/>
      <c r="U26" s="774"/>
      <c r="V26" s="773"/>
      <c r="W26" s="774"/>
      <c r="X26" s="1814"/>
      <c r="Y26" s="3228"/>
      <c r="Z26" s="1815"/>
      <c r="AA26" s="1812">
        <v>1</v>
      </c>
      <c r="AB26" s="1812">
        <v>1</v>
      </c>
      <c r="AC26" s="267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7"/>
      <c r="Q27" s="1811" t="str">
        <f t="shared" ref="Q27:Q47" si="8">B27</f>
        <v>楼层</v>
      </c>
      <c r="R27" s="773" t="s">
        <v>17</v>
      </c>
      <c r="S27" s="774">
        <f>F27</f>
        <v>100</v>
      </c>
      <c r="T27" s="773" t="s">
        <v>17</v>
      </c>
      <c r="U27" s="774">
        <f>H27</f>
        <v>100</v>
      </c>
      <c r="V27" s="773" t="s">
        <v>17</v>
      </c>
      <c r="W27" s="774">
        <f>J27</f>
        <v>100</v>
      </c>
      <c r="X27" s="1814"/>
      <c r="Y27" s="3228"/>
      <c r="Z27" s="1815" t="str">
        <f>Q27</f>
        <v>楼层</v>
      </c>
      <c r="AA27" s="1812">
        <f t="shared" si="3"/>
        <v>1</v>
      </c>
      <c r="AB27" s="1812">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47"/>
      <c r="Q28" s="1796" t="str">
        <f t="shared" si="8"/>
        <v>朝向</v>
      </c>
      <c r="R28" s="769" t="s">
        <v>17</v>
      </c>
      <c r="S28" s="770">
        <f>F28</f>
        <v>100</v>
      </c>
      <c r="T28" s="769" t="s">
        <v>17</v>
      </c>
      <c r="U28" s="770">
        <f>H28</f>
        <v>100</v>
      </c>
      <c r="V28" s="769" t="s">
        <v>17</v>
      </c>
      <c r="W28" s="770">
        <f>J28</f>
        <v>100</v>
      </c>
      <c r="X28" s="771"/>
      <c r="Y28" s="3228"/>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47"/>
      <c r="Q29" s="1811">
        <f t="shared" si="8"/>
        <v>111</v>
      </c>
      <c r="R29" s="773" t="s">
        <v>17</v>
      </c>
      <c r="S29" s="774">
        <f t="shared" ref="S29:S47" si="9">F29</f>
        <v>100</v>
      </c>
      <c r="T29" s="773" t="s">
        <v>17</v>
      </c>
      <c r="U29" s="774">
        <f t="shared" ref="U29:U47" si="10">H29</f>
        <v>100</v>
      </c>
      <c r="V29" s="773" t="s">
        <v>17</v>
      </c>
      <c r="W29" s="774">
        <f t="shared" ref="W29:W47" si="11">J29</f>
        <v>100</v>
      </c>
      <c r="X29" s="1814"/>
      <c r="Y29" s="3228"/>
      <c r="Z29" s="1815">
        <f t="shared" ref="Z29:Z47" si="12">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47"/>
      <c r="Q30" s="1811">
        <f t="shared" si="8"/>
        <v>111</v>
      </c>
      <c r="R30" s="773" t="s">
        <v>17</v>
      </c>
      <c r="S30" s="774">
        <f t="shared" si="9"/>
        <v>100</v>
      </c>
      <c r="T30" s="773" t="s">
        <v>17</v>
      </c>
      <c r="U30" s="774">
        <f t="shared" si="10"/>
        <v>100</v>
      </c>
      <c r="V30" s="773" t="s">
        <v>17</v>
      </c>
      <c r="W30" s="774">
        <f t="shared" si="11"/>
        <v>100</v>
      </c>
      <c r="X30" s="1814"/>
      <c r="Y30" s="3228"/>
      <c r="Z30" s="1815">
        <f t="shared" si="12"/>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47"/>
      <c r="Q31" s="1811">
        <f t="shared" si="8"/>
        <v>111</v>
      </c>
      <c r="R31" s="773" t="s">
        <v>17</v>
      </c>
      <c r="S31" s="774">
        <f t="shared" si="9"/>
        <v>100</v>
      </c>
      <c r="T31" s="773" t="s">
        <v>17</v>
      </c>
      <c r="U31" s="774">
        <f t="shared" si="10"/>
        <v>100</v>
      </c>
      <c r="V31" s="773" t="s">
        <v>17</v>
      </c>
      <c r="W31" s="774">
        <f t="shared" si="11"/>
        <v>100</v>
      </c>
      <c r="X31" s="1814"/>
      <c r="Y31" s="3228"/>
      <c r="Z31" s="1815">
        <f t="shared" si="12"/>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47"/>
      <c r="Q32" s="1811">
        <f t="shared" si="8"/>
        <v>111</v>
      </c>
      <c r="R32" s="773" t="s">
        <v>17</v>
      </c>
      <c r="S32" s="774">
        <f t="shared" si="9"/>
        <v>100</v>
      </c>
      <c r="T32" s="773" t="s">
        <v>17</v>
      </c>
      <c r="U32" s="774">
        <f t="shared" si="10"/>
        <v>100</v>
      </c>
      <c r="V32" s="773" t="s">
        <v>17</v>
      </c>
      <c r="W32" s="774">
        <f t="shared" si="11"/>
        <v>100</v>
      </c>
      <c r="X32" s="1814"/>
      <c r="Y32" s="3228"/>
      <c r="Z32" s="1815">
        <f t="shared" si="12"/>
        <v>111</v>
      </c>
      <c r="AA32" s="1812">
        <f t="shared" si="3"/>
        <v>1</v>
      </c>
      <c r="AB32" s="1812">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42" t="s">
        <v>2564</v>
      </c>
      <c r="Q33" s="1811" t="str">
        <f t="shared" si="8"/>
        <v>建筑类型</v>
      </c>
      <c r="R33" s="773" t="s">
        <v>17</v>
      </c>
      <c r="S33" s="774">
        <f t="shared" si="9"/>
        <v>100</v>
      </c>
      <c r="T33" s="773" t="s">
        <v>17</v>
      </c>
      <c r="U33" s="774">
        <f t="shared" si="10"/>
        <v>100</v>
      </c>
      <c r="V33" s="773" t="s">
        <v>17</v>
      </c>
      <c r="W33" s="774">
        <f t="shared" si="11"/>
        <v>100</v>
      </c>
      <c r="X33" s="1814"/>
      <c r="Y33" s="3230" t="s">
        <v>2564</v>
      </c>
      <c r="Z33" s="1815" t="str">
        <f t="shared" si="12"/>
        <v>建筑类型</v>
      </c>
      <c r="AA33" s="1812">
        <f t="shared" si="3"/>
        <v>1</v>
      </c>
      <c r="AB33" s="1812">
        <f t="shared" si="4"/>
        <v>1</v>
      </c>
      <c r="AC33" s="267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3"/>
      <c r="Q34" s="775" t="str">
        <f t="shared" si="8"/>
        <v>项目建筑规模</v>
      </c>
      <c r="R34" s="776" t="s">
        <v>17</v>
      </c>
      <c r="S34" s="777" t="e">
        <f t="shared" si="9"/>
        <v>#N/A</v>
      </c>
      <c r="T34" s="776" t="s">
        <v>17</v>
      </c>
      <c r="U34" s="777" t="e">
        <f t="shared" si="10"/>
        <v>#N/A</v>
      </c>
      <c r="V34" s="776" t="s">
        <v>17</v>
      </c>
      <c r="W34" s="777" t="e">
        <f t="shared" si="11"/>
        <v>#N/A</v>
      </c>
      <c r="X34" s="778"/>
      <c r="Y34" s="3230"/>
      <c r="Z34" s="779" t="str">
        <f t="shared" si="12"/>
        <v>项目建筑规模</v>
      </c>
      <c r="AA34" s="1812" t="e">
        <f t="shared" si="3"/>
        <v>#N/A</v>
      </c>
      <c r="AB34" s="1812" t="e">
        <f t="shared" si="4"/>
        <v>#N/A</v>
      </c>
      <c r="AC34" s="267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3"/>
      <c r="Q35" s="1811" t="str">
        <f t="shared" si="8"/>
        <v>建筑结构</v>
      </c>
      <c r="R35" s="773" t="s">
        <v>17</v>
      </c>
      <c r="S35" s="774">
        <f t="shared" si="9"/>
        <v>100</v>
      </c>
      <c r="T35" s="773" t="s">
        <v>17</v>
      </c>
      <c r="U35" s="774">
        <f t="shared" si="10"/>
        <v>100</v>
      </c>
      <c r="V35" s="773" t="s">
        <v>17</v>
      </c>
      <c r="W35" s="774">
        <f t="shared" si="11"/>
        <v>100</v>
      </c>
      <c r="X35" s="1814"/>
      <c r="Y35" s="3230"/>
      <c r="Z35" s="1815" t="str">
        <f t="shared" si="12"/>
        <v>建筑结构</v>
      </c>
      <c r="AA35" s="1812">
        <f t="shared" si="3"/>
        <v>1</v>
      </c>
      <c r="AB35" s="1812">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3"/>
      <c r="Q36" s="1811" t="str">
        <f t="shared" si="8"/>
        <v>公共部分装修</v>
      </c>
      <c r="R36" s="773" t="s">
        <v>17</v>
      </c>
      <c r="S36" s="774">
        <f t="shared" si="9"/>
        <v>100</v>
      </c>
      <c r="T36" s="773" t="s">
        <v>17</v>
      </c>
      <c r="U36" s="774">
        <f t="shared" si="10"/>
        <v>100</v>
      </c>
      <c r="V36" s="773" t="s">
        <v>17</v>
      </c>
      <c r="W36" s="774">
        <f t="shared" si="11"/>
        <v>100</v>
      </c>
      <c r="X36" s="1814"/>
      <c r="Y36" s="3230"/>
      <c r="Z36" s="1815" t="str">
        <f t="shared" si="12"/>
        <v>公共部分装修</v>
      </c>
      <c r="AA36" s="1812">
        <f t="shared" si="3"/>
        <v>1</v>
      </c>
      <c r="AB36" s="1812">
        <f t="shared" si="4"/>
        <v>1</v>
      </c>
      <c r="AC36" s="267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3"/>
      <c r="Q37" s="1811" t="str">
        <f t="shared" si="8"/>
        <v>成新度</v>
      </c>
      <c r="R37" s="773" t="s">
        <v>17</v>
      </c>
      <c r="S37" s="774" t="e">
        <f t="shared" si="9"/>
        <v>#N/A</v>
      </c>
      <c r="T37" s="773" t="s">
        <v>17</v>
      </c>
      <c r="U37" s="774" t="e">
        <f t="shared" si="10"/>
        <v>#N/A</v>
      </c>
      <c r="V37" s="773" t="s">
        <v>17</v>
      </c>
      <c r="W37" s="774" t="e">
        <f t="shared" si="11"/>
        <v>#N/A</v>
      </c>
      <c r="X37" s="1814"/>
      <c r="Y37" s="3230"/>
      <c r="Z37" s="1815" t="str">
        <f t="shared" si="12"/>
        <v>成新度</v>
      </c>
      <c r="AA37" s="1812" t="e">
        <f t="shared" si="3"/>
        <v>#N/A</v>
      </c>
      <c r="AB37" s="1812" t="e">
        <f t="shared" si="4"/>
        <v>#N/A</v>
      </c>
      <c r="AC37" s="267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3"/>
      <c r="Q38" s="1796" t="str">
        <f t="shared" si="8"/>
        <v>写字楼等级</v>
      </c>
      <c r="R38" s="769" t="s">
        <v>17</v>
      </c>
      <c r="S38" s="770">
        <f t="shared" si="9"/>
        <v>100</v>
      </c>
      <c r="T38" s="769" t="s">
        <v>17</v>
      </c>
      <c r="U38" s="770">
        <f t="shared" si="10"/>
        <v>100</v>
      </c>
      <c r="V38" s="769" t="s">
        <v>17</v>
      </c>
      <c r="W38" s="770">
        <f t="shared" si="11"/>
        <v>100</v>
      </c>
      <c r="X38" s="771"/>
      <c r="Y38" s="3230"/>
      <c r="Z38" s="55" t="str">
        <f t="shared" si="12"/>
        <v>写字楼等级</v>
      </c>
      <c r="AA38" s="772">
        <f t="shared" si="3"/>
        <v>1</v>
      </c>
      <c r="AB38" s="772">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3" t="s">
        <v>2564</v>
      </c>
      <c r="Q39" s="1811" t="str">
        <f t="shared" si="8"/>
        <v>物业管理</v>
      </c>
      <c r="R39" s="773" t="s">
        <v>17</v>
      </c>
      <c r="S39" s="774">
        <f t="shared" si="9"/>
        <v>100</v>
      </c>
      <c r="T39" s="773" t="s">
        <v>17</v>
      </c>
      <c r="U39" s="774">
        <f t="shared" si="10"/>
        <v>100</v>
      </c>
      <c r="V39" s="773" t="s">
        <v>17</v>
      </c>
      <c r="W39" s="774">
        <f t="shared" si="11"/>
        <v>100</v>
      </c>
      <c r="X39" s="1814"/>
      <c r="Y39" s="3230" t="s">
        <v>2564</v>
      </c>
      <c r="Z39" s="1815" t="str">
        <f t="shared" si="12"/>
        <v>物业管理</v>
      </c>
      <c r="AA39" s="1812">
        <f t="shared" si="3"/>
        <v>1</v>
      </c>
      <c r="AB39" s="1812">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3"/>
      <c r="Q40" s="1811" t="str">
        <f t="shared" si="8"/>
        <v>市政基础设施</v>
      </c>
      <c r="R40" s="773" t="s">
        <v>17</v>
      </c>
      <c r="S40" s="774">
        <f t="shared" si="9"/>
        <v>100</v>
      </c>
      <c r="T40" s="773" t="s">
        <v>17</v>
      </c>
      <c r="U40" s="774">
        <f t="shared" si="10"/>
        <v>100</v>
      </c>
      <c r="V40" s="773" t="s">
        <v>17</v>
      </c>
      <c r="W40" s="774">
        <f t="shared" si="11"/>
        <v>100</v>
      </c>
      <c r="X40" s="1814"/>
      <c r="Y40" s="3230"/>
      <c r="Z40" s="1815" t="str">
        <f t="shared" si="12"/>
        <v>市政基础设施</v>
      </c>
      <c r="AA40" s="1812">
        <f t="shared" si="3"/>
        <v>1</v>
      </c>
      <c r="AB40" s="1812">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3"/>
      <c r="Q41" s="1811" t="str">
        <f t="shared" si="8"/>
        <v>层高</v>
      </c>
      <c r="R41" s="773" t="s">
        <v>17</v>
      </c>
      <c r="S41" s="774">
        <f t="shared" si="9"/>
        <v>100</v>
      </c>
      <c r="T41" s="773" t="s">
        <v>17</v>
      </c>
      <c r="U41" s="774">
        <f t="shared" si="10"/>
        <v>100</v>
      </c>
      <c r="V41" s="773" t="s">
        <v>17</v>
      </c>
      <c r="W41" s="774">
        <f t="shared" si="11"/>
        <v>100</v>
      </c>
      <c r="X41" s="1814"/>
      <c r="Y41" s="3230"/>
      <c r="Z41" s="1815" t="str">
        <f t="shared" si="12"/>
        <v>层高</v>
      </c>
      <c r="AA41" s="1812">
        <f t="shared" si="3"/>
        <v>1</v>
      </c>
      <c r="AB41" s="1812">
        <f t="shared" si="4"/>
        <v>1</v>
      </c>
      <c r="AC41" s="2671">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3"/>
      <c r="Q42" s="775" t="str">
        <f t="shared" si="8"/>
        <v>单套建筑面积</v>
      </c>
      <c r="R42" s="776" t="s">
        <v>17</v>
      </c>
      <c r="S42" s="777">
        <f t="shared" si="9"/>
        <v>100</v>
      </c>
      <c r="T42" s="776" t="s">
        <v>17</v>
      </c>
      <c r="U42" s="777">
        <f t="shared" si="10"/>
        <v>100</v>
      </c>
      <c r="V42" s="776" t="s">
        <v>17</v>
      </c>
      <c r="W42" s="777">
        <f t="shared" si="11"/>
        <v>100</v>
      </c>
      <c r="X42" s="778"/>
      <c r="Y42" s="3230"/>
      <c r="Z42" s="779" t="str">
        <f t="shared" si="12"/>
        <v>单套建筑面积</v>
      </c>
      <c r="AA42" s="1812">
        <f t="shared" si="3"/>
        <v>1</v>
      </c>
      <c r="AB42" s="1812">
        <f t="shared" si="4"/>
        <v>1</v>
      </c>
      <c r="AC42" s="267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3"/>
      <c r="Q43" s="1811" t="str">
        <f t="shared" si="8"/>
        <v>内部装修</v>
      </c>
      <c r="R43" s="773" t="s">
        <v>17</v>
      </c>
      <c r="S43" s="774">
        <f t="shared" si="9"/>
        <v>100</v>
      </c>
      <c r="T43" s="773" t="s">
        <v>17</v>
      </c>
      <c r="U43" s="774">
        <f t="shared" si="10"/>
        <v>100</v>
      </c>
      <c r="V43" s="773" t="s">
        <v>17</v>
      </c>
      <c r="W43" s="774">
        <f t="shared" si="11"/>
        <v>100</v>
      </c>
      <c r="X43" s="1814"/>
      <c r="Y43" s="3230"/>
      <c r="Z43" s="1815" t="str">
        <f t="shared" si="12"/>
        <v>内部装修</v>
      </c>
      <c r="AA43" s="1812">
        <f t="shared" si="3"/>
        <v>1</v>
      </c>
      <c r="AB43" s="1812">
        <f t="shared" si="4"/>
        <v>1</v>
      </c>
      <c r="AC43" s="2671">
        <f t="shared" si="5"/>
        <v>1</v>
      </c>
    </row>
    <row r="44" spans="1:29" ht="15">
      <c r="A44" s="472"/>
      <c r="B44" s="422" t="s">
        <v>2575</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43"/>
      <c r="Q44" s="1811" t="str">
        <f t="shared" si="8"/>
        <v>内部装修维护情况</v>
      </c>
      <c r="R44" s="773" t="s">
        <v>17</v>
      </c>
      <c r="S44" s="774">
        <f t="shared" si="9"/>
        <v>100</v>
      </c>
      <c r="T44" s="773" t="s">
        <v>17</v>
      </c>
      <c r="U44" s="774">
        <f t="shared" si="10"/>
        <v>100</v>
      </c>
      <c r="V44" s="773" t="s">
        <v>17</v>
      </c>
      <c r="W44" s="774">
        <f t="shared" si="11"/>
        <v>100</v>
      </c>
      <c r="X44" s="1814"/>
      <c r="Y44" s="3230"/>
      <c r="Z44" s="1815" t="str">
        <f t="shared" si="12"/>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3"/>
      <c r="Q45" s="1796">
        <f t="shared" si="8"/>
        <v>111</v>
      </c>
      <c r="R45" s="769" t="s">
        <v>17</v>
      </c>
      <c r="S45" s="770">
        <f t="shared" si="9"/>
        <v>100</v>
      </c>
      <c r="T45" s="769" t="s">
        <v>17</v>
      </c>
      <c r="U45" s="770">
        <f t="shared" si="10"/>
        <v>100</v>
      </c>
      <c r="V45" s="769" t="s">
        <v>17</v>
      </c>
      <c r="W45" s="770">
        <f t="shared" si="11"/>
        <v>100</v>
      </c>
      <c r="X45" s="771"/>
      <c r="Y45" s="3230"/>
      <c r="Z45" s="55">
        <f t="shared" si="12"/>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3"/>
      <c r="Q46" s="1811">
        <f t="shared" si="8"/>
        <v>111</v>
      </c>
      <c r="R46" s="773" t="s">
        <v>17</v>
      </c>
      <c r="S46" s="774">
        <f t="shared" si="9"/>
        <v>100</v>
      </c>
      <c r="T46" s="773" t="s">
        <v>17</v>
      </c>
      <c r="U46" s="774">
        <f t="shared" si="10"/>
        <v>100</v>
      </c>
      <c r="V46" s="773" t="s">
        <v>17</v>
      </c>
      <c r="W46" s="774">
        <f t="shared" si="11"/>
        <v>100</v>
      </c>
      <c r="X46" s="1814"/>
      <c r="Y46" s="3230"/>
      <c r="Z46" s="1815">
        <f t="shared" si="12"/>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4"/>
      <c r="Q47" s="1811">
        <f t="shared" si="8"/>
        <v>111</v>
      </c>
      <c r="R47" s="773" t="s">
        <v>17</v>
      </c>
      <c r="S47" s="774">
        <f t="shared" si="9"/>
        <v>100</v>
      </c>
      <c r="T47" s="773" t="s">
        <v>17</v>
      </c>
      <c r="U47" s="774">
        <f t="shared" si="10"/>
        <v>100</v>
      </c>
      <c r="V47" s="773" t="s">
        <v>17</v>
      </c>
      <c r="W47" s="774">
        <f t="shared" si="11"/>
        <v>100</v>
      </c>
      <c r="X47" s="1814"/>
      <c r="Y47" s="3245"/>
      <c r="Z47" s="1815">
        <f t="shared" si="12"/>
        <v>111</v>
      </c>
      <c r="AA47" s="1812">
        <f t="shared" si="3"/>
        <v>1</v>
      </c>
      <c r="AB47" s="1812">
        <f t="shared" si="4"/>
        <v>1</v>
      </c>
      <c r="AC47" s="2671">
        <f t="shared" si="5"/>
        <v>1</v>
      </c>
    </row>
    <row r="48" spans="1:29" ht="15">
      <c r="A48" s="479" t="s">
        <v>2576</v>
      </c>
      <c r="B48" s="480"/>
      <c r="C48" s="1409" t="s">
        <v>1</v>
      </c>
      <c r="D48" s="1410"/>
      <c r="E48" s="1411"/>
      <c r="F48" s="1412"/>
      <c r="G48" s="1413"/>
      <c r="H48" s="1414"/>
      <c r="I48" s="1411"/>
      <c r="J48" s="485"/>
      <c r="K48" s="782"/>
      <c r="L48" s="1145"/>
      <c r="M48" s="1133"/>
      <c r="N48" s="1133"/>
      <c r="O48" s="1133"/>
      <c r="P48" s="3236" t="str">
        <f>A48</f>
        <v>成交单价（元/平方米）</v>
      </c>
      <c r="Q48" s="3212"/>
      <c r="R48" s="3241">
        <f>E48</f>
        <v>0</v>
      </c>
      <c r="S48" s="3241"/>
      <c r="T48" s="3241">
        <f>G48</f>
        <v>0</v>
      </c>
      <c r="U48" s="3241"/>
      <c r="V48" s="3241">
        <f>I48</f>
        <v>0</v>
      </c>
      <c r="W48" s="3241"/>
      <c r="X48" s="446"/>
      <c r="Y48" s="780"/>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3"/>
      <c r="L49" s="1145"/>
      <c r="M49" s="1133"/>
      <c r="N49" s="1133"/>
      <c r="O49" s="1133"/>
      <c r="P49" s="3236" t="str">
        <f>A49</f>
        <v>比较价值（元/平方米）</v>
      </c>
      <c r="Q49" s="3212"/>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4"/>
      <c r="L50" s="1145"/>
      <c r="M50" s="1133"/>
      <c r="N50" s="1133"/>
      <c r="O50" s="1133"/>
      <c r="P50" s="3287" t="str">
        <f>A50</f>
        <v>估价对象XX用房的比较价值（楼面单价，元/平方米）</v>
      </c>
      <c r="Q50" s="3288"/>
      <c r="R50" s="3289" t="e">
        <f>IF(F1="售价",ROUND(AVERAGE(R49:V49),0),ROUND(AVERAGE(R49:V49),1))</f>
        <v>#DIV/0!</v>
      </c>
      <c r="S50" s="3289"/>
      <c r="T50" s="3289"/>
      <c r="U50" s="3289"/>
      <c r="V50" s="3289"/>
      <c r="W50" s="3289"/>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78"/>
      <c r="Q58" s="504"/>
    </row>
    <row r="59" spans="1:29" s="508" customFormat="1" ht="15">
      <c r="A59" s="505" t="s">
        <v>2547</v>
      </c>
      <c r="B59" s="506"/>
      <c r="C59" s="1575" t="str">
        <f>YEAR(C7)&amp;"-"&amp;MONTH(C7)</f>
        <v>2018-7</v>
      </c>
      <c r="D59" s="1576">
        <f>EDATE(C59,-1)</f>
        <v>43252</v>
      </c>
      <c r="E59" s="1576">
        <f>EDATE(D59,-1)</f>
        <v>43221</v>
      </c>
      <c r="F59" s="1576">
        <f t="shared" ref="F59:O59" si="13">EDATE(E59,-1)</f>
        <v>43191</v>
      </c>
      <c r="G59" s="1576">
        <f t="shared" si="13"/>
        <v>43160</v>
      </c>
      <c r="H59" s="1576">
        <f t="shared" si="13"/>
        <v>43132</v>
      </c>
      <c r="I59" s="1576">
        <f t="shared" si="13"/>
        <v>43101</v>
      </c>
      <c r="J59" s="1576">
        <f t="shared" si="13"/>
        <v>43070</v>
      </c>
      <c r="K59" s="1576">
        <f t="shared" si="13"/>
        <v>43040</v>
      </c>
      <c r="L59" s="1576">
        <f t="shared" si="13"/>
        <v>43009</v>
      </c>
      <c r="M59" s="1576">
        <f t="shared" si="13"/>
        <v>42979</v>
      </c>
      <c r="N59" s="1576">
        <f t="shared" si="13"/>
        <v>42948</v>
      </c>
      <c r="O59" s="1576">
        <f t="shared" si="13"/>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2584</v>
      </c>
      <c r="B61" s="516"/>
      <c r="C61" s="517"/>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2587</v>
      </c>
      <c r="B64" s="528" t="s">
        <v>2553</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2698</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2562</v>
      </c>
      <c r="B101" s="528" t="s">
        <v>2611</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5"/>
      <c r="O102" s="1155"/>
      <c r="P102" s="2681"/>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2613</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5"/>
      <c r="O107" s="1155"/>
      <c r="P107" s="2681"/>
      <c r="Q107" s="504"/>
    </row>
    <row r="108" spans="1:17" ht="15" thickTop="1">
      <c r="A108" s="599"/>
      <c r="B108" s="538" t="s">
        <v>2615</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5"/>
      <c r="O112" s="1155"/>
      <c r="P112" s="2681"/>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6"/>
      <c r="O114" s="1156"/>
      <c r="P114" s="2682"/>
      <c r="Q114" s="559"/>
    </row>
    <row r="115" spans="1:17" ht="15" thickTop="1">
      <c r="A115" s="599"/>
      <c r="B115" s="538" t="s">
        <v>2616</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5"/>
      <c r="O116" s="1155"/>
      <c r="P116" s="2681"/>
      <c r="Q116" s="504"/>
    </row>
    <row r="117" spans="1:17" ht="15" thickTop="1">
      <c r="A117" s="599"/>
      <c r="B117" s="538" t="s">
        <v>2617</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2700</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5"/>
      <c r="O120" s="1155"/>
      <c r="P120" s="2681"/>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2619</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2701</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IF(C2="——",ROUND(C43*D3/10000,0),ROUND(C43*D3/10000,0)-D2)</f>
        <v>#DIV/0!</v>
      </c>
      <c r="C2" s="2583"/>
      <c r="D2" s="1126"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2643</v>
      </c>
      <c r="D3" s="399">
        <f>IF(D1="",'数据-汇总表'!E3,SUMIF('数据-汇总表'!$C19:$C33,D1,'数据-汇总表'!$E19:$E33))</f>
        <v>59428.920000000027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8" t="s">
        <v>2548</v>
      </c>
      <c r="Q7" s="3226"/>
      <c r="R7" s="769" t="s">
        <v>17</v>
      </c>
      <c r="S7" s="770">
        <f t="shared" ref="S7:S15" si="0">F7</f>
        <v>0</v>
      </c>
      <c r="T7" s="769" t="s">
        <v>17</v>
      </c>
      <c r="U7" s="770">
        <f t="shared" ref="U7:U15" si="1">H7</f>
        <v>0</v>
      </c>
      <c r="V7" s="769" t="s">
        <v>17</v>
      </c>
      <c r="W7" s="770">
        <f t="shared" ref="W7:W15" si="2">J7</f>
        <v>0</v>
      </c>
      <c r="X7" s="771"/>
      <c r="Y7" s="3198" t="s">
        <v>2548</v>
      </c>
      <c r="Z7" s="3199"/>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2"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2"/>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2"/>
      <c r="Q11" s="1796"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12"/>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12"/>
      <c r="Q14" s="1796">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7" t="s">
        <v>2559</v>
      </c>
      <c r="Q15" s="1811" t="str">
        <f t="shared" si="6"/>
        <v>产业集聚程度</v>
      </c>
      <c r="R15" s="773" t="s">
        <v>17</v>
      </c>
      <c r="S15" s="774">
        <f t="shared" si="0"/>
        <v>100</v>
      </c>
      <c r="T15" s="773" t="s">
        <v>17</v>
      </c>
      <c r="U15" s="774">
        <f t="shared" si="1"/>
        <v>100</v>
      </c>
      <c r="V15" s="773" t="s">
        <v>17</v>
      </c>
      <c r="W15" s="774">
        <f t="shared" si="2"/>
        <v>100</v>
      </c>
      <c r="X15" s="1814"/>
      <c r="Y15" s="3227"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28"/>
      <c r="Q16" s="1811"/>
      <c r="R16" s="773"/>
      <c r="S16" s="774"/>
      <c r="T16" s="773"/>
      <c r="U16" s="774"/>
      <c r="V16" s="773"/>
      <c r="W16" s="774"/>
      <c r="X16" s="1814"/>
      <c r="Y16" s="3228"/>
      <c r="Z16" s="1815"/>
      <c r="AA16" s="1812">
        <v>1</v>
      </c>
      <c r="AB16" s="1812">
        <v>1</v>
      </c>
      <c r="AC16" s="1812">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8"/>
      <c r="Q17" s="1811" t="str">
        <f>B17</f>
        <v>交通便捷度</v>
      </c>
      <c r="R17" s="773" t="s">
        <v>17</v>
      </c>
      <c r="S17" s="774">
        <f>F17</f>
        <v>100</v>
      </c>
      <c r="T17" s="773" t="s">
        <v>17</v>
      </c>
      <c r="U17" s="774">
        <f>H17</f>
        <v>100</v>
      </c>
      <c r="V17" s="773" t="s">
        <v>17</v>
      </c>
      <c r="W17" s="774">
        <f>J17</f>
        <v>100</v>
      </c>
      <c r="X17" s="1814"/>
      <c r="Y17" s="3228"/>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28"/>
      <c r="Q18" s="1811"/>
      <c r="R18" s="773"/>
      <c r="S18" s="774"/>
      <c r="T18" s="773"/>
      <c r="U18" s="774"/>
      <c r="V18" s="773"/>
      <c r="W18" s="774"/>
      <c r="X18" s="1814"/>
      <c r="Y18" s="3228"/>
      <c r="Z18" s="1815"/>
      <c r="AA18" s="1812">
        <v>1</v>
      </c>
      <c r="AB18" s="1812">
        <v>1</v>
      </c>
      <c r="AC18" s="1812">
        <v>1</v>
      </c>
    </row>
    <row r="19" spans="1:29" ht="42.75">
      <c r="A19" s="428"/>
      <c r="B19" s="451" t="s">
        <v>2687</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8"/>
      <c r="Q19" s="1811" t="str">
        <f>B19</f>
        <v>公共配套设施</v>
      </c>
      <c r="R19" s="773" t="s">
        <v>17</v>
      </c>
      <c r="S19" s="774">
        <f>F19</f>
        <v>100</v>
      </c>
      <c r="T19" s="773" t="s">
        <v>17</v>
      </c>
      <c r="U19" s="774">
        <f>H19</f>
        <v>100</v>
      </c>
      <c r="V19" s="773" t="s">
        <v>17</v>
      </c>
      <c r="W19" s="774">
        <f>J19</f>
        <v>100</v>
      </c>
      <c r="X19" s="1814"/>
      <c r="Y19" s="3228"/>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28"/>
      <c r="Q20" s="1811"/>
      <c r="R20" s="773"/>
      <c r="S20" s="774"/>
      <c r="T20" s="773"/>
      <c r="U20" s="774"/>
      <c r="V20" s="773"/>
      <c r="W20" s="774"/>
      <c r="X20" s="1814"/>
      <c r="Y20" s="3228"/>
      <c r="Z20" s="1815"/>
      <c r="AA20" s="1812">
        <v>1</v>
      </c>
      <c r="AB20" s="1812">
        <v>1</v>
      </c>
      <c r="AC20" s="1812">
        <v>1</v>
      </c>
    </row>
    <row r="21" spans="1:29" ht="28.5">
      <c r="A21" s="428"/>
      <c r="B21" s="1386" t="s">
        <v>2688</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8"/>
      <c r="Q21" s="1811" t="str">
        <f>B21</f>
        <v>基础设施水平</v>
      </c>
      <c r="R21" s="773" t="s">
        <v>17</v>
      </c>
      <c r="S21" s="774">
        <f>F21</f>
        <v>100</v>
      </c>
      <c r="T21" s="773" t="s">
        <v>17</v>
      </c>
      <c r="U21" s="774">
        <f>H21</f>
        <v>100</v>
      </c>
      <c r="V21" s="773" t="s">
        <v>17</v>
      </c>
      <c r="W21" s="774">
        <f>J21</f>
        <v>100</v>
      </c>
      <c r="X21" s="1814"/>
      <c r="Y21" s="3228"/>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41"/>
      <c r="P22" s="3228"/>
      <c r="Q22" s="1811"/>
      <c r="R22" s="773"/>
      <c r="S22" s="774"/>
      <c r="T22" s="773"/>
      <c r="U22" s="774"/>
      <c r="V22" s="773"/>
      <c r="W22" s="774"/>
      <c r="X22" s="1814"/>
      <c r="Y22" s="3228"/>
      <c r="Z22" s="1815"/>
      <c r="AA22" s="1812">
        <v>1</v>
      </c>
      <c r="AB22" s="1812">
        <v>1</v>
      </c>
      <c r="AC22" s="1812">
        <v>1</v>
      </c>
    </row>
    <row r="23" spans="1:29" ht="71.25">
      <c r="A23" s="428"/>
      <c r="B23" s="451" t="s">
        <v>2689</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8"/>
      <c r="Q23" s="1811" t="str">
        <f>B23</f>
        <v>环境质量</v>
      </c>
      <c r="R23" s="773" t="s">
        <v>17</v>
      </c>
      <c r="S23" s="774">
        <f>F23</f>
        <v>100</v>
      </c>
      <c r="T23" s="773" t="s">
        <v>17</v>
      </c>
      <c r="U23" s="774">
        <f>H23</f>
        <v>100</v>
      </c>
      <c r="V23" s="773" t="s">
        <v>17</v>
      </c>
      <c r="W23" s="774">
        <f>J23</f>
        <v>100</v>
      </c>
      <c r="X23" s="1814"/>
      <c r="Y23" s="3228"/>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28"/>
      <c r="Q24" s="1811"/>
      <c r="R24" s="773"/>
      <c r="S24" s="774"/>
      <c r="T24" s="773"/>
      <c r="U24" s="774"/>
      <c r="V24" s="773"/>
      <c r="W24" s="774"/>
      <c r="X24" s="1814"/>
      <c r="Y24" s="3228"/>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8"/>
      <c r="Q25" s="1811">
        <f>B25</f>
        <v>111</v>
      </c>
      <c r="R25" s="773" t="s">
        <v>17</v>
      </c>
      <c r="S25" s="774">
        <f>F25</f>
        <v>100</v>
      </c>
      <c r="T25" s="773" t="s">
        <v>17</v>
      </c>
      <c r="U25" s="774">
        <f>H25</f>
        <v>100</v>
      </c>
      <c r="V25" s="773" t="s">
        <v>17</v>
      </c>
      <c r="W25" s="774">
        <f>J25</f>
        <v>100</v>
      </c>
      <c r="X25" s="1814"/>
      <c r="Y25" s="3228"/>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8"/>
      <c r="Q26" s="1811">
        <f t="shared" ref="Q26:Q40" si="8">B26</f>
        <v>111</v>
      </c>
      <c r="R26" s="773" t="s">
        <v>17</v>
      </c>
      <c r="S26" s="774">
        <f>F26</f>
        <v>100</v>
      </c>
      <c r="T26" s="773" t="s">
        <v>17</v>
      </c>
      <c r="U26" s="774">
        <f>H26</f>
        <v>100</v>
      </c>
      <c r="V26" s="773" t="s">
        <v>17</v>
      </c>
      <c r="W26" s="774">
        <f>J26</f>
        <v>100</v>
      </c>
      <c r="X26" s="1814"/>
      <c r="Y26" s="3228"/>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8"/>
      <c r="Q27" s="1796">
        <f t="shared" si="8"/>
        <v>111</v>
      </c>
      <c r="R27" s="769" t="s">
        <v>17</v>
      </c>
      <c r="S27" s="770">
        <f>F27</f>
        <v>100</v>
      </c>
      <c r="T27" s="769" t="s">
        <v>17</v>
      </c>
      <c r="U27" s="770">
        <f>H27</f>
        <v>100</v>
      </c>
      <c r="V27" s="769" t="s">
        <v>17</v>
      </c>
      <c r="W27" s="770">
        <f>J27</f>
        <v>100</v>
      </c>
      <c r="X27" s="771"/>
      <c r="Y27" s="3228"/>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8"/>
      <c r="Q28" s="1811">
        <f t="shared" si="8"/>
        <v>111</v>
      </c>
      <c r="R28" s="773" t="s">
        <v>17</v>
      </c>
      <c r="S28" s="774">
        <f t="shared" ref="S28:S40" si="9">F28</f>
        <v>100</v>
      </c>
      <c r="T28" s="773" t="s">
        <v>17</v>
      </c>
      <c r="U28" s="774">
        <f t="shared" ref="U28:U40" si="10">H28</f>
        <v>100</v>
      </c>
      <c r="V28" s="773" t="s">
        <v>17</v>
      </c>
      <c r="W28" s="774">
        <f t="shared" ref="W28:W40" si="11">J28</f>
        <v>100</v>
      </c>
      <c r="X28" s="1814"/>
      <c r="Y28" s="3228"/>
      <c r="Z28" s="1815">
        <f t="shared" ref="Z28:Z40" si="12">Q28</f>
        <v>111</v>
      </c>
      <c r="AA28" s="1812">
        <f t="shared" si="3"/>
        <v>1</v>
      </c>
      <c r="AB28" s="1812">
        <f t="shared" si="4"/>
        <v>1</v>
      </c>
      <c r="AC28" s="1812">
        <f t="shared" si="5"/>
        <v>1</v>
      </c>
    </row>
    <row r="29" spans="1:29" ht="1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29" t="s">
        <v>2564</v>
      </c>
      <c r="Q29" s="1811" t="str">
        <f t="shared" si="8"/>
        <v>建筑类型</v>
      </c>
      <c r="R29" s="773" t="s">
        <v>17</v>
      </c>
      <c r="S29" s="774">
        <f t="shared" si="9"/>
        <v>100</v>
      </c>
      <c r="T29" s="773" t="s">
        <v>17</v>
      </c>
      <c r="U29" s="774">
        <f t="shared" si="10"/>
        <v>100</v>
      </c>
      <c r="V29" s="773" t="s">
        <v>17</v>
      </c>
      <c r="W29" s="774">
        <f t="shared" si="11"/>
        <v>100</v>
      </c>
      <c r="X29" s="1814"/>
      <c r="Y29" s="3230" t="s">
        <v>2564</v>
      </c>
      <c r="Z29" s="1815" t="str">
        <f t="shared" si="12"/>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0"/>
      <c r="Q30" s="775" t="str">
        <f t="shared" si="8"/>
        <v>项目建筑规模</v>
      </c>
      <c r="R30" s="776" t="s">
        <v>17</v>
      </c>
      <c r="S30" s="777" t="e">
        <f t="shared" si="9"/>
        <v>#N/A</v>
      </c>
      <c r="T30" s="776" t="s">
        <v>17</v>
      </c>
      <c r="U30" s="777" t="e">
        <f t="shared" si="10"/>
        <v>#N/A</v>
      </c>
      <c r="V30" s="776" t="s">
        <v>17</v>
      </c>
      <c r="W30" s="777" t="e">
        <f t="shared" si="11"/>
        <v>#N/A</v>
      </c>
      <c r="X30" s="778"/>
      <c r="Y30" s="3230"/>
      <c r="Z30" s="779" t="str">
        <f t="shared" si="12"/>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0"/>
      <c r="Q31" s="1811" t="str">
        <f t="shared" si="8"/>
        <v>建筑结构</v>
      </c>
      <c r="R31" s="773" t="s">
        <v>17</v>
      </c>
      <c r="S31" s="774">
        <f t="shared" si="9"/>
        <v>100</v>
      </c>
      <c r="T31" s="773" t="s">
        <v>17</v>
      </c>
      <c r="U31" s="774">
        <f t="shared" si="10"/>
        <v>100</v>
      </c>
      <c r="V31" s="773" t="s">
        <v>17</v>
      </c>
      <c r="W31" s="774">
        <f t="shared" si="11"/>
        <v>100</v>
      </c>
      <c r="X31" s="1814"/>
      <c r="Y31" s="3230"/>
      <c r="Z31" s="1815" t="str">
        <f t="shared" si="12"/>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0"/>
      <c r="Q32" s="1811" t="str">
        <f t="shared" si="8"/>
        <v>公共部分装修</v>
      </c>
      <c r="R32" s="773" t="s">
        <v>17</v>
      </c>
      <c r="S32" s="774">
        <f t="shared" si="9"/>
        <v>100</v>
      </c>
      <c r="T32" s="773" t="s">
        <v>17</v>
      </c>
      <c r="U32" s="774">
        <f t="shared" si="10"/>
        <v>100</v>
      </c>
      <c r="V32" s="773" t="s">
        <v>17</v>
      </c>
      <c r="W32" s="774">
        <f t="shared" si="11"/>
        <v>100</v>
      </c>
      <c r="X32" s="1814"/>
      <c r="Y32" s="3230"/>
      <c r="Z32" s="1815" t="str">
        <f t="shared" si="12"/>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0"/>
      <c r="Q33" s="1811" t="str">
        <f t="shared" si="8"/>
        <v>成新度</v>
      </c>
      <c r="R33" s="773" t="s">
        <v>17</v>
      </c>
      <c r="S33" s="774" t="e">
        <f t="shared" si="9"/>
        <v>#N/A</v>
      </c>
      <c r="T33" s="773" t="s">
        <v>17</v>
      </c>
      <c r="U33" s="774" t="e">
        <f t="shared" si="10"/>
        <v>#N/A</v>
      </c>
      <c r="V33" s="773" t="s">
        <v>17</v>
      </c>
      <c r="W33" s="774" t="e">
        <f t="shared" si="11"/>
        <v>#N/A</v>
      </c>
      <c r="X33" s="1814"/>
      <c r="Y33" s="3230"/>
      <c r="Z33" s="1815" t="str">
        <f t="shared" si="12"/>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0"/>
      <c r="Q34" s="1796" t="str">
        <f t="shared" si="8"/>
        <v>物业管理</v>
      </c>
      <c r="R34" s="769" t="s">
        <v>17</v>
      </c>
      <c r="S34" s="770">
        <f t="shared" si="9"/>
        <v>100</v>
      </c>
      <c r="T34" s="769" t="s">
        <v>17</v>
      </c>
      <c r="U34" s="770">
        <f t="shared" si="10"/>
        <v>100</v>
      </c>
      <c r="V34" s="769" t="s">
        <v>17</v>
      </c>
      <c r="W34" s="770">
        <f t="shared" si="11"/>
        <v>100</v>
      </c>
      <c r="X34" s="771"/>
      <c r="Y34" s="3230"/>
      <c r="Z34" s="55" t="str">
        <f t="shared" si="12"/>
        <v>物业管理</v>
      </c>
      <c r="AA34" s="772">
        <f t="shared" si="3"/>
        <v>1</v>
      </c>
      <c r="AB34" s="772">
        <f t="shared" si="4"/>
        <v>1</v>
      </c>
      <c r="AC34" s="772">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0" t="s">
        <v>2564</v>
      </c>
      <c r="Q35" s="1811" t="str">
        <f t="shared" si="8"/>
        <v>市政基础设施</v>
      </c>
      <c r="R35" s="773" t="s">
        <v>17</v>
      </c>
      <c r="S35" s="774">
        <f t="shared" si="9"/>
        <v>100</v>
      </c>
      <c r="T35" s="773" t="s">
        <v>17</v>
      </c>
      <c r="U35" s="774">
        <f t="shared" si="10"/>
        <v>100</v>
      </c>
      <c r="V35" s="773" t="s">
        <v>17</v>
      </c>
      <c r="W35" s="774">
        <f t="shared" si="11"/>
        <v>100</v>
      </c>
      <c r="X35" s="1814"/>
      <c r="Y35" s="3230" t="s">
        <v>2564</v>
      </c>
      <c r="Z35" s="1815" t="str">
        <f t="shared" si="12"/>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0"/>
      <c r="Q36" s="1811" t="str">
        <f t="shared" si="8"/>
        <v>内部装修</v>
      </c>
      <c r="R36" s="773" t="s">
        <v>17</v>
      </c>
      <c r="S36" s="774">
        <f t="shared" si="9"/>
        <v>100</v>
      </c>
      <c r="T36" s="773" t="s">
        <v>17</v>
      </c>
      <c r="U36" s="774">
        <f t="shared" si="10"/>
        <v>100</v>
      </c>
      <c r="V36" s="773" t="s">
        <v>17</v>
      </c>
      <c r="W36" s="774">
        <f t="shared" si="11"/>
        <v>100</v>
      </c>
      <c r="X36" s="1814"/>
      <c r="Y36" s="3230"/>
      <c r="Z36" s="1815" t="str">
        <f t="shared" si="12"/>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0"/>
      <c r="Q37" s="1811" t="str">
        <f t="shared" si="8"/>
        <v>内部装修状况</v>
      </c>
      <c r="R37" s="773" t="s">
        <v>17</v>
      </c>
      <c r="S37" s="774">
        <f t="shared" si="9"/>
        <v>100</v>
      </c>
      <c r="T37" s="773" t="s">
        <v>17</v>
      </c>
      <c r="U37" s="774">
        <f t="shared" si="10"/>
        <v>100</v>
      </c>
      <c r="V37" s="773" t="s">
        <v>17</v>
      </c>
      <c r="W37" s="774">
        <f t="shared" si="11"/>
        <v>100</v>
      </c>
      <c r="X37" s="1814"/>
      <c r="Y37" s="3230"/>
      <c r="Z37" s="1815" t="str">
        <f t="shared" si="12"/>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0"/>
      <c r="Q38" s="775">
        <f t="shared" si="8"/>
        <v>111</v>
      </c>
      <c r="R38" s="776" t="s">
        <v>17</v>
      </c>
      <c r="S38" s="777">
        <f t="shared" si="9"/>
        <v>100</v>
      </c>
      <c r="T38" s="776" t="s">
        <v>17</v>
      </c>
      <c r="U38" s="777">
        <f t="shared" si="10"/>
        <v>100</v>
      </c>
      <c r="V38" s="776" t="s">
        <v>17</v>
      </c>
      <c r="W38" s="777">
        <f t="shared" si="11"/>
        <v>100</v>
      </c>
      <c r="X38" s="778"/>
      <c r="Y38" s="3230"/>
      <c r="Z38" s="779">
        <f t="shared" si="12"/>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0"/>
      <c r="Q39" s="1811">
        <f t="shared" si="8"/>
        <v>111</v>
      </c>
      <c r="R39" s="773" t="s">
        <v>17</v>
      </c>
      <c r="S39" s="774">
        <f t="shared" si="9"/>
        <v>100</v>
      </c>
      <c r="T39" s="773" t="s">
        <v>17</v>
      </c>
      <c r="U39" s="774">
        <f t="shared" si="10"/>
        <v>100</v>
      </c>
      <c r="V39" s="773" t="s">
        <v>17</v>
      </c>
      <c r="W39" s="774">
        <f t="shared" si="11"/>
        <v>100</v>
      </c>
      <c r="X39" s="1814"/>
      <c r="Y39" s="3230"/>
      <c r="Z39" s="1815">
        <f t="shared" si="12"/>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5"/>
      <c r="Q40" s="1811">
        <f t="shared" si="8"/>
        <v>111</v>
      </c>
      <c r="R40" s="773" t="s">
        <v>17</v>
      </c>
      <c r="S40" s="774">
        <f t="shared" si="9"/>
        <v>100</v>
      </c>
      <c r="T40" s="773" t="s">
        <v>17</v>
      </c>
      <c r="U40" s="774">
        <f t="shared" si="10"/>
        <v>100</v>
      </c>
      <c r="V40" s="773" t="s">
        <v>17</v>
      </c>
      <c r="W40" s="774">
        <f t="shared" si="11"/>
        <v>100</v>
      </c>
      <c r="X40" s="1814"/>
      <c r="Y40" s="3245"/>
      <c r="Z40" s="1815">
        <f t="shared" si="12"/>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2"/>
      <c r="L41" s="1145"/>
      <c r="M41" s="1146"/>
      <c r="N41" s="1133"/>
      <c r="O41" s="1146"/>
      <c r="P41" s="3212" t="str">
        <f>A41</f>
        <v>成交单价（元/平方米）</v>
      </c>
      <c r="Q41" s="3212"/>
      <c r="R41" s="3241">
        <f>E41</f>
        <v>0</v>
      </c>
      <c r="S41" s="3241"/>
      <c r="T41" s="3241">
        <f>G41</f>
        <v>0</v>
      </c>
      <c r="U41" s="3241"/>
      <c r="V41" s="3241">
        <f>I41</f>
        <v>0</v>
      </c>
      <c r="W41" s="3241"/>
      <c r="X41" s="758"/>
      <c r="Y41" s="780"/>
      <c r="Z41" s="758"/>
      <c r="AA41" s="758"/>
      <c r="AB41" s="758"/>
      <c r="AC41" s="758"/>
    </row>
    <row r="42" spans="1:29" ht="15.75" thickBot="1">
      <c r="A42" s="486" t="s">
        <v>2668</v>
      </c>
      <c r="B42" s="487"/>
      <c r="C42" s="1415" t="e">
        <f>R43</f>
        <v>#DIV/0!</v>
      </c>
      <c r="D42" s="1416"/>
      <c r="E42" s="1417" t="e">
        <f>R42</f>
        <v>#DIV/0!</v>
      </c>
      <c r="F42" s="1417"/>
      <c r="G42" s="1415" t="e">
        <f>T42</f>
        <v>#DIV/0!</v>
      </c>
      <c r="H42" s="1416"/>
      <c r="I42" s="1417" t="e">
        <f>V42</f>
        <v>#DIV/0!</v>
      </c>
      <c r="J42" s="1416"/>
      <c r="K42" s="783"/>
      <c r="L42" s="1145"/>
      <c r="M42" s="1146"/>
      <c r="N42" s="1133"/>
      <c r="O42" s="1146"/>
      <c r="P42" s="3212" t="str">
        <f>A42</f>
        <v>比较价值（元/平方米）</v>
      </c>
      <c r="Q42" s="3212"/>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8"/>
      <c r="Y42" s="758"/>
      <c r="Z42" s="758"/>
      <c r="AA42" s="758"/>
      <c r="AB42" s="758"/>
      <c r="AC42" s="758"/>
    </row>
    <row r="43" spans="1:29" ht="15.75" thickBot="1">
      <c r="A43" s="492" t="s">
        <v>2669</v>
      </c>
      <c r="B43" s="493"/>
      <c r="C43" s="1419" t="e">
        <f>R43</f>
        <v>#DIV/0!</v>
      </c>
      <c r="D43" s="1419"/>
      <c r="E43" s="1419"/>
      <c r="F43" s="1419"/>
      <c r="G43" s="1419"/>
      <c r="H43" s="1419"/>
      <c r="I43" s="1419"/>
      <c r="J43" s="1419"/>
      <c r="K43" s="784"/>
      <c r="L43" s="1145"/>
      <c r="M43" s="1146"/>
      <c r="N43" s="1146"/>
      <c r="O43" s="1146"/>
      <c r="P43" s="3232" t="str">
        <f>A43</f>
        <v>估价对象XX用房的比较价值（楼面单价，元/平方米）</v>
      </c>
      <c r="Q43" s="3233"/>
      <c r="R43" s="3240" t="e">
        <f>IF(F1="售价",ROUND(AVERAGE(R42:V42),0),ROUND(AVERAGE(R42:V42),1))</f>
        <v>#DIV/0!</v>
      </c>
      <c r="S43" s="3240"/>
      <c r="T43" s="3240"/>
      <c r="U43" s="3240"/>
      <c r="V43" s="3240"/>
      <c r="W43" s="324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3"/>
      <c r="Q51" s="504"/>
    </row>
    <row r="52" spans="1:17" s="508" customFormat="1" ht="15">
      <c r="A52" s="505" t="s">
        <v>2547</v>
      </c>
      <c r="B52" s="506"/>
      <c r="C52" s="1575" t="str">
        <f>YEAR(C7)&amp;"-"&amp;MONTH(C7)</f>
        <v>2018-7</v>
      </c>
      <c r="D52" s="1576">
        <f>EDATE(C52,-1)</f>
        <v>43252</v>
      </c>
      <c r="E52" s="1576">
        <f t="shared" ref="E52:O52" si="13">EDATE(D52,-1)</f>
        <v>43221</v>
      </c>
      <c r="F52" s="1576">
        <f t="shared" si="13"/>
        <v>43191</v>
      </c>
      <c r="G52" s="1576">
        <f t="shared" si="13"/>
        <v>43160</v>
      </c>
      <c r="H52" s="1576">
        <f t="shared" si="13"/>
        <v>43132</v>
      </c>
      <c r="I52" s="1576">
        <f t="shared" si="13"/>
        <v>43101</v>
      </c>
      <c r="J52" s="1576">
        <f t="shared" si="13"/>
        <v>43070</v>
      </c>
      <c r="K52" s="1576">
        <f t="shared" si="13"/>
        <v>43040</v>
      </c>
      <c r="L52" s="1576">
        <f t="shared" si="13"/>
        <v>43009</v>
      </c>
      <c r="M52" s="1576">
        <f t="shared" si="13"/>
        <v>42979</v>
      </c>
      <c r="N52" s="1576">
        <f t="shared" si="13"/>
        <v>42948</v>
      </c>
      <c r="O52" s="1576">
        <f t="shared" si="13"/>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5"/>
      <c r="O89" s="1155"/>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1"/>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20" t="e">
        <f ca="1">IF(C2="——",IF(B37="元/平方米",ROUND(C39*D3/10000,0),ROUND(F3*C39/10000,0)),IF(B37="元/平方米",ROUND(C39*D3/10000,0),ROUND(F3*C39/10000,0))-D2)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8" t="s">
        <v>2548</v>
      </c>
      <c r="Q7" s="3226"/>
      <c r="R7" s="769" t="s">
        <v>17</v>
      </c>
      <c r="S7" s="770">
        <f t="shared" ref="S7:S14" si="0">F7</f>
        <v>0</v>
      </c>
      <c r="T7" s="769" t="s">
        <v>17</v>
      </c>
      <c r="U7" s="770">
        <f t="shared" ref="U7:U14" si="1">H7</f>
        <v>0</v>
      </c>
      <c r="V7" s="769" t="s">
        <v>17</v>
      </c>
      <c r="W7" s="770">
        <f t="shared" ref="W7:W14" si="2">J7</f>
        <v>0</v>
      </c>
      <c r="X7" s="771"/>
      <c r="Y7" s="3198" t="s">
        <v>2548</v>
      </c>
      <c r="Z7" s="3199"/>
      <c r="AA7" s="772" t="e">
        <f>D7/F7</f>
        <v>#DIV/0!</v>
      </c>
      <c r="AB7" s="772" t="e">
        <f>D7/H7</f>
        <v>#DIV/0!</v>
      </c>
      <c r="AC7" s="772"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36" si="3">D8/F8</f>
        <v>#DIV/0!</v>
      </c>
      <c r="AB8" s="772" t="e">
        <f t="shared" ref="AB8:AB36" si="4">D8/H8</f>
        <v>#DIV/0!</v>
      </c>
      <c r="AC8" s="772"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2" t="s">
        <v>2554</v>
      </c>
      <c r="Q9" s="1796" t="str">
        <f t="shared" ref="Q9:Q14" si="6">B9</f>
        <v>用途</v>
      </c>
      <c r="R9" s="769" t="s">
        <v>17</v>
      </c>
      <c r="S9" s="770">
        <f t="shared" si="0"/>
        <v>100</v>
      </c>
      <c r="T9" s="769" t="s">
        <v>17</v>
      </c>
      <c r="U9" s="770">
        <f t="shared" si="1"/>
        <v>100</v>
      </c>
      <c r="V9" s="769" t="s">
        <v>17</v>
      </c>
      <c r="W9" s="770">
        <f t="shared" si="2"/>
        <v>100</v>
      </c>
      <c r="X9" s="771"/>
      <c r="Y9" s="3072" t="s">
        <v>2555</v>
      </c>
      <c r="Z9" s="55" t="str">
        <f t="shared" ref="Z9:Z14" si="7">Q9</f>
        <v>用途</v>
      </c>
      <c r="AA9" s="772">
        <f t="shared" si="3"/>
        <v>1</v>
      </c>
      <c r="AB9" s="772">
        <f t="shared" si="4"/>
        <v>1</v>
      </c>
      <c r="AC9" s="772">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2"/>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2"/>
      <c r="Q11" s="1796">
        <f t="shared" si="6"/>
        <v>111</v>
      </c>
      <c r="R11" s="769" t="s">
        <v>17</v>
      </c>
      <c r="S11" s="770">
        <f t="shared" si="0"/>
        <v>100</v>
      </c>
      <c r="T11" s="769" t="s">
        <v>17</v>
      </c>
      <c r="U11" s="770">
        <f t="shared" si="1"/>
        <v>100</v>
      </c>
      <c r="V11" s="769" t="s">
        <v>17</v>
      </c>
      <c r="W11" s="770">
        <f t="shared" si="2"/>
        <v>100</v>
      </c>
      <c r="X11" s="771"/>
      <c r="Y11" s="307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2"/>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99.75">
      <c r="A14" s="401" t="s">
        <v>2558</v>
      </c>
      <c r="B14" s="629" t="s">
        <v>2708</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7" t="s">
        <v>2559</v>
      </c>
      <c r="Q14" s="1811" t="str">
        <f t="shared" si="6"/>
        <v>交通便捷度</v>
      </c>
      <c r="R14" s="773" t="s">
        <v>17</v>
      </c>
      <c r="S14" s="774">
        <f t="shared" si="0"/>
        <v>100</v>
      </c>
      <c r="T14" s="773" t="s">
        <v>17</v>
      </c>
      <c r="U14" s="774">
        <f t="shared" si="1"/>
        <v>100</v>
      </c>
      <c r="V14" s="773" t="s">
        <v>17</v>
      </c>
      <c r="W14" s="774">
        <f t="shared" si="2"/>
        <v>100</v>
      </c>
      <c r="X14" s="1814"/>
      <c r="Y14" s="3227"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28"/>
      <c r="Q15" s="1811"/>
      <c r="R15" s="773"/>
      <c r="S15" s="774"/>
      <c r="T15" s="773"/>
      <c r="U15" s="774"/>
      <c r="V15" s="773"/>
      <c r="W15" s="774"/>
      <c r="X15" s="1814"/>
      <c r="Y15" s="3228"/>
      <c r="Z15" s="1815"/>
      <c r="AA15" s="1812">
        <v>1</v>
      </c>
      <c r="AB15" s="1812">
        <v>1</v>
      </c>
      <c r="AC15" s="1812">
        <v>1</v>
      </c>
    </row>
    <row r="16" spans="1:29" ht="42.75">
      <c r="A16" s="404"/>
      <c r="B16" s="631" t="s">
        <v>2687</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8"/>
      <c r="Q16" s="1811" t="str">
        <f>B16</f>
        <v>公共配套设施</v>
      </c>
      <c r="R16" s="773" t="s">
        <v>17</v>
      </c>
      <c r="S16" s="774">
        <f>F16</f>
        <v>100</v>
      </c>
      <c r="T16" s="773" t="s">
        <v>17</v>
      </c>
      <c r="U16" s="774">
        <f>H16</f>
        <v>100</v>
      </c>
      <c r="V16" s="773" t="s">
        <v>17</v>
      </c>
      <c r="W16" s="774">
        <f>J16</f>
        <v>100</v>
      </c>
      <c r="X16" s="1814"/>
      <c r="Y16" s="3228"/>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28"/>
      <c r="Q17" s="1811"/>
      <c r="R17" s="773"/>
      <c r="S17" s="774"/>
      <c r="T17" s="773"/>
      <c r="U17" s="774"/>
      <c r="V17" s="773"/>
      <c r="W17" s="774"/>
      <c r="X17" s="1814"/>
      <c r="Y17" s="3228"/>
      <c r="Z17" s="1815"/>
      <c r="AA17" s="1812">
        <v>1</v>
      </c>
      <c r="AB17" s="1812">
        <v>1</v>
      </c>
      <c r="AC17" s="1812">
        <v>1</v>
      </c>
    </row>
    <row r="18" spans="1:29" ht="42.75">
      <c r="A18" s="404"/>
      <c r="B18" s="633" t="s">
        <v>2688</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8"/>
      <c r="Q18" s="1811" t="str">
        <f>B18</f>
        <v>基础设施水平</v>
      </c>
      <c r="R18" s="773" t="s">
        <v>17</v>
      </c>
      <c r="S18" s="774">
        <f>F18</f>
        <v>100</v>
      </c>
      <c r="T18" s="773" t="s">
        <v>17</v>
      </c>
      <c r="U18" s="774">
        <f>H18</f>
        <v>100</v>
      </c>
      <c r="V18" s="773" t="s">
        <v>17</v>
      </c>
      <c r="W18" s="774">
        <f>J18</f>
        <v>100</v>
      </c>
      <c r="X18" s="1814"/>
      <c r="Y18" s="3228"/>
      <c r="Z18" s="1815" t="str">
        <f>Q18</f>
        <v>基础设施水平</v>
      </c>
      <c r="AA18" s="1812">
        <f>D18/F18</f>
        <v>1</v>
      </c>
      <c r="AB18" s="1812">
        <f>D18/H18</f>
        <v>1</v>
      </c>
      <c r="AC18" s="1812">
        <f>D18/J18</f>
        <v>1</v>
      </c>
    </row>
    <row r="19" spans="1:29" ht="15">
      <c r="A19" s="404"/>
      <c r="B19" s="633"/>
      <c r="C19" s="2605"/>
      <c r="D19" s="450"/>
      <c r="E19" s="2605"/>
      <c r="F19" s="453"/>
      <c r="G19" s="2605"/>
      <c r="H19" s="448"/>
      <c r="I19" s="447"/>
      <c r="J19" s="448"/>
      <c r="K19" s="1385"/>
      <c r="L19" s="1142"/>
      <c r="M19" s="1133"/>
      <c r="N19" s="1133"/>
      <c r="O19" s="1133"/>
      <c r="P19" s="3228"/>
      <c r="Q19" s="1811"/>
      <c r="R19" s="773"/>
      <c r="S19" s="774"/>
      <c r="T19" s="773"/>
      <c r="U19" s="774"/>
      <c r="V19" s="773"/>
      <c r="W19" s="774"/>
      <c r="X19" s="1814"/>
      <c r="Y19" s="3228"/>
      <c r="Z19" s="1815"/>
      <c r="AA19" s="1812">
        <v>1</v>
      </c>
      <c r="AB19" s="1812">
        <v>1</v>
      </c>
      <c r="AC19" s="1812">
        <v>1</v>
      </c>
    </row>
    <row r="20" spans="1:29" ht="99.75">
      <c r="A20" s="404"/>
      <c r="B20" s="631" t="s">
        <v>2709</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8"/>
      <c r="Q20" s="1811" t="str">
        <f>B20</f>
        <v>自然及人文环境</v>
      </c>
      <c r="R20" s="773" t="s">
        <v>17</v>
      </c>
      <c r="S20" s="774">
        <f>F20</f>
        <v>100</v>
      </c>
      <c r="T20" s="773" t="s">
        <v>17</v>
      </c>
      <c r="U20" s="774">
        <f>H20</f>
        <v>100</v>
      </c>
      <c r="V20" s="773" t="s">
        <v>17</v>
      </c>
      <c r="W20" s="774">
        <f>J20</f>
        <v>100</v>
      </c>
      <c r="X20" s="1814"/>
      <c r="Y20" s="3228"/>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28"/>
      <c r="Q21" s="1811"/>
      <c r="R21" s="773"/>
      <c r="S21" s="774"/>
      <c r="T21" s="773"/>
      <c r="U21" s="774"/>
      <c r="V21" s="773"/>
      <c r="W21" s="774"/>
      <c r="X21" s="1814"/>
      <c r="Y21" s="3228"/>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8"/>
      <c r="Q22" s="1811" t="str">
        <f>B22</f>
        <v>楼层</v>
      </c>
      <c r="R22" s="773" t="s">
        <v>17</v>
      </c>
      <c r="S22" s="774">
        <f>F22</f>
        <v>100</v>
      </c>
      <c r="T22" s="773" t="s">
        <v>17</v>
      </c>
      <c r="U22" s="774">
        <f>H22</f>
        <v>100</v>
      </c>
      <c r="V22" s="773" t="s">
        <v>17</v>
      </c>
      <c r="W22" s="774">
        <f>J22</f>
        <v>100</v>
      </c>
      <c r="X22" s="1814"/>
      <c r="Y22" s="3228"/>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8"/>
      <c r="Q23" s="1811">
        <f>B23</f>
        <v>111</v>
      </c>
      <c r="R23" s="773" t="s">
        <v>17</v>
      </c>
      <c r="S23" s="774">
        <f>F23</f>
        <v>100</v>
      </c>
      <c r="T23" s="773" t="s">
        <v>17</v>
      </c>
      <c r="U23" s="774">
        <f>H23</f>
        <v>100</v>
      </c>
      <c r="V23" s="773" t="s">
        <v>17</v>
      </c>
      <c r="W23" s="774">
        <f>J23</f>
        <v>100</v>
      </c>
      <c r="X23" s="1814"/>
      <c r="Y23" s="3228"/>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8"/>
      <c r="Q24" s="1811">
        <f t="shared" ref="Q24:Q36" si="8">B24</f>
        <v>111</v>
      </c>
      <c r="R24" s="773" t="s">
        <v>17</v>
      </c>
      <c r="S24" s="774">
        <f>F24</f>
        <v>100</v>
      </c>
      <c r="T24" s="773" t="s">
        <v>17</v>
      </c>
      <c r="U24" s="774">
        <f>H24</f>
        <v>100</v>
      </c>
      <c r="V24" s="773" t="s">
        <v>17</v>
      </c>
      <c r="W24" s="774">
        <f>J24</f>
        <v>100</v>
      </c>
      <c r="X24" s="1814"/>
      <c r="Y24" s="3228"/>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8"/>
      <c r="Q25" s="1796">
        <f t="shared" si="8"/>
        <v>111</v>
      </c>
      <c r="R25" s="769" t="s">
        <v>17</v>
      </c>
      <c r="S25" s="770">
        <f>F25</f>
        <v>100</v>
      </c>
      <c r="T25" s="769" t="s">
        <v>17</v>
      </c>
      <c r="U25" s="770">
        <f>H25</f>
        <v>100</v>
      </c>
      <c r="V25" s="769" t="s">
        <v>17</v>
      </c>
      <c r="W25" s="770">
        <f>J25</f>
        <v>100</v>
      </c>
      <c r="X25" s="771"/>
      <c r="Y25" s="3228"/>
      <c r="Z25" s="55">
        <f>Q25</f>
        <v>111</v>
      </c>
      <c r="AA25" s="1812">
        <f>D25/F25</f>
        <v>1</v>
      </c>
      <c r="AB25" s="1812">
        <f>D25/H25</f>
        <v>1</v>
      </c>
      <c r="AC25" s="1812">
        <f>D25/J25</f>
        <v>1</v>
      </c>
    </row>
    <row r="26" spans="1:29" ht="1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29" t="s">
        <v>2564</v>
      </c>
      <c r="Q26" s="1811" t="str">
        <f t="shared" si="8"/>
        <v>配套类型</v>
      </c>
      <c r="R26" s="773" t="s">
        <v>17</v>
      </c>
      <c r="S26" s="774">
        <f t="shared" ref="S26:S36" si="9">F26</f>
        <v>100</v>
      </c>
      <c r="T26" s="773" t="s">
        <v>17</v>
      </c>
      <c r="U26" s="774">
        <f t="shared" ref="U26:U36" si="10">H26</f>
        <v>100</v>
      </c>
      <c r="V26" s="773" t="s">
        <v>17</v>
      </c>
      <c r="W26" s="774">
        <f t="shared" ref="W26:W36" si="11">J26</f>
        <v>100</v>
      </c>
      <c r="X26" s="1814"/>
      <c r="Y26" s="3230" t="s">
        <v>2564</v>
      </c>
      <c r="Z26" s="1815" t="str">
        <f t="shared" ref="Z26:Z36" si="12">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0"/>
      <c r="Q27" s="775" t="str">
        <f t="shared" si="8"/>
        <v>项目停车位配比</v>
      </c>
      <c r="R27" s="776" t="s">
        <v>17</v>
      </c>
      <c r="S27" s="777">
        <f t="shared" si="9"/>
        <v>100</v>
      </c>
      <c r="T27" s="776" t="s">
        <v>17</v>
      </c>
      <c r="U27" s="777">
        <f t="shared" si="10"/>
        <v>100</v>
      </c>
      <c r="V27" s="776" t="s">
        <v>17</v>
      </c>
      <c r="W27" s="777">
        <f t="shared" si="11"/>
        <v>100</v>
      </c>
      <c r="X27" s="778"/>
      <c r="Y27" s="3230"/>
      <c r="Z27" s="779" t="str">
        <f t="shared" si="12"/>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0"/>
      <c r="Q28" s="1811" t="str">
        <f t="shared" si="8"/>
        <v>公共部分装修</v>
      </c>
      <c r="R28" s="773" t="s">
        <v>17</v>
      </c>
      <c r="S28" s="774">
        <f t="shared" si="9"/>
        <v>100</v>
      </c>
      <c r="T28" s="773" t="s">
        <v>17</v>
      </c>
      <c r="U28" s="774">
        <f t="shared" si="10"/>
        <v>100</v>
      </c>
      <c r="V28" s="773" t="s">
        <v>17</v>
      </c>
      <c r="W28" s="774">
        <f t="shared" si="11"/>
        <v>100</v>
      </c>
      <c r="X28" s="1814"/>
      <c r="Y28" s="3230"/>
      <c r="Z28" s="1815" t="str">
        <f t="shared" si="12"/>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0"/>
      <c r="Q29" s="1811" t="str">
        <f t="shared" si="8"/>
        <v>成新率</v>
      </c>
      <c r="R29" s="773" t="s">
        <v>17</v>
      </c>
      <c r="S29" s="774" t="e">
        <f t="shared" si="9"/>
        <v>#N/A</v>
      </c>
      <c r="T29" s="773" t="s">
        <v>17</v>
      </c>
      <c r="U29" s="774" t="e">
        <f t="shared" si="10"/>
        <v>#N/A</v>
      </c>
      <c r="V29" s="773" t="s">
        <v>17</v>
      </c>
      <c r="W29" s="774" t="e">
        <f t="shared" si="11"/>
        <v>#N/A</v>
      </c>
      <c r="X29" s="1814"/>
      <c r="Y29" s="3230"/>
      <c r="Z29" s="1815" t="str">
        <f t="shared" si="12"/>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0"/>
      <c r="Q30" s="1811" t="str">
        <f t="shared" si="8"/>
        <v>物业等级</v>
      </c>
      <c r="R30" s="773" t="s">
        <v>17</v>
      </c>
      <c r="S30" s="774">
        <f t="shared" si="9"/>
        <v>100</v>
      </c>
      <c r="T30" s="773" t="s">
        <v>17</v>
      </c>
      <c r="U30" s="774">
        <f t="shared" si="10"/>
        <v>100</v>
      </c>
      <c r="V30" s="773" t="s">
        <v>17</v>
      </c>
      <c r="W30" s="774">
        <f t="shared" si="11"/>
        <v>100</v>
      </c>
      <c r="X30" s="1814"/>
      <c r="Y30" s="3230"/>
      <c r="Z30" s="1815" t="str">
        <f t="shared" si="12"/>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0"/>
      <c r="Q31" s="1796" t="str">
        <f t="shared" si="8"/>
        <v>停车位面积</v>
      </c>
      <c r="R31" s="769" t="s">
        <v>17</v>
      </c>
      <c r="S31" s="770" t="e">
        <f t="shared" si="9"/>
        <v>#N/A</v>
      </c>
      <c r="T31" s="769" t="s">
        <v>17</v>
      </c>
      <c r="U31" s="770" t="e">
        <f t="shared" si="10"/>
        <v>#N/A</v>
      </c>
      <c r="V31" s="769" t="s">
        <v>17</v>
      </c>
      <c r="W31" s="770" t="e">
        <f t="shared" si="11"/>
        <v>#N/A</v>
      </c>
      <c r="X31" s="771"/>
      <c r="Y31" s="3230"/>
      <c r="Z31" s="55" t="str">
        <f t="shared" si="12"/>
        <v>停车位面积</v>
      </c>
      <c r="AA31" s="772" t="e">
        <f t="shared" si="3"/>
        <v>#N/A</v>
      </c>
      <c r="AB31" s="772" t="e">
        <f t="shared" si="4"/>
        <v>#N/A</v>
      </c>
      <c r="AC31" s="772"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0" t="s">
        <v>2564</v>
      </c>
      <c r="Q32" s="1811" t="str">
        <f t="shared" si="8"/>
        <v>车位类型</v>
      </c>
      <c r="R32" s="773" t="s">
        <v>17</v>
      </c>
      <c r="S32" s="774">
        <f t="shared" si="9"/>
        <v>100</v>
      </c>
      <c r="T32" s="773" t="s">
        <v>17</v>
      </c>
      <c r="U32" s="774">
        <f t="shared" si="10"/>
        <v>100</v>
      </c>
      <c r="V32" s="773" t="s">
        <v>17</v>
      </c>
      <c r="W32" s="774">
        <f t="shared" si="11"/>
        <v>100</v>
      </c>
      <c r="X32" s="1814"/>
      <c r="Y32" s="3230" t="s">
        <v>2564</v>
      </c>
      <c r="Z32" s="1815" t="str">
        <f t="shared" si="12"/>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0"/>
      <c r="Q33" s="1811" t="str">
        <f t="shared" si="8"/>
        <v>是否直接入户</v>
      </c>
      <c r="R33" s="773" t="s">
        <v>17</v>
      </c>
      <c r="S33" s="774">
        <f t="shared" si="9"/>
        <v>100</v>
      </c>
      <c r="T33" s="773" t="s">
        <v>17</v>
      </c>
      <c r="U33" s="774">
        <f t="shared" si="10"/>
        <v>100</v>
      </c>
      <c r="V33" s="773" t="s">
        <v>17</v>
      </c>
      <c r="W33" s="774">
        <f t="shared" si="11"/>
        <v>100</v>
      </c>
      <c r="X33" s="1814"/>
      <c r="Y33" s="3230"/>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0"/>
      <c r="Q34" s="1811">
        <f t="shared" si="8"/>
        <v>111</v>
      </c>
      <c r="R34" s="773" t="s">
        <v>17</v>
      </c>
      <c r="S34" s="774">
        <f t="shared" si="9"/>
        <v>100</v>
      </c>
      <c r="T34" s="773" t="s">
        <v>17</v>
      </c>
      <c r="U34" s="774">
        <f t="shared" si="10"/>
        <v>100</v>
      </c>
      <c r="V34" s="773" t="s">
        <v>17</v>
      </c>
      <c r="W34" s="774">
        <f t="shared" si="11"/>
        <v>100</v>
      </c>
      <c r="X34" s="1814"/>
      <c r="Y34" s="3230"/>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0"/>
      <c r="Q35" s="775">
        <f t="shared" si="8"/>
        <v>111</v>
      </c>
      <c r="R35" s="776" t="s">
        <v>17</v>
      </c>
      <c r="S35" s="777">
        <f t="shared" si="9"/>
        <v>100</v>
      </c>
      <c r="T35" s="776" t="s">
        <v>17</v>
      </c>
      <c r="U35" s="777">
        <f t="shared" si="10"/>
        <v>100</v>
      </c>
      <c r="V35" s="776" t="s">
        <v>17</v>
      </c>
      <c r="W35" s="777">
        <f t="shared" si="11"/>
        <v>100</v>
      </c>
      <c r="X35" s="778"/>
      <c r="Y35" s="3230"/>
      <c r="Z35" s="779">
        <f t="shared" si="12"/>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0"/>
      <c r="Q36" s="1811">
        <f t="shared" si="8"/>
        <v>111</v>
      </c>
      <c r="R36" s="773" t="s">
        <v>17</v>
      </c>
      <c r="S36" s="774">
        <f t="shared" si="9"/>
        <v>100</v>
      </c>
      <c r="T36" s="773" t="s">
        <v>17</v>
      </c>
      <c r="U36" s="774">
        <f t="shared" si="10"/>
        <v>100</v>
      </c>
      <c r="V36" s="773" t="s">
        <v>17</v>
      </c>
      <c r="W36" s="774">
        <f t="shared" si="11"/>
        <v>100</v>
      </c>
      <c r="X36" s="1814"/>
      <c r="Y36" s="3230"/>
      <c r="Z36" s="1815">
        <f t="shared" si="12"/>
        <v>111</v>
      </c>
      <c r="AA36" s="1812">
        <f t="shared" si="3"/>
        <v>1</v>
      </c>
      <c r="AB36" s="1812">
        <f t="shared" si="4"/>
        <v>1</v>
      </c>
      <c r="AC36" s="1812">
        <f t="shared" si="5"/>
        <v>1</v>
      </c>
    </row>
    <row r="37" spans="1:29" ht="15">
      <c r="A37" s="479" t="s">
        <v>2719</v>
      </c>
      <c r="B37" s="2692" t="s">
        <v>2720</v>
      </c>
      <c r="C37" s="1409" t="s">
        <v>1</v>
      </c>
      <c r="D37" s="1410"/>
      <c r="E37" s="1411"/>
      <c r="F37" s="1412"/>
      <c r="G37" s="1413"/>
      <c r="H37" s="1414"/>
      <c r="I37" s="1411"/>
      <c r="J37" s="1414"/>
      <c r="K37" s="619"/>
      <c r="L37" s="1145"/>
      <c r="M37" s="1146"/>
      <c r="N37" s="1133"/>
      <c r="O37" s="1146"/>
      <c r="P37" s="3212" t="str">
        <f>A37</f>
        <v>成交单价</v>
      </c>
      <c r="Q37" s="3212"/>
      <c r="R37" s="3241">
        <f>E37</f>
        <v>0</v>
      </c>
      <c r="S37" s="3241"/>
      <c r="T37" s="3241">
        <f>G37</f>
        <v>0</v>
      </c>
      <c r="U37" s="3241"/>
      <c r="V37" s="3241">
        <f>I37</f>
        <v>0</v>
      </c>
      <c r="W37" s="3241"/>
      <c r="X37" s="758"/>
      <c r="Y37" s="780"/>
      <c r="Z37" s="758"/>
      <c r="AA37" s="758"/>
      <c r="AB37" s="758"/>
      <c r="AC37" s="758"/>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2" t="str">
        <f>A38</f>
        <v>比较价值（元/平方米）</v>
      </c>
      <c r="Q38" s="3212"/>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8"/>
      <c r="Y38" s="758"/>
      <c r="Z38" s="758"/>
      <c r="AA38" s="758"/>
      <c r="AB38" s="758"/>
      <c r="AC38" s="758"/>
    </row>
    <row r="39" spans="1:29" ht="15.75" thickBot="1">
      <c r="A39" s="492" t="s">
        <v>2722</v>
      </c>
      <c r="B39" s="493"/>
      <c r="C39" s="1419" t="e">
        <f>R39</f>
        <v>#DIV/0!</v>
      </c>
      <c r="D39" s="1419"/>
      <c r="E39" s="1419"/>
      <c r="F39" s="1419"/>
      <c r="G39" s="1419"/>
      <c r="H39" s="1419"/>
      <c r="I39" s="1419"/>
      <c r="J39" s="1419"/>
      <c r="K39" s="621"/>
      <c r="L39" s="1145"/>
      <c r="M39" s="1146"/>
      <c r="N39" s="1146"/>
      <c r="O39" s="1146"/>
      <c r="P39" s="3232" t="str">
        <f>A39</f>
        <v>估价对象XX用房的比较价值（楼面单价，元/平方米）</v>
      </c>
      <c r="Q39" s="3233"/>
      <c r="R39" s="3240" t="e">
        <f>IF(F1="售价",ROUND(AVERAGE(R38:V38),0),ROUND(AVERAGE(R38:V38),1))</f>
        <v>#DIV/0!</v>
      </c>
      <c r="S39" s="3240"/>
      <c r="T39" s="3240"/>
      <c r="U39" s="3240"/>
      <c r="V39" s="3240"/>
      <c r="W39" s="324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5" t="str">
        <f>YEAR(C7)&amp;"-"&amp;MONTH(C7)</f>
        <v>2018-7</v>
      </c>
      <c r="D48" s="1576">
        <f>EDATE(C48,-1)</f>
        <v>43252</v>
      </c>
      <c r="E48" s="1576">
        <f t="shared" ref="E48:O48" si="13">EDATE(D48,-1)</f>
        <v>43221</v>
      </c>
      <c r="F48" s="1576">
        <f t="shared" si="13"/>
        <v>43191</v>
      </c>
      <c r="G48" s="1576">
        <f t="shared" si="13"/>
        <v>43160</v>
      </c>
      <c r="H48" s="1576">
        <f t="shared" si="13"/>
        <v>43132</v>
      </c>
      <c r="I48" s="1576">
        <f t="shared" si="13"/>
        <v>43101</v>
      </c>
      <c r="J48" s="1576">
        <f t="shared" si="13"/>
        <v>43070</v>
      </c>
      <c r="K48" s="1576">
        <f t="shared" si="13"/>
        <v>43040</v>
      </c>
      <c r="L48" s="1576">
        <f t="shared" si="13"/>
        <v>43009</v>
      </c>
      <c r="M48" s="1576">
        <f t="shared" si="13"/>
        <v>42979</v>
      </c>
      <c r="N48" s="1576">
        <f t="shared" si="13"/>
        <v>42948</v>
      </c>
      <c r="O48" s="1576">
        <f t="shared" si="13"/>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IF(C2="——",ROUND(C37*D3/10000,0),ROUND(C37*D3/10000,0)-D2)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198" t="s">
        <v>2548</v>
      </c>
      <c r="Q7" s="3226"/>
      <c r="R7" s="769" t="s">
        <v>17</v>
      </c>
      <c r="S7" s="770">
        <f t="shared" ref="S7:S14" si="0">F7</f>
        <v>0</v>
      </c>
      <c r="T7" s="769" t="s">
        <v>17</v>
      </c>
      <c r="U7" s="770">
        <f t="shared" ref="U7:U14" si="1">H7</f>
        <v>0</v>
      </c>
      <c r="V7" s="769" t="s">
        <v>17</v>
      </c>
      <c r="W7" s="770">
        <f t="shared" ref="W7:W14" si="2">J7</f>
        <v>0</v>
      </c>
      <c r="X7" s="771"/>
      <c r="Y7" s="3198" t="s">
        <v>2548</v>
      </c>
      <c r="Z7" s="3199"/>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2" t="s">
        <v>2554</v>
      </c>
      <c r="Q9" s="1796" t="str">
        <f t="shared" ref="Q9:Q14" si="6">B9</f>
        <v>用途</v>
      </c>
      <c r="R9" s="769" t="s">
        <v>17</v>
      </c>
      <c r="S9" s="770">
        <f t="shared" si="0"/>
        <v>100</v>
      </c>
      <c r="T9" s="769" t="s">
        <v>17</v>
      </c>
      <c r="U9" s="770">
        <f t="shared" si="1"/>
        <v>100</v>
      </c>
      <c r="V9" s="769" t="s">
        <v>17</v>
      </c>
      <c r="W9" s="770">
        <f t="shared" si="2"/>
        <v>100</v>
      </c>
      <c r="X9" s="771"/>
      <c r="Y9" s="3072" t="s">
        <v>2555</v>
      </c>
      <c r="Z9" s="55" t="str">
        <f t="shared" ref="Z9:Z14" si="7">Q9</f>
        <v>用途</v>
      </c>
      <c r="AA9" s="772">
        <f t="shared" si="3"/>
        <v>1</v>
      </c>
      <c r="AB9" s="772">
        <f t="shared" si="4"/>
        <v>1</v>
      </c>
      <c r="AC9" s="772">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2"/>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2"/>
      <c r="Q11" s="1796">
        <f t="shared" si="6"/>
        <v>111</v>
      </c>
      <c r="R11" s="769" t="s">
        <v>17</v>
      </c>
      <c r="S11" s="770">
        <f t="shared" si="0"/>
        <v>100</v>
      </c>
      <c r="T11" s="769" t="s">
        <v>17</v>
      </c>
      <c r="U11" s="770">
        <f t="shared" si="1"/>
        <v>100</v>
      </c>
      <c r="V11" s="769" t="s">
        <v>17</v>
      </c>
      <c r="W11" s="770">
        <f t="shared" si="2"/>
        <v>100</v>
      </c>
      <c r="X11" s="771"/>
      <c r="Y11" s="3072"/>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2"/>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99.75">
      <c r="A14" s="440" t="s">
        <v>2558</v>
      </c>
      <c r="B14" s="69" t="s">
        <v>2708</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7" t="s">
        <v>2559</v>
      </c>
      <c r="Q14" s="1811" t="str">
        <f t="shared" si="6"/>
        <v>交通便捷度</v>
      </c>
      <c r="R14" s="773" t="s">
        <v>17</v>
      </c>
      <c r="S14" s="774">
        <f t="shared" si="0"/>
        <v>100</v>
      </c>
      <c r="T14" s="773" t="s">
        <v>17</v>
      </c>
      <c r="U14" s="774">
        <f t="shared" si="1"/>
        <v>100</v>
      </c>
      <c r="V14" s="773" t="s">
        <v>17</v>
      </c>
      <c r="W14" s="774">
        <f t="shared" si="2"/>
        <v>100</v>
      </c>
      <c r="X14" s="1814"/>
      <c r="Y14" s="3227"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28"/>
      <c r="Q15" s="1811"/>
      <c r="R15" s="773"/>
      <c r="S15" s="774"/>
      <c r="T15" s="773"/>
      <c r="U15" s="774"/>
      <c r="V15" s="773"/>
      <c r="W15" s="774"/>
      <c r="X15" s="1814"/>
      <c r="Y15" s="3228"/>
      <c r="Z15" s="1815"/>
      <c r="AA15" s="1812">
        <v>1</v>
      </c>
      <c r="AB15" s="1812">
        <v>1</v>
      </c>
      <c r="AC15" s="1812">
        <v>1</v>
      </c>
    </row>
    <row r="16" spans="1:29" ht="42.75">
      <c r="A16" s="428"/>
      <c r="B16" s="451" t="s">
        <v>2687</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8"/>
      <c r="Q16" s="1811" t="str">
        <f>B16</f>
        <v>公共配套设施</v>
      </c>
      <c r="R16" s="773" t="s">
        <v>17</v>
      </c>
      <c r="S16" s="774">
        <f>F16</f>
        <v>100</v>
      </c>
      <c r="T16" s="773" t="s">
        <v>17</v>
      </c>
      <c r="U16" s="774">
        <f>H16</f>
        <v>100</v>
      </c>
      <c r="V16" s="773" t="s">
        <v>17</v>
      </c>
      <c r="W16" s="774">
        <f>J16</f>
        <v>100</v>
      </c>
      <c r="X16" s="1814"/>
      <c r="Y16" s="3228"/>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28"/>
      <c r="Q17" s="1811"/>
      <c r="R17" s="773"/>
      <c r="S17" s="774"/>
      <c r="T17" s="773"/>
      <c r="U17" s="774"/>
      <c r="V17" s="773"/>
      <c r="W17" s="774"/>
      <c r="X17" s="1814"/>
      <c r="Y17" s="3228"/>
      <c r="Z17" s="1815"/>
      <c r="AA17" s="1812">
        <v>1</v>
      </c>
      <c r="AB17" s="1812">
        <v>1</v>
      </c>
      <c r="AC17" s="1812">
        <v>1</v>
      </c>
    </row>
    <row r="18" spans="1:29" ht="42.75">
      <c r="A18" s="428"/>
      <c r="B18" s="1386" t="s">
        <v>2688</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8"/>
      <c r="Q18" s="1811" t="str">
        <f>B18</f>
        <v>基础设施水平</v>
      </c>
      <c r="R18" s="773" t="s">
        <v>17</v>
      </c>
      <c r="S18" s="774">
        <f>F18</f>
        <v>100</v>
      </c>
      <c r="T18" s="773" t="s">
        <v>17</v>
      </c>
      <c r="U18" s="774">
        <f>H18</f>
        <v>100</v>
      </c>
      <c r="V18" s="773" t="s">
        <v>17</v>
      </c>
      <c r="W18" s="774">
        <f>J18</f>
        <v>100</v>
      </c>
      <c r="X18" s="1814"/>
      <c r="Y18" s="3228"/>
      <c r="Z18" s="1815" t="str">
        <f>Q18</f>
        <v>基础设施水平</v>
      </c>
      <c r="AA18" s="1812">
        <f>D18/F18</f>
        <v>1</v>
      </c>
      <c r="AB18" s="1812">
        <f>D18/H18</f>
        <v>1</v>
      </c>
      <c r="AC18" s="1812">
        <f>D18/J18</f>
        <v>1</v>
      </c>
    </row>
    <row r="19" spans="1:29" ht="15">
      <c r="A19" s="428"/>
      <c r="B19" s="1386"/>
      <c r="C19" s="2605"/>
      <c r="D19" s="450"/>
      <c r="E19" s="2605"/>
      <c r="F19" s="453"/>
      <c r="G19" s="2605"/>
      <c r="H19" s="448"/>
      <c r="I19" s="447"/>
      <c r="J19" s="448"/>
      <c r="K19" s="1385"/>
      <c r="L19" s="1142"/>
      <c r="M19" s="1133"/>
      <c r="N19" s="1133"/>
      <c r="O19" s="1141"/>
      <c r="P19" s="3228"/>
      <c r="Q19" s="1811"/>
      <c r="R19" s="773"/>
      <c r="S19" s="774"/>
      <c r="T19" s="773"/>
      <c r="U19" s="774"/>
      <c r="V19" s="773"/>
      <c r="W19" s="774"/>
      <c r="X19" s="1814"/>
      <c r="Y19" s="3228"/>
      <c r="Z19" s="1815"/>
      <c r="AA19" s="1812">
        <v>1</v>
      </c>
      <c r="AB19" s="1812">
        <v>1</v>
      </c>
      <c r="AC19" s="1812">
        <v>1</v>
      </c>
    </row>
    <row r="20" spans="1:29" ht="99.75">
      <c r="A20" s="428"/>
      <c r="B20" s="451" t="s">
        <v>2709</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8"/>
      <c r="Q20" s="1811" t="str">
        <f>B20</f>
        <v>自然及人文环境</v>
      </c>
      <c r="R20" s="773" t="s">
        <v>17</v>
      </c>
      <c r="S20" s="774">
        <f>F20</f>
        <v>100</v>
      </c>
      <c r="T20" s="773" t="s">
        <v>17</v>
      </c>
      <c r="U20" s="774">
        <f>H20</f>
        <v>100</v>
      </c>
      <c r="V20" s="773" t="s">
        <v>17</v>
      </c>
      <c r="W20" s="774">
        <f>J20</f>
        <v>100</v>
      </c>
      <c r="X20" s="1814"/>
      <c r="Y20" s="3228"/>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28"/>
      <c r="Q21" s="1811"/>
      <c r="R21" s="773"/>
      <c r="S21" s="774"/>
      <c r="T21" s="773"/>
      <c r="U21" s="774"/>
      <c r="V21" s="773"/>
      <c r="W21" s="774"/>
      <c r="X21" s="1814"/>
      <c r="Y21" s="3228"/>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8"/>
      <c r="Q22" s="1811" t="str">
        <f>B22</f>
        <v>楼层</v>
      </c>
      <c r="R22" s="773" t="s">
        <v>17</v>
      </c>
      <c r="S22" s="774">
        <f>F22</f>
        <v>100</v>
      </c>
      <c r="T22" s="773" t="s">
        <v>17</v>
      </c>
      <c r="U22" s="774">
        <f>H22</f>
        <v>100</v>
      </c>
      <c r="V22" s="773" t="s">
        <v>17</v>
      </c>
      <c r="W22" s="774">
        <f>J22</f>
        <v>100</v>
      </c>
      <c r="X22" s="1814"/>
      <c r="Y22" s="3228"/>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8"/>
      <c r="Q23" s="1811">
        <f>B23</f>
        <v>111</v>
      </c>
      <c r="R23" s="773" t="s">
        <v>17</v>
      </c>
      <c r="S23" s="774">
        <f>F23</f>
        <v>100</v>
      </c>
      <c r="T23" s="773" t="s">
        <v>17</v>
      </c>
      <c r="U23" s="774">
        <f>H23</f>
        <v>100</v>
      </c>
      <c r="V23" s="773" t="s">
        <v>17</v>
      </c>
      <c r="W23" s="774">
        <f>J23</f>
        <v>100</v>
      </c>
      <c r="X23" s="1814"/>
      <c r="Y23" s="3228"/>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8"/>
      <c r="Q24" s="1811">
        <f t="shared" ref="Q24:Q34" si="8">B24</f>
        <v>111</v>
      </c>
      <c r="R24" s="773" t="s">
        <v>17</v>
      </c>
      <c r="S24" s="774">
        <f>F24</f>
        <v>100</v>
      </c>
      <c r="T24" s="773" t="s">
        <v>17</v>
      </c>
      <c r="U24" s="774">
        <f>H24</f>
        <v>100</v>
      </c>
      <c r="V24" s="773" t="s">
        <v>17</v>
      </c>
      <c r="W24" s="774">
        <f>J24</f>
        <v>100</v>
      </c>
      <c r="X24" s="1814"/>
      <c r="Y24" s="3228"/>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28"/>
      <c r="Q25" s="1796">
        <f t="shared" si="8"/>
        <v>111</v>
      </c>
      <c r="R25" s="769" t="s">
        <v>17</v>
      </c>
      <c r="S25" s="770">
        <f>F25</f>
        <v>100</v>
      </c>
      <c r="T25" s="769" t="s">
        <v>17</v>
      </c>
      <c r="U25" s="770">
        <f>H25</f>
        <v>100</v>
      </c>
      <c r="V25" s="769" t="s">
        <v>17</v>
      </c>
      <c r="W25" s="770">
        <f>J25</f>
        <v>100</v>
      </c>
      <c r="X25" s="771"/>
      <c r="Y25" s="3228"/>
      <c r="Z25" s="55">
        <f>Q25</f>
        <v>111</v>
      </c>
      <c r="AA25" s="1812">
        <f>D25/F25</f>
        <v>1</v>
      </c>
      <c r="AB25" s="1812">
        <f>D25/H25</f>
        <v>1</v>
      </c>
      <c r="AC25" s="1812">
        <f>D25/J25</f>
        <v>1</v>
      </c>
    </row>
    <row r="26" spans="1:29" ht="1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29" t="s">
        <v>2564</v>
      </c>
      <c r="Q26" s="1811" t="str">
        <f t="shared" si="8"/>
        <v>公共部分装修</v>
      </c>
      <c r="R26" s="773" t="s">
        <v>17</v>
      </c>
      <c r="S26" s="774">
        <f t="shared" ref="S26:S34" si="9">F26</f>
        <v>100</v>
      </c>
      <c r="T26" s="773" t="s">
        <v>17</v>
      </c>
      <c r="U26" s="774">
        <f t="shared" ref="U26:U34" si="10">H26</f>
        <v>100</v>
      </c>
      <c r="V26" s="773" t="s">
        <v>17</v>
      </c>
      <c r="W26" s="774">
        <f t="shared" ref="W26:W34" si="11">J26</f>
        <v>100</v>
      </c>
      <c r="X26" s="1814"/>
      <c r="Y26" s="3230" t="s">
        <v>2564</v>
      </c>
      <c r="Z26" s="1815" t="str">
        <f t="shared" ref="Z26:Z34" si="12">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0"/>
      <c r="Q27" s="775" t="str">
        <f t="shared" si="8"/>
        <v>成新率</v>
      </c>
      <c r="R27" s="776" t="s">
        <v>17</v>
      </c>
      <c r="S27" s="777" t="e">
        <f t="shared" si="9"/>
        <v>#N/A</v>
      </c>
      <c r="T27" s="776" t="s">
        <v>17</v>
      </c>
      <c r="U27" s="777" t="e">
        <f t="shared" si="10"/>
        <v>#N/A</v>
      </c>
      <c r="V27" s="776" t="s">
        <v>17</v>
      </c>
      <c r="W27" s="777" t="e">
        <f t="shared" si="11"/>
        <v>#N/A</v>
      </c>
      <c r="X27" s="778"/>
      <c r="Y27" s="3230"/>
      <c r="Z27" s="779" t="str">
        <f t="shared" si="12"/>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0"/>
      <c r="Q28" s="1811" t="str">
        <f t="shared" si="8"/>
        <v>物业等级</v>
      </c>
      <c r="R28" s="773" t="s">
        <v>17</v>
      </c>
      <c r="S28" s="774">
        <f t="shared" si="9"/>
        <v>100</v>
      </c>
      <c r="T28" s="773" t="s">
        <v>17</v>
      </c>
      <c r="U28" s="774">
        <f t="shared" si="10"/>
        <v>100</v>
      </c>
      <c r="V28" s="773" t="s">
        <v>17</v>
      </c>
      <c r="W28" s="774">
        <f t="shared" si="11"/>
        <v>100</v>
      </c>
      <c r="X28" s="1814"/>
      <c r="Y28" s="3230"/>
      <c r="Z28" s="1815" t="str">
        <f t="shared" si="12"/>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0"/>
      <c r="Q29" s="1811" t="str">
        <f t="shared" si="8"/>
        <v>有无电梯</v>
      </c>
      <c r="R29" s="773" t="s">
        <v>17</v>
      </c>
      <c r="S29" s="774">
        <f t="shared" si="9"/>
        <v>100</v>
      </c>
      <c r="T29" s="773" t="s">
        <v>17</v>
      </c>
      <c r="U29" s="774">
        <f t="shared" si="10"/>
        <v>100</v>
      </c>
      <c r="V29" s="773" t="s">
        <v>17</v>
      </c>
      <c r="W29" s="774">
        <f t="shared" si="11"/>
        <v>100</v>
      </c>
      <c r="X29" s="1814"/>
      <c r="Y29" s="3230"/>
      <c r="Z29" s="1815" t="str">
        <f t="shared" si="12"/>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0"/>
      <c r="Q30" s="1811" t="str">
        <f t="shared" si="8"/>
        <v>建筑面积</v>
      </c>
      <c r="R30" s="773" t="s">
        <v>17</v>
      </c>
      <c r="S30" s="774" t="e">
        <f t="shared" si="9"/>
        <v>#N/A</v>
      </c>
      <c r="T30" s="773" t="s">
        <v>17</v>
      </c>
      <c r="U30" s="774" t="e">
        <f t="shared" si="10"/>
        <v>#N/A</v>
      </c>
      <c r="V30" s="773" t="s">
        <v>17</v>
      </c>
      <c r="W30" s="774" t="e">
        <f t="shared" si="11"/>
        <v>#N/A</v>
      </c>
      <c r="X30" s="1814"/>
      <c r="Y30" s="3230"/>
      <c r="Z30" s="1815" t="str">
        <f t="shared" si="12"/>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0"/>
      <c r="Q31" s="1796" t="str">
        <f t="shared" si="8"/>
        <v>是否封闭</v>
      </c>
      <c r="R31" s="769" t="s">
        <v>17</v>
      </c>
      <c r="S31" s="770">
        <f t="shared" si="9"/>
        <v>100</v>
      </c>
      <c r="T31" s="769" t="s">
        <v>17</v>
      </c>
      <c r="U31" s="770">
        <f t="shared" si="10"/>
        <v>100</v>
      </c>
      <c r="V31" s="769" t="s">
        <v>17</v>
      </c>
      <c r="W31" s="770">
        <f t="shared" si="11"/>
        <v>100</v>
      </c>
      <c r="X31" s="771"/>
      <c r="Y31" s="3230"/>
      <c r="Z31" s="55" t="str">
        <f t="shared" si="12"/>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0" t="s">
        <v>2564</v>
      </c>
      <c r="Q32" s="1811">
        <f t="shared" si="8"/>
        <v>111</v>
      </c>
      <c r="R32" s="773" t="s">
        <v>17</v>
      </c>
      <c r="S32" s="774">
        <f t="shared" si="9"/>
        <v>100</v>
      </c>
      <c r="T32" s="773" t="s">
        <v>17</v>
      </c>
      <c r="U32" s="774">
        <f t="shared" si="10"/>
        <v>100</v>
      </c>
      <c r="V32" s="773" t="s">
        <v>17</v>
      </c>
      <c r="W32" s="774">
        <f t="shared" si="11"/>
        <v>100</v>
      </c>
      <c r="X32" s="1814"/>
      <c r="Y32" s="3230" t="s">
        <v>2564</v>
      </c>
      <c r="Z32" s="1815">
        <f t="shared" si="12"/>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0"/>
      <c r="Q33" s="1811">
        <f t="shared" si="8"/>
        <v>111</v>
      </c>
      <c r="R33" s="773" t="s">
        <v>17</v>
      </c>
      <c r="S33" s="774">
        <f t="shared" si="9"/>
        <v>100</v>
      </c>
      <c r="T33" s="773" t="s">
        <v>17</v>
      </c>
      <c r="U33" s="774">
        <f t="shared" si="10"/>
        <v>100</v>
      </c>
      <c r="V33" s="773" t="s">
        <v>17</v>
      </c>
      <c r="W33" s="774">
        <f t="shared" si="11"/>
        <v>100</v>
      </c>
      <c r="X33" s="1814"/>
      <c r="Y33" s="3230"/>
      <c r="Z33" s="1815">
        <f t="shared" si="12"/>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30"/>
      <c r="Q34" s="1811">
        <f t="shared" si="8"/>
        <v>111</v>
      </c>
      <c r="R34" s="773" t="s">
        <v>17</v>
      </c>
      <c r="S34" s="774">
        <f t="shared" si="9"/>
        <v>100</v>
      </c>
      <c r="T34" s="773" t="s">
        <v>17</v>
      </c>
      <c r="U34" s="774">
        <f t="shared" si="10"/>
        <v>100</v>
      </c>
      <c r="V34" s="773" t="s">
        <v>17</v>
      </c>
      <c r="W34" s="774">
        <f t="shared" si="11"/>
        <v>100</v>
      </c>
      <c r="X34" s="1814"/>
      <c r="Y34" s="3230"/>
      <c r="Z34" s="1815">
        <f t="shared" si="12"/>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2"/>
      <c r="L35" s="1145"/>
      <c r="M35" s="1146"/>
      <c r="N35" s="1133"/>
      <c r="O35" s="1146"/>
      <c r="P35" s="3212" t="str">
        <f>A35</f>
        <v>成交单价（元/平方米）</v>
      </c>
      <c r="Q35" s="3212"/>
      <c r="R35" s="3241">
        <f>E35</f>
        <v>0</v>
      </c>
      <c r="S35" s="3241"/>
      <c r="T35" s="3241">
        <f>G35</f>
        <v>0</v>
      </c>
      <c r="U35" s="3241"/>
      <c r="V35" s="3241">
        <f>I35</f>
        <v>0</v>
      </c>
      <c r="W35" s="3241"/>
      <c r="X35" s="758"/>
      <c r="Y35" s="780"/>
      <c r="Z35" s="758"/>
      <c r="AA35" s="758"/>
      <c r="AB35" s="758"/>
      <c r="AC35" s="758"/>
    </row>
    <row r="36" spans="1:29" ht="15.75" thickBot="1">
      <c r="A36" s="486" t="s">
        <v>2668</v>
      </c>
      <c r="B36" s="487"/>
      <c r="C36" s="1415" t="e">
        <f>R37</f>
        <v>#DIV/0!</v>
      </c>
      <c r="D36" s="1416"/>
      <c r="E36" s="1417" t="e">
        <f>R36</f>
        <v>#DIV/0!</v>
      </c>
      <c r="F36" s="1417"/>
      <c r="G36" s="1415" t="e">
        <f>T36</f>
        <v>#DIV/0!</v>
      </c>
      <c r="H36" s="1416"/>
      <c r="I36" s="1417" t="e">
        <f>V36</f>
        <v>#DIV/0!</v>
      </c>
      <c r="J36" s="1416"/>
      <c r="K36" s="783"/>
      <c r="L36" s="1145"/>
      <c r="M36" s="1146"/>
      <c r="N36" s="1133"/>
      <c r="O36" s="1146"/>
      <c r="P36" s="3212" t="str">
        <f>A36</f>
        <v>比较价值（元/平方米）</v>
      </c>
      <c r="Q36" s="3212"/>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8"/>
      <c r="Y36" s="758"/>
      <c r="Z36" s="758"/>
      <c r="AA36" s="758"/>
      <c r="AB36" s="758"/>
      <c r="AC36" s="758"/>
    </row>
    <row r="37" spans="1:29" ht="15.75" thickBot="1">
      <c r="A37" s="492" t="s">
        <v>2669</v>
      </c>
      <c r="B37" s="493"/>
      <c r="C37" s="1419" t="e">
        <f>R37</f>
        <v>#DIV/0!</v>
      </c>
      <c r="D37" s="1419"/>
      <c r="E37" s="1419"/>
      <c r="F37" s="1419"/>
      <c r="G37" s="1419"/>
      <c r="H37" s="1419"/>
      <c r="I37" s="1419"/>
      <c r="J37" s="1419"/>
      <c r="K37" s="784"/>
      <c r="L37" s="1145"/>
      <c r="M37" s="1146"/>
      <c r="N37" s="1146"/>
      <c r="O37" s="1146"/>
      <c r="P37" s="3232" t="str">
        <f>A37</f>
        <v>估价对象XX用房的比较价值（楼面单价，元/平方米）</v>
      </c>
      <c r="Q37" s="3233"/>
      <c r="R37" s="3240" t="e">
        <f>IF(F1="售价",ROUND(AVERAGE(R36:V36),0),ROUND(AVERAGE(R36:V36),1))</f>
        <v>#DIV/0!</v>
      </c>
      <c r="S37" s="3240"/>
      <c r="T37" s="3240"/>
      <c r="U37" s="3240"/>
      <c r="V37" s="3240"/>
      <c r="W37" s="324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3"/>
      <c r="Q45" s="504"/>
    </row>
    <row r="46" spans="1:29" s="508" customFormat="1" ht="15">
      <c r="A46" s="505" t="s">
        <v>2547</v>
      </c>
      <c r="B46" s="506"/>
      <c r="C46" s="1575" t="str">
        <f>YEAR(C7)&amp;"-"&amp;MONTH(C7)</f>
        <v>2018-7</v>
      </c>
      <c r="D46" s="1576">
        <f>EDATE(C46,-1)</f>
        <v>43252</v>
      </c>
      <c r="E46" s="1576">
        <f t="shared" ref="E46:O46" si="13">EDATE(D46,-1)</f>
        <v>43221</v>
      </c>
      <c r="F46" s="1576">
        <f t="shared" si="13"/>
        <v>43191</v>
      </c>
      <c r="G46" s="1576">
        <f t="shared" si="13"/>
        <v>43160</v>
      </c>
      <c r="H46" s="1576">
        <f t="shared" si="13"/>
        <v>43132</v>
      </c>
      <c r="I46" s="1576">
        <f t="shared" si="13"/>
        <v>43101</v>
      </c>
      <c r="J46" s="1576">
        <f t="shared" si="13"/>
        <v>43070</v>
      </c>
      <c r="K46" s="1576">
        <f t="shared" si="13"/>
        <v>43040</v>
      </c>
      <c r="L46" s="1576">
        <f t="shared" si="13"/>
        <v>43009</v>
      </c>
      <c r="M46" s="1576">
        <f t="shared" si="13"/>
        <v>42979</v>
      </c>
      <c r="N46" s="1576">
        <f t="shared" si="13"/>
        <v>42948</v>
      </c>
      <c r="O46" s="1576">
        <f t="shared" si="13"/>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5"/>
      <c r="O85" s="1155"/>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90" t="s">
        <v>2795</v>
      </c>
      <c r="D6" s="3291"/>
      <c r="E6" s="3292" t="s">
        <v>2795</v>
      </c>
      <c r="F6" s="3293"/>
      <c r="G6" s="3290" t="s">
        <v>2795</v>
      </c>
      <c r="H6" s="3291"/>
      <c r="I6" s="3290" t="s">
        <v>2795</v>
      </c>
      <c r="J6" s="3291"/>
      <c r="K6" s="610"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198" t="s">
        <v>2548</v>
      </c>
      <c r="Q7" s="3226"/>
      <c r="R7" s="769" t="s">
        <v>17</v>
      </c>
      <c r="S7" s="770">
        <f t="shared" ref="S7:S15" si="0">F7</f>
        <v>0</v>
      </c>
      <c r="T7" s="769" t="s">
        <v>17</v>
      </c>
      <c r="U7" s="770">
        <f t="shared" ref="U7:U15" si="1">H7</f>
        <v>0</v>
      </c>
      <c r="V7" s="769" t="s">
        <v>17</v>
      </c>
      <c r="W7" s="770">
        <f t="shared" ref="W7:W15" si="2">J7</f>
        <v>0</v>
      </c>
      <c r="X7" s="771"/>
      <c r="Y7" s="3198" t="s">
        <v>2548</v>
      </c>
      <c r="Z7" s="3199"/>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40" si="3">D8/F8</f>
        <v>#DIV/0!</v>
      </c>
      <c r="AB8" s="772" t="e">
        <f t="shared" ref="AB8:AB40" si="4">D8/H8</f>
        <v>#DIV/0!</v>
      </c>
      <c r="AC8" s="772"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12"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212"/>
      <c r="Q10" s="1796" t="str">
        <f t="shared" si="6"/>
        <v>土地使用年限（年）</v>
      </c>
      <c r="R10" s="769" t="s">
        <v>17</v>
      </c>
      <c r="S10" s="770">
        <f t="shared" si="0"/>
        <v>102</v>
      </c>
      <c r="T10" s="769" t="s">
        <v>17</v>
      </c>
      <c r="U10" s="770">
        <f t="shared" si="1"/>
        <v>102</v>
      </c>
      <c r="V10" s="769" t="s">
        <v>17</v>
      </c>
      <c r="W10" s="770">
        <f t="shared" si="2"/>
        <v>102</v>
      </c>
      <c r="X10" s="771"/>
      <c r="Y10" s="3072"/>
      <c r="Z10" s="55" t="str">
        <f t="shared" si="7"/>
        <v>土地使用年限（年）</v>
      </c>
      <c r="AA10" s="772">
        <f t="shared" si="3"/>
        <v>0.98039215686274506</v>
      </c>
      <c r="AB10" s="772">
        <f t="shared" si="4"/>
        <v>0.98039215686274506</v>
      </c>
      <c r="AC10" s="772">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2"/>
      <c r="Q11" s="1796"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2"/>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2"/>
      <c r="Q14" s="1796">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57">
      <c r="A15" s="440" t="s">
        <v>2558</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7" t="s">
        <v>2559</v>
      </c>
      <c r="Q15" s="1811" t="str">
        <f t="shared" si="6"/>
        <v>产业集聚程度</v>
      </c>
      <c r="R15" s="773" t="s">
        <v>17</v>
      </c>
      <c r="S15" s="774">
        <f t="shared" si="0"/>
        <v>100</v>
      </c>
      <c r="T15" s="773" t="s">
        <v>17</v>
      </c>
      <c r="U15" s="774">
        <f t="shared" si="1"/>
        <v>100</v>
      </c>
      <c r="V15" s="773" t="s">
        <v>17</v>
      </c>
      <c r="W15" s="774">
        <f t="shared" si="2"/>
        <v>100</v>
      </c>
      <c r="X15" s="1814"/>
      <c r="Y15" s="3227" t="s">
        <v>2559</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28"/>
      <c r="Q16" s="1811"/>
      <c r="R16" s="773"/>
      <c r="S16" s="774"/>
      <c r="T16" s="773"/>
      <c r="U16" s="774"/>
      <c r="V16" s="773"/>
      <c r="W16" s="774"/>
      <c r="X16" s="1814"/>
      <c r="Y16" s="3228"/>
      <c r="Z16" s="1815"/>
      <c r="AA16" s="1812">
        <v>1</v>
      </c>
      <c r="AB16" s="1812">
        <v>1</v>
      </c>
      <c r="AC16" s="1812">
        <v>1</v>
      </c>
    </row>
    <row r="17" spans="1:29" ht="85.5">
      <c r="A17" s="428"/>
      <c r="B17" s="631" t="s">
        <v>2708</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8"/>
      <c r="Q17" s="1811" t="str">
        <f>B17</f>
        <v>交通便捷度</v>
      </c>
      <c r="R17" s="773" t="s">
        <v>17</v>
      </c>
      <c r="S17" s="774">
        <f>F17</f>
        <v>100</v>
      </c>
      <c r="T17" s="773" t="s">
        <v>17</v>
      </c>
      <c r="U17" s="774">
        <f>H17</f>
        <v>100</v>
      </c>
      <c r="V17" s="773" t="s">
        <v>17</v>
      </c>
      <c r="W17" s="774">
        <f>J17</f>
        <v>100</v>
      </c>
      <c r="X17" s="1814"/>
      <c r="Y17" s="3228"/>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28"/>
      <c r="Q18" s="1811"/>
      <c r="R18" s="773"/>
      <c r="S18" s="774"/>
      <c r="T18" s="773"/>
      <c r="U18" s="774"/>
      <c r="V18" s="773"/>
      <c r="W18" s="774"/>
      <c r="X18" s="1814"/>
      <c r="Y18" s="3228"/>
      <c r="Z18" s="1815"/>
      <c r="AA18" s="1812">
        <v>1</v>
      </c>
      <c r="AB18" s="1812">
        <v>1</v>
      </c>
      <c r="AC18" s="1812">
        <v>1</v>
      </c>
    </row>
    <row r="19" spans="1:29" ht="15">
      <c r="A19" s="428"/>
      <c r="B19" s="631" t="s">
        <v>2747</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8"/>
      <c r="Q19" s="1811" t="str">
        <f t="shared" ref="Q19:Q33" si="8">B19</f>
        <v>区域土地利用方向</v>
      </c>
      <c r="R19" s="773" t="s">
        <v>17</v>
      </c>
      <c r="S19" s="774">
        <f>F19</f>
        <v>100</v>
      </c>
      <c r="T19" s="773" t="s">
        <v>17</v>
      </c>
      <c r="U19" s="774">
        <f>H19</f>
        <v>100</v>
      </c>
      <c r="V19" s="773" t="s">
        <v>17</v>
      </c>
      <c r="W19" s="774">
        <f>J19</f>
        <v>100</v>
      </c>
      <c r="X19" s="1814"/>
      <c r="Y19" s="3228"/>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28"/>
      <c r="Q20" s="1811"/>
      <c r="R20" s="773"/>
      <c r="S20" s="774"/>
      <c r="T20" s="773"/>
      <c r="U20" s="774"/>
      <c r="V20" s="773"/>
      <c r="W20" s="774"/>
      <c r="X20" s="1814"/>
      <c r="Y20" s="3228"/>
      <c r="Z20" s="1815"/>
      <c r="AA20" s="1812"/>
      <c r="AB20" s="1812"/>
      <c r="AC20" s="1812"/>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8"/>
      <c r="Q21" s="1811" t="str">
        <f t="shared" si="8"/>
        <v>环境状况</v>
      </c>
      <c r="R21" s="773" t="s">
        <v>17</v>
      </c>
      <c r="S21" s="774">
        <f>F21</f>
        <v>100</v>
      </c>
      <c r="T21" s="773" t="s">
        <v>17</v>
      </c>
      <c r="U21" s="774">
        <f>H21</f>
        <v>100</v>
      </c>
      <c r="V21" s="773" t="s">
        <v>17</v>
      </c>
      <c r="W21" s="774">
        <f>J21</f>
        <v>100</v>
      </c>
      <c r="X21" s="1814"/>
      <c r="Y21" s="3228"/>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28"/>
      <c r="Q22" s="1811"/>
      <c r="R22" s="773"/>
      <c r="S22" s="774"/>
      <c r="T22" s="773"/>
      <c r="U22" s="774"/>
      <c r="V22" s="773"/>
      <c r="W22" s="774"/>
      <c r="X22" s="1814"/>
      <c r="Y22" s="3228"/>
      <c r="Z22" s="1815"/>
      <c r="AA22" s="1812">
        <v>1</v>
      </c>
      <c r="AB22" s="1812">
        <v>1</v>
      </c>
      <c r="AC22" s="1812">
        <v>1</v>
      </c>
    </row>
    <row r="23" spans="1:29" s="117" customFormat="1" ht="42.75">
      <c r="A23" s="649"/>
      <c r="B23" s="633" t="s">
        <v>2653</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8"/>
      <c r="Q23" s="1796" t="str">
        <f t="shared" si="8"/>
        <v>公共配套设施</v>
      </c>
      <c r="R23" s="769" t="s">
        <v>17</v>
      </c>
      <c r="S23" s="770">
        <f>F23</f>
        <v>100</v>
      </c>
      <c r="T23" s="769" t="s">
        <v>17</v>
      </c>
      <c r="U23" s="770">
        <f>H23</f>
        <v>100</v>
      </c>
      <c r="V23" s="769" t="s">
        <v>17</v>
      </c>
      <c r="W23" s="770">
        <f>J23</f>
        <v>100</v>
      </c>
      <c r="X23" s="771"/>
      <c r="Y23" s="3228"/>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28"/>
      <c r="Q24" s="1796"/>
      <c r="R24" s="769"/>
      <c r="S24" s="770"/>
      <c r="T24" s="769"/>
      <c r="U24" s="770"/>
      <c r="V24" s="769"/>
      <c r="W24" s="770"/>
      <c r="X24" s="771"/>
      <c r="Y24" s="3228"/>
      <c r="Z24" s="55"/>
      <c r="AA24" s="772">
        <v>1</v>
      </c>
      <c r="AB24" s="772">
        <v>1</v>
      </c>
      <c r="AC24" s="772">
        <v>1</v>
      </c>
    </row>
    <row r="25" spans="1:29" s="117" customFormat="1" ht="28.5">
      <c r="A25" s="649"/>
      <c r="B25" s="633" t="s">
        <v>2654</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8"/>
      <c r="Q25" s="1796" t="str">
        <f>B25</f>
        <v>基础设施水平</v>
      </c>
      <c r="R25" s="769" t="s">
        <v>17</v>
      </c>
      <c r="S25" s="770">
        <f>F25</f>
        <v>100</v>
      </c>
      <c r="T25" s="769" t="s">
        <v>17</v>
      </c>
      <c r="U25" s="770">
        <f>H25</f>
        <v>100</v>
      </c>
      <c r="V25" s="769" t="s">
        <v>17</v>
      </c>
      <c r="W25" s="770">
        <f>J25</f>
        <v>100</v>
      </c>
      <c r="X25" s="771"/>
      <c r="Y25" s="3228"/>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28"/>
      <c r="Q26" s="1796"/>
      <c r="R26" s="769"/>
      <c r="S26" s="770"/>
      <c r="T26" s="769"/>
      <c r="U26" s="770"/>
      <c r="V26" s="769"/>
      <c r="W26" s="770"/>
      <c r="X26" s="771"/>
      <c r="Y26" s="3228"/>
      <c r="Z26" s="55"/>
      <c r="AA26" s="772">
        <v>1</v>
      </c>
      <c r="AB26" s="772">
        <v>1</v>
      </c>
      <c r="AC26" s="772">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8"/>
      <c r="Q27" s="1811" t="str">
        <f t="shared" si="8"/>
        <v>临街状况</v>
      </c>
      <c r="R27" s="773" t="s">
        <v>17</v>
      </c>
      <c r="S27" s="774">
        <f t="shared" ref="S27:S40" si="9">F27</f>
        <v>100</v>
      </c>
      <c r="T27" s="773" t="s">
        <v>17</v>
      </c>
      <c r="U27" s="774">
        <f t="shared" ref="U27:U40" si="10">H27</f>
        <v>100</v>
      </c>
      <c r="V27" s="773" t="s">
        <v>17</v>
      </c>
      <c r="W27" s="774">
        <f t="shared" ref="W27:W40" si="11">J27</f>
        <v>100</v>
      </c>
      <c r="X27" s="1814"/>
      <c r="Y27" s="3228"/>
      <c r="Z27" s="1815" t="str">
        <f t="shared" ref="Z27:Z40" si="12">Q27</f>
        <v>临街状况</v>
      </c>
      <c r="AA27" s="1812">
        <f t="shared" si="3"/>
        <v>1</v>
      </c>
      <c r="AB27" s="1812">
        <f t="shared" si="4"/>
        <v>1</v>
      </c>
      <c r="AC27" s="1812">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8"/>
      <c r="Q28" s="1811" t="str">
        <f t="shared" si="8"/>
        <v>毗邻道路的类型与等级</v>
      </c>
      <c r="R28" s="773" t="s">
        <v>17</v>
      </c>
      <c r="S28" s="774">
        <f t="shared" si="9"/>
        <v>100</v>
      </c>
      <c r="T28" s="773" t="s">
        <v>17</v>
      </c>
      <c r="U28" s="774">
        <f t="shared" si="10"/>
        <v>100</v>
      </c>
      <c r="V28" s="773" t="s">
        <v>17</v>
      </c>
      <c r="W28" s="774">
        <f t="shared" si="11"/>
        <v>100</v>
      </c>
      <c r="X28" s="1814"/>
      <c r="Y28" s="3228"/>
      <c r="Z28" s="1815" t="str">
        <f t="shared" si="12"/>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28"/>
      <c r="Q29" s="1811"/>
      <c r="R29" s="773"/>
      <c r="S29" s="774"/>
      <c r="T29" s="773"/>
      <c r="U29" s="774"/>
      <c r="V29" s="773"/>
      <c r="W29" s="774"/>
      <c r="X29" s="1814"/>
      <c r="Y29" s="3228"/>
      <c r="Z29" s="1815"/>
      <c r="AA29" s="1812">
        <v>1</v>
      </c>
      <c r="AB29" s="1812">
        <v>1</v>
      </c>
      <c r="AC29" s="1812">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8"/>
      <c r="Q30" s="1811" t="str">
        <f t="shared" si="8"/>
        <v>土地级别</v>
      </c>
      <c r="R30" s="773" t="s">
        <v>17</v>
      </c>
      <c r="S30" s="774">
        <f t="shared" si="9"/>
        <v>100</v>
      </c>
      <c r="T30" s="773" t="s">
        <v>17</v>
      </c>
      <c r="U30" s="774">
        <f t="shared" si="10"/>
        <v>100</v>
      </c>
      <c r="V30" s="773" t="s">
        <v>17</v>
      </c>
      <c r="W30" s="774">
        <f t="shared" si="11"/>
        <v>100</v>
      </c>
      <c r="X30" s="1814"/>
      <c r="Y30" s="3228"/>
      <c r="Z30" s="1815" t="str">
        <f t="shared" si="12"/>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8"/>
      <c r="Q31" s="1811">
        <f t="shared" si="8"/>
        <v>111</v>
      </c>
      <c r="R31" s="773" t="s">
        <v>17</v>
      </c>
      <c r="S31" s="774">
        <f t="shared" si="9"/>
        <v>100</v>
      </c>
      <c r="T31" s="773" t="s">
        <v>17</v>
      </c>
      <c r="U31" s="774">
        <f t="shared" si="10"/>
        <v>100</v>
      </c>
      <c r="V31" s="773" t="s">
        <v>17</v>
      </c>
      <c r="W31" s="774">
        <f t="shared" si="11"/>
        <v>100</v>
      </c>
      <c r="X31" s="1814"/>
      <c r="Y31" s="3228"/>
      <c r="Z31" s="1815">
        <f t="shared" si="12"/>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29" t="s">
        <v>2564</v>
      </c>
      <c r="Q32" s="1811">
        <f t="shared" si="8"/>
        <v>111</v>
      </c>
      <c r="R32" s="773" t="s">
        <v>17</v>
      </c>
      <c r="S32" s="774">
        <f t="shared" si="9"/>
        <v>100</v>
      </c>
      <c r="T32" s="773" t="s">
        <v>17</v>
      </c>
      <c r="U32" s="774">
        <f t="shared" si="10"/>
        <v>100</v>
      </c>
      <c r="V32" s="773" t="s">
        <v>17</v>
      </c>
      <c r="W32" s="774">
        <f t="shared" si="11"/>
        <v>100</v>
      </c>
      <c r="X32" s="1814"/>
      <c r="Y32" s="3230" t="s">
        <v>2564</v>
      </c>
      <c r="Z32" s="1815">
        <f t="shared" si="12"/>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0"/>
      <c r="Q33" s="1811">
        <f t="shared" si="8"/>
        <v>111</v>
      </c>
      <c r="R33" s="776" t="s">
        <v>17</v>
      </c>
      <c r="S33" s="777">
        <f t="shared" si="9"/>
        <v>100</v>
      </c>
      <c r="T33" s="776" t="s">
        <v>17</v>
      </c>
      <c r="U33" s="777">
        <f t="shared" si="10"/>
        <v>100</v>
      </c>
      <c r="V33" s="776" t="s">
        <v>17</v>
      </c>
      <c r="W33" s="777">
        <f t="shared" si="11"/>
        <v>100</v>
      </c>
      <c r="X33" s="778"/>
      <c r="Y33" s="3230"/>
      <c r="Z33" s="779">
        <f t="shared" si="12"/>
        <v>111</v>
      </c>
      <c r="AA33" s="1812">
        <f t="shared" si="3"/>
        <v>1</v>
      </c>
      <c r="AB33" s="1812">
        <f t="shared" si="4"/>
        <v>1</v>
      </c>
      <c r="AC33" s="1812">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0"/>
      <c r="Q34" s="1811" t="str">
        <f>B34</f>
        <v>宗地面积</v>
      </c>
      <c r="R34" s="773" t="s">
        <v>17</v>
      </c>
      <c r="S34" s="774" t="e">
        <f t="shared" si="9"/>
        <v>#N/A</v>
      </c>
      <c r="T34" s="773" t="s">
        <v>17</v>
      </c>
      <c r="U34" s="774" t="e">
        <f t="shared" si="10"/>
        <v>#N/A</v>
      </c>
      <c r="V34" s="773" t="s">
        <v>17</v>
      </c>
      <c r="W34" s="774" t="e">
        <f t="shared" si="11"/>
        <v>#N/A</v>
      </c>
      <c r="X34" s="1814"/>
      <c r="Y34" s="3230"/>
      <c r="Z34" s="1815" t="str">
        <f t="shared" si="12"/>
        <v>宗地面积</v>
      </c>
      <c r="AA34" s="1812" t="e">
        <f t="shared" si="3"/>
        <v>#N/A</v>
      </c>
      <c r="AB34" s="1812" t="e">
        <f t="shared" si="4"/>
        <v>#N/A</v>
      </c>
      <c r="AC34" s="1812" t="e">
        <f t="shared" si="5"/>
        <v>#N/A</v>
      </c>
    </row>
    <row r="35" spans="1:29" ht="15">
      <c r="A35" s="472"/>
      <c r="B35" s="422" t="s">
        <v>2751</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30"/>
      <c r="Q35" s="1811" t="str">
        <f t="shared" ref="Q35:Q40" si="13">B35</f>
        <v>宗地形状</v>
      </c>
      <c r="R35" s="773" t="s">
        <v>17</v>
      </c>
      <c r="S35" s="774">
        <f t="shared" si="9"/>
        <v>100</v>
      </c>
      <c r="T35" s="773" t="s">
        <v>17</v>
      </c>
      <c r="U35" s="774">
        <f t="shared" si="10"/>
        <v>100</v>
      </c>
      <c r="V35" s="773" t="s">
        <v>17</v>
      </c>
      <c r="W35" s="774">
        <f t="shared" si="11"/>
        <v>100</v>
      </c>
      <c r="X35" s="1814"/>
      <c r="Y35" s="3230"/>
      <c r="Z35" s="1815" t="str">
        <f t="shared" si="12"/>
        <v>宗地形状</v>
      </c>
      <c r="AA35" s="1812">
        <f t="shared" si="3"/>
        <v>1</v>
      </c>
      <c r="AB35" s="1812">
        <f t="shared" si="4"/>
        <v>1</v>
      </c>
      <c r="AC35" s="1812">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30"/>
      <c r="Q36" s="1811" t="str">
        <f t="shared" si="13"/>
        <v>宗地开发程度</v>
      </c>
      <c r="R36" s="769" t="s">
        <v>17</v>
      </c>
      <c r="S36" s="770">
        <f t="shared" si="9"/>
        <v>100</v>
      </c>
      <c r="T36" s="769" t="s">
        <v>17</v>
      </c>
      <c r="U36" s="770">
        <f t="shared" si="10"/>
        <v>100</v>
      </c>
      <c r="V36" s="769" t="s">
        <v>17</v>
      </c>
      <c r="W36" s="770">
        <f t="shared" si="11"/>
        <v>100</v>
      </c>
      <c r="X36" s="771"/>
      <c r="Y36" s="3230"/>
      <c r="Z36" s="55" t="str">
        <f t="shared" si="12"/>
        <v>宗地开发程度</v>
      </c>
      <c r="AA36" s="772">
        <f t="shared" si="3"/>
        <v>1</v>
      </c>
      <c r="AB36" s="772">
        <f t="shared" si="4"/>
        <v>1</v>
      </c>
      <c r="AC36" s="772">
        <f t="shared" si="5"/>
        <v>1</v>
      </c>
    </row>
    <row r="37" spans="1:29" ht="15">
      <c r="A37" s="472"/>
      <c r="B37" s="422" t="s">
        <v>2754</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30" t="s">
        <v>2564</v>
      </c>
      <c r="Q37" s="1811" t="str">
        <f t="shared" si="13"/>
        <v>工程地质条件</v>
      </c>
      <c r="R37" s="773" t="s">
        <v>17</v>
      </c>
      <c r="S37" s="774">
        <f t="shared" si="9"/>
        <v>100</v>
      </c>
      <c r="T37" s="773" t="s">
        <v>17</v>
      </c>
      <c r="U37" s="774">
        <f t="shared" si="10"/>
        <v>100</v>
      </c>
      <c r="V37" s="773" t="s">
        <v>17</v>
      </c>
      <c r="W37" s="774">
        <f t="shared" si="11"/>
        <v>100</v>
      </c>
      <c r="X37" s="1814"/>
      <c r="Y37" s="3230" t="s">
        <v>2564</v>
      </c>
      <c r="Z37" s="1815" t="str">
        <f t="shared" si="12"/>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0"/>
      <c r="Q38" s="1811">
        <f t="shared" si="13"/>
        <v>111</v>
      </c>
      <c r="R38" s="773" t="s">
        <v>17</v>
      </c>
      <c r="S38" s="774">
        <f t="shared" si="9"/>
        <v>100</v>
      </c>
      <c r="T38" s="773" t="s">
        <v>17</v>
      </c>
      <c r="U38" s="774">
        <f t="shared" si="10"/>
        <v>100</v>
      </c>
      <c r="V38" s="773" t="s">
        <v>17</v>
      </c>
      <c r="W38" s="774">
        <f t="shared" si="11"/>
        <v>100</v>
      </c>
      <c r="X38" s="1814"/>
      <c r="Y38" s="3230"/>
      <c r="Z38" s="1815">
        <f t="shared" si="12"/>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0"/>
      <c r="Q39" s="1811">
        <f t="shared" si="13"/>
        <v>111</v>
      </c>
      <c r="R39" s="773" t="s">
        <v>17</v>
      </c>
      <c r="S39" s="774">
        <f t="shared" si="9"/>
        <v>100</v>
      </c>
      <c r="T39" s="773" t="s">
        <v>17</v>
      </c>
      <c r="U39" s="774">
        <f t="shared" si="10"/>
        <v>100</v>
      </c>
      <c r="V39" s="773" t="s">
        <v>17</v>
      </c>
      <c r="W39" s="774">
        <f t="shared" si="11"/>
        <v>100</v>
      </c>
      <c r="X39" s="1814"/>
      <c r="Y39" s="3230"/>
      <c r="Z39" s="1815">
        <f t="shared" si="12"/>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0"/>
      <c r="Q40" s="1811">
        <f t="shared" si="13"/>
        <v>111</v>
      </c>
      <c r="R40" s="776" t="s">
        <v>17</v>
      </c>
      <c r="S40" s="777">
        <f t="shared" si="9"/>
        <v>100</v>
      </c>
      <c r="T40" s="776" t="s">
        <v>17</v>
      </c>
      <c r="U40" s="777">
        <f t="shared" si="10"/>
        <v>100</v>
      </c>
      <c r="V40" s="776" t="s">
        <v>17</v>
      </c>
      <c r="W40" s="777">
        <f t="shared" si="11"/>
        <v>100</v>
      </c>
      <c r="X40" s="778"/>
      <c r="Y40" s="3230"/>
      <c r="Z40" s="779">
        <f t="shared" si="12"/>
        <v>111</v>
      </c>
      <c r="AA40" s="1812">
        <f t="shared" si="3"/>
        <v>1</v>
      </c>
      <c r="AB40" s="1812">
        <f t="shared" si="4"/>
        <v>1</v>
      </c>
      <c r="AC40" s="1812">
        <f t="shared" si="5"/>
        <v>1</v>
      </c>
    </row>
    <row r="41" spans="1:29" ht="15">
      <c r="A41" s="479" t="s">
        <v>2719</v>
      </c>
      <c r="B41" s="2701" t="s">
        <v>2798</v>
      </c>
      <c r="C41" s="682" t="s">
        <v>1</v>
      </c>
      <c r="D41" s="481"/>
      <c r="E41" s="482"/>
      <c r="F41" s="483"/>
      <c r="G41" s="484"/>
      <c r="H41" s="485"/>
      <c r="I41" s="482"/>
      <c r="J41" s="485"/>
      <c r="K41" s="782"/>
      <c r="L41" s="1145"/>
      <c r="M41" s="1133"/>
      <c r="N41" s="1133"/>
      <c r="O41" s="1146"/>
      <c r="P41" s="3212" t="str">
        <f>A41</f>
        <v>成交单价</v>
      </c>
      <c r="Q41" s="3212"/>
      <c r="R41" s="3225">
        <f>E41</f>
        <v>0</v>
      </c>
      <c r="S41" s="3225"/>
      <c r="T41" s="3225">
        <f>G41</f>
        <v>0</v>
      </c>
      <c r="U41" s="3225"/>
      <c r="V41" s="3225">
        <f>I41</f>
        <v>0</v>
      </c>
      <c r="W41" s="3225"/>
      <c r="X41" s="758"/>
      <c r="Y41" s="780"/>
      <c r="Z41" s="758"/>
      <c r="AA41" s="758"/>
      <c r="AB41" s="758"/>
      <c r="AC41" s="758"/>
    </row>
    <row r="42" spans="1:29" ht="15.75" thickBot="1">
      <c r="A42" s="486" t="s">
        <v>2668</v>
      </c>
      <c r="B42" s="683"/>
      <c r="C42" s="490" t="e">
        <f>R43</f>
        <v>#DIV/0!</v>
      </c>
      <c r="D42" s="489"/>
      <c r="E42" s="490" t="e">
        <f>R42</f>
        <v>#DIV/0!</v>
      </c>
      <c r="F42" s="491"/>
      <c r="G42" s="488" t="e">
        <f>T42</f>
        <v>#DIV/0!</v>
      </c>
      <c r="H42" s="489"/>
      <c r="I42" s="490" t="e">
        <f>V42</f>
        <v>#DIV/0!</v>
      </c>
      <c r="J42" s="489"/>
      <c r="K42" s="783"/>
      <c r="L42" s="1145"/>
      <c r="M42" s="1133"/>
      <c r="N42" s="1133"/>
      <c r="O42" s="1146"/>
      <c r="P42" s="3212" t="str">
        <f>A42</f>
        <v>比较价值（元/平方米）</v>
      </c>
      <c r="Q42" s="3212"/>
      <c r="R42" s="3231" t="e">
        <f>ROUND(PRODUCT(R41,AA7:AA40),0)</f>
        <v>#DIV/0!</v>
      </c>
      <c r="S42" s="3231"/>
      <c r="T42" s="3231" t="e">
        <f>ROUND(PRODUCT(T41,AB7:AB40),0)</f>
        <v>#DIV/0!</v>
      </c>
      <c r="U42" s="3231"/>
      <c r="V42" s="3231" t="e">
        <f>ROUND(PRODUCT(V41,AC7:AC40),0)</f>
        <v>#DIV/0!</v>
      </c>
      <c r="W42" s="3231"/>
      <c r="X42" s="758"/>
      <c r="Y42" s="758"/>
      <c r="Z42" s="758"/>
      <c r="AA42" s="758"/>
      <c r="AB42" s="758"/>
      <c r="AC42" s="758"/>
    </row>
    <row r="43" spans="1:29" ht="15.75" thickBot="1">
      <c r="A43" s="492" t="s">
        <v>2669</v>
      </c>
      <c r="B43" s="493"/>
      <c r="C43" s="494" t="e">
        <f>R43</f>
        <v>#DIV/0!</v>
      </c>
      <c r="D43" s="494"/>
      <c r="E43" s="494"/>
      <c r="F43" s="494"/>
      <c r="G43" s="494"/>
      <c r="H43" s="494"/>
      <c r="I43" s="494"/>
      <c r="J43" s="494"/>
      <c r="K43" s="784"/>
      <c r="L43" s="1145"/>
      <c r="M43" s="1133"/>
      <c r="N43" s="1133"/>
      <c r="O43" s="1146"/>
      <c r="P43" s="3232" t="str">
        <f>A43</f>
        <v>估价对象XX用房的比较价值（楼面单价，元/平方米）</v>
      </c>
      <c r="Q43" s="3233"/>
      <c r="R43" s="3234" t="e">
        <f>ROUND(AVERAGE(R42:V42),0)</f>
        <v>#DIV/0!</v>
      </c>
      <c r="S43" s="3234"/>
      <c r="T43" s="3234"/>
      <c r="U43" s="3234"/>
      <c r="V43" s="3234"/>
      <c r="W43" s="323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2757</v>
      </c>
      <c r="B50" s="685" t="s">
        <v>2758</v>
      </c>
      <c r="C50" s="2702" t="s">
        <v>2759</v>
      </c>
      <c r="D50" s="2703" t="s">
        <v>2760</v>
      </c>
      <c r="E50" s="686" t="s">
        <v>2761</v>
      </c>
      <c r="F50" s="687" t="s">
        <v>2762</v>
      </c>
      <c r="G50" s="3213" t="s">
        <v>2763</v>
      </c>
      <c r="H50" s="3235"/>
      <c r="I50" s="1815" t="s">
        <v>2799</v>
      </c>
      <c r="J50" s="1815">
        <f>项目基本情况!F35</f>
        <v>0</v>
      </c>
      <c r="K50" s="2705" t="s">
        <v>2765</v>
      </c>
      <c r="L50" s="1108"/>
      <c r="M50" s="1146"/>
      <c r="N50" s="1146"/>
      <c r="O50" s="1146"/>
    </row>
    <row r="51" spans="1:17" s="692" customFormat="1">
      <c r="A51" s="688" t="s">
        <v>2766</v>
      </c>
      <c r="B51" s="689" t="e">
        <f>C43</f>
        <v>#DIV/0!</v>
      </c>
      <c r="C51" s="690">
        <v>1</v>
      </c>
      <c r="D51" s="1165">
        <v>1</v>
      </c>
      <c r="E51" s="690">
        <f>'数据-汇总表'!E8+'数据-汇总表'!E9</f>
        <v>28837.35</v>
      </c>
      <c r="F51" s="691" t="e">
        <f t="shared" ref="F51:F60" si="14">ROUND(B51*E51/10000,0)</f>
        <v>#DIV/0!</v>
      </c>
      <c r="G51" s="3236"/>
      <c r="H51" s="3212"/>
      <c r="I51" s="944">
        <v>1</v>
      </c>
      <c r="J51" s="944">
        <v>1</v>
      </c>
      <c r="K51" s="1147"/>
      <c r="L51" s="943"/>
      <c r="M51" s="943"/>
      <c r="N51" s="943"/>
      <c r="O51" s="943"/>
    </row>
    <row r="52" spans="1:17" s="692" customFormat="1">
      <c r="A52" s="693" t="s">
        <v>2767</v>
      </c>
      <c r="B52" s="262" t="e">
        <f>ROUND($C$43*C52*D52,0)</f>
        <v>#DIV/0!</v>
      </c>
      <c r="C52" s="200">
        <f t="shared" ref="C52:C60" si="15">IF($C$50="北京市系数",I52,J52)</f>
        <v>0.6</v>
      </c>
      <c r="D52" s="1166">
        <v>0.25</v>
      </c>
      <c r="E52" s="694"/>
      <c r="F52" s="691" t="e">
        <f t="shared" si="14"/>
        <v>#DIV/0!</v>
      </c>
      <c r="G52" s="3237" t="s">
        <v>2768</v>
      </c>
      <c r="H52" s="1106" t="str">
        <f>项目基本情况!B37</f>
        <v>八级</v>
      </c>
      <c r="I52" s="944">
        <f>SUMIF(修正!A45:A56,H52,修正!B45:B56)</f>
        <v>0.6</v>
      </c>
      <c r="J52" s="945"/>
      <c r="K52" s="1146"/>
      <c r="L52" s="943"/>
      <c r="M52" s="943"/>
      <c r="N52" s="943"/>
      <c r="O52" s="943"/>
    </row>
    <row r="53" spans="1:17" s="692" customFormat="1">
      <c r="A53" s="693" t="s">
        <v>2769</v>
      </c>
      <c r="B53" s="262" t="e">
        <f t="shared" ref="B53:B60" si="16">ROUND($C$43*C53*D53,0)</f>
        <v>#DIV/0!</v>
      </c>
      <c r="C53" s="200">
        <f t="shared" si="15"/>
        <v>0.3</v>
      </c>
      <c r="D53" s="1166">
        <v>0.25</v>
      </c>
      <c r="E53" s="694"/>
      <c r="F53" s="691" t="e">
        <f t="shared" si="14"/>
        <v>#DIV/0!</v>
      </c>
      <c r="G53" s="3237"/>
      <c r="H53" s="1106" t="str">
        <f>项目基本情况!B37</f>
        <v>八级</v>
      </c>
      <c r="I53" s="944">
        <f>SUMIF(修正!A45:A56,H53,修正!C45:C56)</f>
        <v>0.3</v>
      </c>
      <c r="J53" s="945"/>
      <c r="K53" s="1147"/>
      <c r="L53" s="943"/>
      <c r="M53" s="943"/>
      <c r="N53" s="943"/>
      <c r="O53" s="943"/>
    </row>
    <row r="54" spans="1:17" s="692" customFormat="1">
      <c r="A54" s="693" t="s">
        <v>2770</v>
      </c>
      <c r="B54" s="262" t="e">
        <f t="shared" si="16"/>
        <v>#DIV/0!</v>
      </c>
      <c r="C54" s="200">
        <f t="shared" si="15"/>
        <v>0.2</v>
      </c>
      <c r="D54" s="1166">
        <v>0.25</v>
      </c>
      <c r="E54" s="694"/>
      <c r="F54" s="691" t="e">
        <f t="shared" si="14"/>
        <v>#DIV/0!</v>
      </c>
      <c r="G54" s="3237"/>
      <c r="H54" s="1106" t="str">
        <f>项目基本情况!B37</f>
        <v>八级</v>
      </c>
      <c r="I54" s="944">
        <f>SUMIF(修正!A45:A56,H54,修正!D45:D56)</f>
        <v>0.2</v>
      </c>
      <c r="J54" s="945"/>
      <c r="K54" s="1146"/>
      <c r="L54" s="943"/>
      <c r="M54" s="943"/>
      <c r="N54" s="943"/>
      <c r="O54" s="943"/>
    </row>
    <row r="55" spans="1:17" s="692" customFormat="1">
      <c r="A55" s="693" t="s">
        <v>2771</v>
      </c>
      <c r="B55" s="262" t="e">
        <f t="shared" si="16"/>
        <v>#DIV/0!</v>
      </c>
      <c r="C55" s="200">
        <f t="shared" si="15"/>
        <v>0.2</v>
      </c>
      <c r="D55" s="1166">
        <v>0.25</v>
      </c>
      <c r="E55" s="694"/>
      <c r="F55" s="691" t="e">
        <f t="shared" si="14"/>
        <v>#DIV/0!</v>
      </c>
      <c r="G55" s="3237"/>
      <c r="H55" s="1106" t="str">
        <f>项目基本情况!B37</f>
        <v>八级</v>
      </c>
      <c r="I55" s="944">
        <f>SUMIF(修正!A45:A56,H55,修正!E45:E56)</f>
        <v>0.2</v>
      </c>
      <c r="J55" s="945"/>
      <c r="K55" s="1147"/>
      <c r="L55" s="943"/>
      <c r="M55" s="943"/>
      <c r="N55" s="943"/>
      <c r="O55" s="943"/>
    </row>
    <row r="56" spans="1:17" s="692" customFormat="1">
      <c r="A56" s="693" t="s">
        <v>2772</v>
      </c>
      <c r="B56" s="262" t="e">
        <f t="shared" si="16"/>
        <v>#DIV/0!</v>
      </c>
      <c r="C56" s="200">
        <f t="shared" si="15"/>
        <v>0.2</v>
      </c>
      <c r="D56" s="1166">
        <v>0.25</v>
      </c>
      <c r="E56" s="261">
        <f>'数据-汇总表'!E11</f>
        <v>0</v>
      </c>
      <c r="F56" s="691" t="e">
        <f t="shared" si="14"/>
        <v>#DIV/0!</v>
      </c>
      <c r="G56" s="2706" t="s">
        <v>2773</v>
      </c>
      <c r="H56" s="1106" t="str">
        <f>项目基本情况!C37</f>
        <v>八级</v>
      </c>
      <c r="I56" s="944">
        <f>SUMIF(修正!A45:A56,H56,修正!F45:F56)</f>
        <v>0.2</v>
      </c>
      <c r="J56" s="945"/>
      <c r="K56" s="1146"/>
      <c r="L56" s="943"/>
      <c r="M56" s="943"/>
      <c r="N56" s="943"/>
      <c r="O56" s="943"/>
    </row>
    <row r="57" spans="1:17" s="692" customFormat="1">
      <c r="A57" s="693" t="s">
        <v>2774</v>
      </c>
      <c r="B57" s="262" t="e">
        <f t="shared" si="16"/>
        <v>#DIV/0!</v>
      </c>
      <c r="C57" s="200">
        <f t="shared" si="15"/>
        <v>0.2</v>
      </c>
      <c r="D57" s="1166">
        <v>0.25</v>
      </c>
      <c r="E57" s="261">
        <f>'数据-汇总表'!E12</f>
        <v>0</v>
      </c>
      <c r="F57" s="691" t="e">
        <f t="shared" si="14"/>
        <v>#DIV/0!</v>
      </c>
      <c r="G57" s="1111" t="s">
        <v>2775</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2776</v>
      </c>
      <c r="B58" s="262" t="e">
        <f t="shared" si="16"/>
        <v>#DIV/0!</v>
      </c>
      <c r="C58" s="200">
        <f t="shared" si="15"/>
        <v>0.15</v>
      </c>
      <c r="D58" s="1166">
        <v>0.25</v>
      </c>
      <c r="E58" s="261">
        <f>'数据-汇总表'!E13</f>
        <v>18009.650000000031</v>
      </c>
      <c r="F58" s="691" t="e">
        <f t="shared" si="14"/>
        <v>#DIV/0!</v>
      </c>
      <c r="G58" s="1111" t="s">
        <v>2777</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2778</v>
      </c>
      <c r="B59" s="262" t="e">
        <f t="shared" si="16"/>
        <v>#DIV/0!</v>
      </c>
      <c r="C59" s="200">
        <f t="shared" si="15"/>
        <v>0.15</v>
      </c>
      <c r="D59" s="1166">
        <v>0.25</v>
      </c>
      <c r="E59" s="261">
        <f>'数据-汇总表'!E14</f>
        <v>0</v>
      </c>
      <c r="F59" s="691" t="e">
        <f t="shared" si="14"/>
        <v>#DIV/0!</v>
      </c>
      <c r="G59" s="2706" t="s">
        <v>2768</v>
      </c>
      <c r="H59" s="1106" t="str">
        <f>项目基本情况!B37</f>
        <v>八级</v>
      </c>
      <c r="I59" s="944">
        <f>SUMIF(修正!A45:A56,H59,修正!H45:H56)</f>
        <v>0.15</v>
      </c>
      <c r="J59" s="945"/>
      <c r="K59" s="1147"/>
      <c r="L59" s="943"/>
      <c r="M59" s="943"/>
      <c r="N59" s="943"/>
      <c r="O59" s="943"/>
    </row>
    <row r="60" spans="1:17" s="692" customFormat="1" ht="15" thickBot="1">
      <c r="A60" s="693" t="s">
        <v>2779</v>
      </c>
      <c r="B60" s="262" t="e">
        <f t="shared" si="16"/>
        <v>#DIV/0!</v>
      </c>
      <c r="C60" s="200">
        <f t="shared" si="15"/>
        <v>0.15</v>
      </c>
      <c r="D60" s="1166">
        <v>0.25</v>
      </c>
      <c r="E60" s="261">
        <f>'数据-汇总表'!E15</f>
        <v>0</v>
      </c>
      <c r="F60" s="691" t="e">
        <f t="shared" si="14"/>
        <v>#DIV/0!</v>
      </c>
      <c r="G60" s="2707" t="s">
        <v>2773</v>
      </c>
      <c r="H60" s="1116" t="str">
        <f>项目基本情况!C37</f>
        <v>八级</v>
      </c>
      <c r="I60" s="944">
        <f>SUMIF(修正!A45:A56,H60,修正!H45:H56)</f>
        <v>0.15</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32289.56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7">EDATE(E63,-3)</f>
        <v>43009</v>
      </c>
      <c r="G63" s="760">
        <f t="shared" si="17"/>
        <v>42917</v>
      </c>
      <c r="H63" s="760">
        <f t="shared" si="17"/>
        <v>42826</v>
      </c>
      <c r="I63" s="760">
        <f t="shared" si="17"/>
        <v>42736</v>
      </c>
      <c r="J63" s="760">
        <f t="shared" si="17"/>
        <v>42644</v>
      </c>
      <c r="K63" s="760">
        <f t="shared" si="17"/>
        <v>42552</v>
      </c>
      <c r="L63" s="760">
        <f t="shared" si="17"/>
        <v>42461</v>
      </c>
      <c r="M63" s="760">
        <f t="shared" si="17"/>
        <v>42370</v>
      </c>
      <c r="N63" s="760">
        <f t="shared" si="17"/>
        <v>42278</v>
      </c>
      <c r="O63" s="760">
        <f t="shared" si="17"/>
        <v>42186</v>
      </c>
    </row>
    <row r="64" spans="1:17" ht="21.75" thickBot="1">
      <c r="A64" s="762" t="s">
        <v>2673</v>
      </c>
      <c r="B64" s="758"/>
      <c r="C64" s="763"/>
      <c r="D64" s="763"/>
      <c r="E64" s="763"/>
      <c r="F64" s="764"/>
      <c r="G64" s="764"/>
      <c r="H64" s="763"/>
      <c r="I64" s="763"/>
      <c r="J64" s="763"/>
      <c r="K64" s="765"/>
      <c r="L64" s="766"/>
      <c r="M64" s="763"/>
      <c r="N64" s="763"/>
      <c r="O64" s="1161"/>
      <c r="P64" s="503"/>
      <c r="Q64" s="504"/>
    </row>
    <row r="65" spans="1:17" s="508" customFormat="1" ht="15">
      <c r="A65" s="2708" t="s">
        <v>2781</v>
      </c>
      <c r="B65" s="1361"/>
      <c r="C65" s="1573" t="str">
        <f>YEAR(C63)&amp;"-"&amp;ROUNDUP(MONTH(C63)/3,0)</f>
        <v>2018-3</v>
      </c>
      <c r="D65" s="1573" t="str">
        <f t="shared" ref="D65:O65" si="18">YEAR(D63)&amp;"-"&amp;ROUNDUP(MONTH(D63)/3,0)</f>
        <v>2018-2</v>
      </c>
      <c r="E65" s="1573" t="str">
        <f t="shared" si="18"/>
        <v>2018-1</v>
      </c>
      <c r="F65" s="1573" t="str">
        <f t="shared" si="18"/>
        <v>2017-4</v>
      </c>
      <c r="G65" s="1573" t="str">
        <f t="shared" si="18"/>
        <v>2017-3</v>
      </c>
      <c r="H65" s="1573" t="str">
        <f t="shared" si="18"/>
        <v>2017-2</v>
      </c>
      <c r="I65" s="1573" t="str">
        <f t="shared" si="18"/>
        <v>2017-1</v>
      </c>
      <c r="J65" s="1573" t="str">
        <f t="shared" si="18"/>
        <v>2016-4</v>
      </c>
      <c r="K65" s="1573" t="str">
        <f t="shared" si="18"/>
        <v>2016-3</v>
      </c>
      <c r="L65" s="1573" t="str">
        <f t="shared" si="18"/>
        <v>2016-2</v>
      </c>
      <c r="M65" s="1573" t="str">
        <f t="shared" si="18"/>
        <v>2016-1</v>
      </c>
      <c r="N65" s="1573" t="str">
        <f t="shared" si="18"/>
        <v>2015-4</v>
      </c>
      <c r="O65" s="1573" t="str">
        <f t="shared" si="18"/>
        <v>2015-3</v>
      </c>
      <c r="P65" s="507"/>
    </row>
    <row r="66" spans="1:17" s="117" customFormat="1" ht="30.75" customHeight="1">
      <c r="A66" s="2713" t="s">
        <v>2800</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2"/>
      <c r="L1" s="2715" t="s">
        <v>2804</v>
      </c>
      <c r="M1" s="1082">
        <f>SUMPRODUCT((区片价!B5:B9=I2)*(区片价!C3:F3=E2)*(区片价!C5:F9))</f>
        <v>0</v>
      </c>
      <c r="N1" s="1085">
        <f>SUMPRODUCT((因素修正幅度!B5:B9=I2)*(因素修正幅度!C3:F3=E2)*(因素修正幅度!C5:F9))</f>
        <v>0</v>
      </c>
      <c r="O1" s="2716"/>
      <c r="P1" s="2716"/>
      <c r="Q1" s="1372"/>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2"/>
      <c r="L2" s="2723" t="s">
        <v>2815</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2816</v>
      </c>
      <c r="B3" s="248" t="e">
        <f>ROUND(B2*10000/D1,0)</f>
        <v>#DIV/0!</v>
      </c>
      <c r="C3" s="2718" t="s">
        <v>2817</v>
      </c>
      <c r="D3" s="2719" t="s">
        <v>2818</v>
      </c>
      <c r="E3" s="2724"/>
      <c r="F3" s="2725" t="s">
        <v>2819</v>
      </c>
      <c r="G3" s="915">
        <f>IF(F3="宗地容积率",'数据-汇总表'!I4,IF(F3="估价对象容积率",'数据-汇总表'!I6,'数据-汇总表'!I7))</f>
        <v>1.33</v>
      </c>
      <c r="H3" s="198" t="s">
        <v>2820</v>
      </c>
      <c r="I3" s="946"/>
      <c r="J3" s="2722" t="s">
        <v>2821</v>
      </c>
      <c r="K3" s="1372"/>
      <c r="L3" s="2723" t="s">
        <v>2822</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8"/>
      <c r="B4" s="3309"/>
      <c r="C4" s="3309"/>
      <c r="D4" s="3310"/>
      <c r="E4" s="3310"/>
      <c r="F4" s="3310"/>
      <c r="G4" s="3310"/>
      <c r="H4" s="3310"/>
      <c r="I4" s="3310"/>
      <c r="J4" s="3311"/>
      <c r="K4" s="1372"/>
      <c r="L4" s="2723" t="s">
        <v>2823</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2824</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2825</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2826</v>
      </c>
      <c r="B6" s="2737" t="s">
        <v>2827</v>
      </c>
      <c r="C6" s="917">
        <f>SUMIF(L1:L12,G2,M1:M12)</f>
        <v>0</v>
      </c>
      <c r="D6" s="2738" t="s">
        <v>2828</v>
      </c>
      <c r="E6" s="2739"/>
      <c r="F6" s="2739"/>
      <c r="G6" s="2740"/>
      <c r="H6" s="2740"/>
      <c r="I6" s="2740"/>
      <c r="J6" s="2741"/>
      <c r="K6" s="1843"/>
      <c r="L6" s="2723" t="s">
        <v>2829</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294" t="str">
        <f>IF(E2="商业",IF(C8="不临58条商业街","",2),"")</f>
        <v/>
      </c>
      <c r="B7" s="2742" t="s">
        <v>2830</v>
      </c>
      <c r="C7" s="918" t="e">
        <f>IF(C8="不临58条商业街",1,ROUND(1+(1.6*E8+1.2*E9+0.8*E10+0.4*E11)*C9,4))</f>
        <v>#DIV/0!</v>
      </c>
      <c r="D7" s="2743" t="s">
        <v>2831</v>
      </c>
      <c r="E7" s="947"/>
      <c r="F7" s="2744"/>
      <c r="G7" s="2745"/>
      <c r="H7" s="2745"/>
      <c r="I7" s="2745"/>
      <c r="J7" s="2746"/>
      <c r="K7" s="1843"/>
      <c r="L7" s="2723" t="s">
        <v>2832</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1.33</v>
      </c>
      <c r="AA7" s="1607"/>
      <c r="AB7" s="1607"/>
      <c r="AC7" s="1608"/>
      <c r="AD7" s="1609"/>
      <c r="AE7" s="1609"/>
      <c r="AF7" s="1609"/>
      <c r="AG7" s="1609"/>
      <c r="AH7" s="1609"/>
      <c r="AI7" s="1609"/>
      <c r="AJ7" s="1610"/>
    </row>
    <row r="8" spans="1:36" ht="15">
      <c r="A8" s="3295"/>
      <c r="B8" s="198" t="s">
        <v>2835</v>
      </c>
      <c r="C8" s="2747"/>
      <c r="D8" s="919" t="s">
        <v>139</v>
      </c>
      <c r="E8" s="920" t="e">
        <f>ROUND(C11/E7,4)</f>
        <v>#DIV/0!</v>
      </c>
      <c r="F8" s="2748" t="s">
        <v>2836</v>
      </c>
      <c r="G8" s="2749"/>
      <c r="H8" s="2749"/>
      <c r="I8" s="2749"/>
      <c r="J8" s="2750"/>
      <c r="K8" s="1372"/>
      <c r="L8" s="2723" t="s">
        <v>2837</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305" t="s">
        <v>2838</v>
      </c>
      <c r="X8" s="3306"/>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95"/>
      <c r="B9" s="198" t="s">
        <v>2851</v>
      </c>
      <c r="C9" s="921">
        <f>SUMIF(修正!C59:C119,C8,修正!E59:E119)</f>
        <v>0</v>
      </c>
      <c r="D9" s="200" t="s">
        <v>140</v>
      </c>
      <c r="E9" s="200" t="e">
        <f>ROUND(C11/E7,4)</f>
        <v>#DIV/0!</v>
      </c>
      <c r="F9" s="2748" t="s">
        <v>2852</v>
      </c>
      <c r="G9" s="2749"/>
      <c r="H9" s="2749"/>
      <c r="I9" s="2749"/>
      <c r="J9" s="2750"/>
      <c r="K9" s="1372"/>
      <c r="L9" s="2723" t="s">
        <v>2853</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07"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5"/>
      <c r="B10" s="198" t="s">
        <v>2856</v>
      </c>
      <c r="C10" s="200">
        <f>SUMIF(修正!C59:C119,C8,修正!F59:F119)</f>
        <v>0</v>
      </c>
      <c r="D10" s="200" t="s">
        <v>141</v>
      </c>
      <c r="E10" s="200" t="e">
        <f>ROUND(C11/E7,4)</f>
        <v>#DIV/0!</v>
      </c>
      <c r="F10" s="2748" t="s">
        <v>2857</v>
      </c>
      <c r="G10" s="2749"/>
      <c r="H10" s="2749"/>
      <c r="I10" s="2749"/>
      <c r="J10" s="2750"/>
      <c r="K10" s="1372"/>
      <c r="L10" s="2723" t="s">
        <v>2858</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0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5"/>
      <c r="B11" s="2751" t="s">
        <v>2859</v>
      </c>
      <c r="C11" s="922">
        <f>C10/4</f>
        <v>0</v>
      </c>
      <c r="D11" s="922" t="s">
        <v>142</v>
      </c>
      <c r="E11" s="922" t="e">
        <f>ROUND(C11/E7,4)</f>
        <v>#DIV/0!</v>
      </c>
      <c r="F11" s="2752" t="s">
        <v>2860</v>
      </c>
      <c r="G11" s="2753"/>
      <c r="H11" s="2753"/>
      <c r="I11" s="2753"/>
      <c r="J11" s="2754"/>
      <c r="K11" s="1372"/>
      <c r="L11" s="2723" t="s">
        <v>2861</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07" t="s">
        <v>2862</v>
      </c>
      <c r="X11" s="1615" t="s">
        <v>2863</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294" t="s">
        <v>2864</v>
      </c>
      <c r="B12" s="2755" t="s">
        <v>2865</v>
      </c>
      <c r="C12" s="918">
        <f>ROUND(C15*D15*E15*F15*G15*H15*I15*J15,4)</f>
        <v>1</v>
      </c>
      <c r="D12" s="2756" t="s">
        <v>2866</v>
      </c>
      <c r="E12" s="2757"/>
      <c r="F12" s="2757"/>
      <c r="G12" s="2758"/>
      <c r="H12" s="2758"/>
      <c r="I12" s="2758"/>
      <c r="J12" s="2759"/>
      <c r="K12" s="1372"/>
      <c r="L12" s="2760" t="s">
        <v>2867</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07"/>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2"/>
      <c r="B13" s="2761" t="s">
        <v>2869</v>
      </c>
      <c r="C13" s="2762" t="s">
        <v>2870</v>
      </c>
      <c r="D13" s="1809" t="s">
        <v>2871</v>
      </c>
      <c r="E13" s="1809" t="s">
        <v>2872</v>
      </c>
      <c r="F13" s="30" t="s">
        <v>2873</v>
      </c>
      <c r="G13" s="2763" t="s">
        <v>2874</v>
      </c>
      <c r="H13" s="2763" t="s">
        <v>2874</v>
      </c>
      <c r="I13" s="2763" t="s">
        <v>2874</v>
      </c>
      <c r="J13" s="2764" t="s">
        <v>2874</v>
      </c>
      <c r="K13" s="1372"/>
      <c r="L13" s="1372"/>
      <c r="M13" s="1372"/>
      <c r="N13" s="1372"/>
      <c r="O13" s="1372"/>
      <c r="P13" s="1372"/>
      <c r="Q13" s="1372"/>
      <c r="R13" s="1603">
        <v>12</v>
      </c>
      <c r="S13" s="1604"/>
      <c r="T13" s="1603" t="e">
        <f t="shared" si="0"/>
        <v>#DIV/0!</v>
      </c>
      <c r="U13" s="1604"/>
      <c r="V13" s="1603" t="e">
        <f t="shared" si="1"/>
        <v>#DIV/0!</v>
      </c>
      <c r="W13" s="3307"/>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12"/>
      <c r="B14" s="2765"/>
      <c r="C14" s="2766"/>
      <c r="D14" s="2767"/>
      <c r="E14" s="2767"/>
      <c r="F14" s="2768"/>
      <c r="G14" s="2769" t="s">
        <v>2875</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3"/>
      <c r="B15" s="2773" t="s">
        <v>2876</v>
      </c>
      <c r="C15" s="229">
        <f>IF(C14="有",1.1,1)</f>
        <v>1</v>
      </c>
      <c r="D15" s="229">
        <f>IF(D14="有",1.1,1)</f>
        <v>1</v>
      </c>
      <c r="E15" s="229">
        <f>IF(E14="有",1.1,1)</f>
        <v>1</v>
      </c>
      <c r="F15" s="229">
        <f>IF(F14="500米范围内",1.2,IF(F14="500-1000米",1.1,1))</f>
        <v>1</v>
      </c>
      <c r="G15" s="948">
        <v>1</v>
      </c>
      <c r="H15" s="948">
        <v>1</v>
      </c>
      <c r="I15" s="948">
        <v>1</v>
      </c>
      <c r="J15" s="949">
        <v>1</v>
      </c>
      <c r="K15" s="1372"/>
      <c r="L15" s="2774" t="s">
        <v>2812</v>
      </c>
      <c r="M15" s="919" t="s">
        <v>2877</v>
      </c>
      <c r="N15" s="919" t="s">
        <v>2878</v>
      </c>
      <c r="O15" s="919" t="s">
        <v>2879</v>
      </c>
      <c r="P15" s="2775" t="s">
        <v>2880</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4" t="s">
        <v>2881</v>
      </c>
      <c r="B16" s="2742" t="s">
        <v>2882</v>
      </c>
      <c r="C16" s="1802" t="e">
        <f>ROUND(SUM(G17:J17)/C17,0)</f>
        <v>#DIV/0!</v>
      </c>
      <c r="D16" s="2776" t="s">
        <v>2883</v>
      </c>
      <c r="E16" s="2777"/>
      <c r="F16" s="2778"/>
      <c r="G16" s="2779"/>
      <c r="H16" s="2779"/>
      <c r="I16" s="2779"/>
      <c r="J16" s="2780"/>
      <c r="K16" s="1372"/>
      <c r="L16" s="2781" t="s">
        <v>2884</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5"/>
      <c r="B17" s="2782" t="s">
        <v>2885</v>
      </c>
      <c r="C17" s="923">
        <f>SUMPRODUCT((修正!A2:A5=E2)*(修正!B1:M1=G2)*(修正!B2:M5))</f>
        <v>0</v>
      </c>
      <c r="D17" s="2783"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2889</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2890</v>
      </c>
      <c r="C19" s="926" t="e">
        <f>ROUND(IF(H19="按公示增长率计算",SUMPRODUCT((地价!A3:A23=YEAR(G19)&amp;"-"&amp;ROUNDUP(MONTH(G19)/3,0))*(地价!X2:AB2=E2)*(地价!X3:AB23)),IF(H19="地价指数",M20/M19,(1+I19)^O19)),4)</f>
        <v>#DIV/0!</v>
      </c>
      <c r="D19" s="2794" t="s">
        <v>2891</v>
      </c>
      <c r="E19" s="927">
        <v>41640</v>
      </c>
      <c r="F19" s="2794" t="s">
        <v>2892</v>
      </c>
      <c r="G19" s="928">
        <f>'数据-取费表'!B2</f>
        <v>43292</v>
      </c>
      <c r="H19" s="2795" t="s">
        <v>2893</v>
      </c>
      <c r="I19" s="929" t="str">
        <f>IF(H19="季度增幅（自定义）",SUMIF(N21:N24,E2,O21:O24),"")</f>
        <v/>
      </c>
      <c r="J19" s="2792"/>
      <c r="K19" s="1379"/>
      <c r="L19" s="2796" t="s">
        <v>2894</v>
      </c>
      <c r="M19" s="1735">
        <f>ROUND(SUMIF(地价!B2:F2,E2,地价!B23:F23),0)</f>
        <v>0</v>
      </c>
      <c r="N19" s="2797" t="s">
        <v>2895</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2896</v>
      </c>
      <c r="C20" s="931" t="e">
        <f>ROUND(POWER(1+G20,J20-I20)*(POWER(1+G20,I20)-1)/(POWER(1+G20,J20)-1),4)</f>
        <v>#DIV/0!</v>
      </c>
      <c r="D20" s="2803" t="s">
        <v>2897</v>
      </c>
      <c r="E20" s="1769">
        <f ca="1">存贷款利率!D4/100</f>
        <v>4.3499999999999997E-2</v>
      </c>
      <c r="F20" s="2803" t="s">
        <v>2888</v>
      </c>
      <c r="G20" s="936">
        <f>SUMIF(M15:P15,E2,M17:P17)</f>
        <v>0</v>
      </c>
      <c r="H20" s="2803" t="s">
        <v>2898</v>
      </c>
      <c r="I20" s="937" t="e">
        <f>SUMIF('数据-取费表'!C6:C15,E2,'数据-取费表'!F6:F15)/COUNTIF('数据-取费表'!C6:C15,E2)</f>
        <v>#DIV/0!</v>
      </c>
      <c r="J20" s="938">
        <f>IF(E2="住宅",70,IF(E2="商业",40,50))</f>
        <v>50</v>
      </c>
      <c r="K20" s="1379"/>
      <c r="L20" s="2804" t="s">
        <v>2899</v>
      </c>
      <c r="M20" s="1736">
        <f>ROUND(SUMPRODUCT((地价!A4:A23=YEAR(G19)&amp;"-"&amp;ROUNDUP(MONTH(G19)/3,0))*(地价!B2:F2=E2)*(地价!B4:F23)),0)</f>
        <v>0</v>
      </c>
      <c r="N20" s="2805" t="s">
        <v>2900</v>
      </c>
      <c r="O20" s="2806" t="s">
        <v>2901</v>
      </c>
      <c r="P20" s="2807" t="s">
        <v>2902</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2903</v>
      </c>
      <c r="C21" s="939">
        <f>IF(B21="容积率修正",IF(G3&lt;=10,D22,J22),C23)</f>
        <v>0</v>
      </c>
      <c r="D21" s="2810"/>
      <c r="E21" s="2810"/>
      <c r="F21" s="2810"/>
      <c r="G21" s="2810"/>
      <c r="H21" s="2810"/>
      <c r="I21" s="2810"/>
      <c r="J21" s="2811"/>
      <c r="K21" s="1379"/>
      <c r="N21" s="2812" t="s">
        <v>2904</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2905</v>
      </c>
      <c r="B22" s="2813" t="s">
        <v>2906</v>
      </c>
      <c r="C22" s="1811" t="s">
        <v>2907</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2908</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2909</v>
      </c>
      <c r="B23" s="2814" t="s">
        <v>2910</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2911</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2912</v>
      </c>
      <c r="C24" s="926">
        <f>SUMIF(A45:A88,E2,B45:B88)</f>
        <v>0</v>
      </c>
      <c r="D24" s="2790"/>
      <c r="E24" s="2820"/>
      <c r="F24" s="2820"/>
      <c r="G24" s="2820"/>
      <c r="H24" s="2820"/>
      <c r="I24" s="2820"/>
      <c r="J24" s="2821"/>
      <c r="K24" s="1379"/>
      <c r="N24" s="2822" t="s">
        <v>2913</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2914</v>
      </c>
      <c r="C25" s="932"/>
      <c r="D25" s="2745"/>
      <c r="E25" s="2745"/>
      <c r="F25" s="2824"/>
      <c r="G25" s="2745"/>
      <c r="H25" s="2745"/>
      <c r="I25" s="2745"/>
      <c r="J25" s="2746"/>
      <c r="K25" s="1372"/>
      <c r="N25" s="2825" t="s">
        <v>2915</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2916</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2917</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2918</v>
      </c>
      <c r="C28" s="2837" t="s">
        <v>2919</v>
      </c>
      <c r="D28" s="2837" t="s">
        <v>2920</v>
      </c>
      <c r="E28" s="2838" t="s">
        <v>2921</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2922</v>
      </c>
      <c r="C29" s="206" t="e">
        <f>ROUND(C5*C18*C19*C20*C21*C24,0)</f>
        <v>#DIV/0!</v>
      </c>
      <c r="D29" s="2842"/>
      <c r="E29" s="944" t="e">
        <f>ROUND(C29*D29/10000,0)</f>
        <v>#DIV/0!</v>
      </c>
      <c r="F29" s="2843" t="s">
        <v>2923</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2924</v>
      </c>
      <c r="C30" s="229" t="e">
        <f>ROUND(IF(E2="工业",C29*M39,C29*M38),0)</f>
        <v>#DIV/0!</v>
      </c>
      <c r="D30" s="2848"/>
      <c r="E30" s="944" t="e">
        <f>ROUND(C30*D30/10000,0)</f>
        <v>#DIV/0!</v>
      </c>
      <c r="F30" s="2849" t="s">
        <v>2925</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2926</v>
      </c>
      <c r="C31" s="2854" t="s">
        <v>2927</v>
      </c>
      <c r="D31" s="2758"/>
      <c r="E31" s="2854"/>
      <c r="F31" s="2854"/>
      <c r="G31" s="2756" t="s">
        <v>2928</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2919</v>
      </c>
      <c r="D32" s="498" t="s">
        <v>2920</v>
      </c>
      <c r="E32" s="498" t="s">
        <v>2921</v>
      </c>
      <c r="F32" s="388" t="s">
        <v>2929</v>
      </c>
      <c r="G32" s="2857" t="s">
        <v>2919</v>
      </c>
      <c r="H32" s="2857" t="s">
        <v>2920</v>
      </c>
      <c r="I32" s="2857"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02" t="s">
        <v>2930</v>
      </c>
      <c r="B33" s="2858" t="s">
        <v>2931</v>
      </c>
      <c r="C33" s="206" t="e">
        <f>ROUND(D5*C19*C20*C24*F33,0)</f>
        <v>#DIV/0!</v>
      </c>
      <c r="D33" s="2842"/>
      <c r="E33" s="200" t="e">
        <f>ROUND(C33*D33/10000,0)</f>
        <v>#DIV/0!</v>
      </c>
      <c r="F33" s="200">
        <f>SUMIF(修正!A45:A56,G2,修正!B45:B56)</f>
        <v>0</v>
      </c>
      <c r="G33" s="200" t="e">
        <f>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3"/>
      <c r="B34" s="2762" t="s">
        <v>2932</v>
      </c>
      <c r="C34" s="206" t="e">
        <f>ROUND(D5*C19*C20*C24*F34,0)</f>
        <v>#DIV/0!</v>
      </c>
      <c r="D34" s="2842"/>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3"/>
      <c r="B35" s="2762" t="s">
        <v>2933</v>
      </c>
      <c r="C35" s="206" t="e">
        <f>ROUND(D5*C19*C20*C24*F35,0)</f>
        <v>#DIV/0!</v>
      </c>
      <c r="D35" s="2842"/>
      <c r="E35" s="200" t="e">
        <f t="shared" si="6"/>
        <v>#DIV/0!</v>
      </c>
      <c r="F35" s="200">
        <f>SUMIF(修正!A45:A56,G2,修正!D45:D56)</f>
        <v>0</v>
      </c>
      <c r="G35" s="200" t="e">
        <f>ROUND(IF(E2="工业",C35*$M$39,C35*$M$38),0)</f>
        <v>#DIV/0!</v>
      </c>
      <c r="H35" s="200">
        <f t="shared" si="7"/>
        <v>0</v>
      </c>
      <c r="I35" s="200" t="e">
        <f t="shared" si="8"/>
        <v>#DIV/0!</v>
      </c>
      <c r="J35" s="2859"/>
      <c r="K35" s="1372"/>
      <c r="L35" s="1372"/>
      <c r="M35" s="1372"/>
      <c r="N35" s="1372"/>
      <c r="O35" s="1372"/>
      <c r="P35" s="1372"/>
      <c r="Q35" s="1372"/>
      <c r="R35" s="1372"/>
      <c r="S35" s="1372"/>
      <c r="T35" s="1372"/>
      <c r="U35" s="1372"/>
      <c r="V35" s="1372"/>
      <c r="W35" s="1372"/>
      <c r="X35" s="1372"/>
      <c r="Y35" s="1372"/>
      <c r="Z35" s="1373"/>
    </row>
    <row r="36" spans="1:37" ht="13.5" thickBot="1">
      <c r="A36" s="3304"/>
      <c r="B36" s="2762" t="s">
        <v>2934</v>
      </c>
      <c r="C36" s="206" t="e">
        <f>ROUND(D5*C19*C20*C24*F36,0)</f>
        <v>#DIV/0!</v>
      </c>
      <c r="D36" s="2842"/>
      <c r="E36" s="200" t="e">
        <f t="shared" si="6"/>
        <v>#DIV/0!</v>
      </c>
      <c r="F36" s="200">
        <f>SUMIF(修正!A45:A56,G2,修正!E45:E56)</f>
        <v>0</v>
      </c>
      <c r="G36" s="200" t="e">
        <f>ROUND(IF(E2="工业",C36*$M$39,C36*$M$38),0)</f>
        <v>#DIV/0!</v>
      </c>
      <c r="H36" s="200">
        <f t="shared" si="7"/>
        <v>0</v>
      </c>
      <c r="I36" s="200" t="e">
        <f t="shared" si="8"/>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2935</v>
      </c>
      <c r="C37" s="200" t="e">
        <f>ROUND(C5*C19*C20*C24*F37,0)</f>
        <v>#DIV/0!</v>
      </c>
      <c r="D37" s="2842"/>
      <c r="E37" s="200" t="e">
        <f t="shared" si="6"/>
        <v>#DIV/0!</v>
      </c>
      <c r="F37" s="206">
        <f>SUMIF(修正!A45:A56,G2,修正!F45:F56)</f>
        <v>0</v>
      </c>
      <c r="G37" s="200" t="e">
        <f>ROUND(IF(E2="工业",C37*$M$39,C37*$M$38),0)</f>
        <v>#DIV/0!</v>
      </c>
      <c r="H37" s="200">
        <f t="shared" si="7"/>
        <v>0</v>
      </c>
      <c r="I37" s="200" t="e">
        <f t="shared" si="8"/>
        <v>#DIV/0!</v>
      </c>
      <c r="J37" s="2859"/>
      <c r="K37" s="1372"/>
      <c r="L37" s="2861" t="s">
        <v>2936</v>
      </c>
      <c r="M37" s="2862"/>
      <c r="N37" s="1372"/>
      <c r="O37" s="1372"/>
      <c r="P37" s="1372"/>
      <c r="Q37" s="1372"/>
      <c r="R37" s="1372"/>
      <c r="S37" s="1372"/>
      <c r="T37" s="1372"/>
      <c r="U37" s="1372"/>
      <c r="V37" s="1372"/>
      <c r="W37" s="1372"/>
      <c r="X37" s="1372"/>
      <c r="Y37" s="1372"/>
      <c r="Z37" s="1373"/>
    </row>
    <row r="38" spans="1:37">
      <c r="A38" s="2860"/>
      <c r="B38" s="2762" t="s">
        <v>2937</v>
      </c>
      <c r="C38" s="200" t="e">
        <f>ROUND(C5*C19*C20*C24*F38,0)</f>
        <v>#DIV/0!</v>
      </c>
      <c r="D38" s="2842"/>
      <c r="E38" s="200" t="e">
        <f t="shared" si="6"/>
        <v>#DIV/0!</v>
      </c>
      <c r="F38" s="206">
        <f>SUMIF(修正!A45:A56,G2,修正!G45:G56)</f>
        <v>0</v>
      </c>
      <c r="G38" s="200" t="e">
        <f>ROUND(IF(E2="工业",C38*$M$39,C38*$M$38),0)</f>
        <v>#DIV/0!</v>
      </c>
      <c r="H38" s="200">
        <f t="shared" si="7"/>
        <v>0</v>
      </c>
      <c r="I38" s="200" t="e">
        <f t="shared" si="8"/>
        <v>#DIV/0!</v>
      </c>
      <c r="J38" s="2859"/>
      <c r="K38" s="1372"/>
      <c r="L38" s="1888" t="s">
        <v>2938</v>
      </c>
      <c r="M38" s="2863">
        <v>0.25</v>
      </c>
      <c r="N38" s="1372"/>
      <c r="O38" s="1372"/>
      <c r="P38" s="1372"/>
      <c r="Q38" s="1372"/>
      <c r="R38" s="1372"/>
      <c r="S38" s="1372"/>
      <c r="T38" s="1372"/>
      <c r="U38" s="1372"/>
      <c r="V38" s="1372"/>
      <c r="W38" s="1372"/>
      <c r="X38" s="1372"/>
      <c r="Y38" s="1372"/>
      <c r="Z38" s="1373"/>
    </row>
    <row r="39" spans="1:37" ht="13.5" thickBot="1">
      <c r="A39" s="2846"/>
      <c r="B39" s="2864" t="s">
        <v>2939</v>
      </c>
      <c r="C39" s="229" t="e">
        <f>ROUND(C5*C19*C20*C24*F39,0)</f>
        <v>#DIV/0!</v>
      </c>
      <c r="D39" s="2848"/>
      <c r="E39" s="229" t="e">
        <f t="shared" si="6"/>
        <v>#DIV/0!</v>
      </c>
      <c r="F39" s="934">
        <f>SUMIF(修正!A45:A56,G2,修正!H45:H56)</f>
        <v>0</v>
      </c>
      <c r="G39" s="229" t="e">
        <f>ROUND(IF(E2="工业",C39*$M$39,C39*$M$38),0)</f>
        <v>#DIV/0!</v>
      </c>
      <c r="H39" s="229">
        <f t="shared" si="7"/>
        <v>0</v>
      </c>
      <c r="I39" s="229" t="e">
        <f t="shared" si="8"/>
        <v>#DIV/0!</v>
      </c>
      <c r="J39" s="2865"/>
      <c r="K39" s="1372"/>
      <c r="L39" s="2866" t="s">
        <v>2880</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2940</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2941</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2942</v>
      </c>
      <c r="B47" s="1810" t="s">
        <v>2943</v>
      </c>
      <c r="C47" s="1810" t="s">
        <v>2944</v>
      </c>
      <c r="D47" s="1810" t="s">
        <v>2945</v>
      </c>
      <c r="E47" s="818" t="s">
        <v>2946</v>
      </c>
      <c r="F47" s="2876" t="s">
        <v>2947</v>
      </c>
      <c r="G47" s="1810" t="s">
        <v>754</v>
      </c>
      <c r="H47" s="2877" t="s">
        <v>2948</v>
      </c>
      <c r="I47" s="1810" t="s">
        <v>2949</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51">
      <c r="A48" s="2875" t="s">
        <v>2950</v>
      </c>
      <c r="B48" s="2878" t="str">
        <f>估价对象房地状况!C4</f>
        <v>估价对象周边没有大型商业中心、有少量住宅项目底商，人流量较少，商业繁华度较差。</v>
      </c>
      <c r="C48" s="2767"/>
      <c r="D48" s="1288">
        <f t="shared" ref="D48:D56" si="9">SUMIF($J$47:$N$47,C48,J48:N48)</f>
        <v>0</v>
      </c>
      <c r="E48" s="820">
        <f>ROUND(SUM(D48:D56),4)</f>
        <v>0</v>
      </c>
      <c r="F48" s="2498" t="str">
        <f>IF(E2="商业",SUMIF(L1:L12,G2,N1:N12),"——")</f>
        <v>——</v>
      </c>
      <c r="G48" s="1286"/>
      <c r="H48" s="1290" t="str">
        <f t="shared" ref="H48:H56" si="10">IFERROR(ROUNDDOWN($F$48*I48/2,4),"——")</f>
        <v>——</v>
      </c>
      <c r="I48" s="819">
        <v>0.33</v>
      </c>
      <c r="J48" s="1287">
        <f t="shared" ref="J48:J56" si="11">K48+$G48</f>
        <v>0</v>
      </c>
      <c r="K48" s="1287">
        <f t="shared" ref="K48:K56" si="12">$L48+$G48</f>
        <v>0</v>
      </c>
      <c r="L48" s="1287">
        <v>0</v>
      </c>
      <c r="M48" s="1287">
        <f t="shared" ref="M48:N56" si="13">L48-$G48</f>
        <v>0</v>
      </c>
      <c r="N48" s="1287">
        <f t="shared" si="13"/>
        <v>0</v>
      </c>
      <c r="AA48" s="1373"/>
      <c r="AB48" s="1373"/>
      <c r="AC48" s="1373"/>
      <c r="AD48" s="1373"/>
      <c r="AE48" s="1373"/>
      <c r="AF48" s="1373"/>
      <c r="AG48" s="1373"/>
      <c r="AH48" s="1373"/>
      <c r="AI48" s="1373"/>
      <c r="AJ48" s="1373"/>
      <c r="AK48" s="1373"/>
    </row>
    <row r="49" spans="1:37" s="1372" customFormat="1" ht="51">
      <c r="A49" s="2875" t="s">
        <v>2951</v>
      </c>
      <c r="B49" s="2879" t="str">
        <f>估价对象房地状况!C18</f>
        <v>估价对象邻近京承高速、机场北线高速；公共交通情况差、停车较便捷，综合评价交通便捷度一般。</v>
      </c>
      <c r="C49" s="2767"/>
      <c r="D49" s="1288">
        <f t="shared" si="9"/>
        <v>0</v>
      </c>
      <c r="E49" s="821"/>
      <c r="F49" s="2498"/>
      <c r="G49" s="1286"/>
      <c r="H49" s="1290" t="str">
        <f t="shared" si="10"/>
        <v>——</v>
      </c>
      <c r="I49" s="819">
        <v>0.25</v>
      </c>
      <c r="J49" s="1287">
        <f t="shared" si="11"/>
        <v>0</v>
      </c>
      <c r="K49" s="1287">
        <f t="shared" si="12"/>
        <v>0</v>
      </c>
      <c r="L49" s="1287">
        <v>0</v>
      </c>
      <c r="M49" s="1287">
        <f t="shared" si="13"/>
        <v>0</v>
      </c>
      <c r="N49" s="1287">
        <f t="shared" si="13"/>
        <v>0</v>
      </c>
      <c r="AA49" s="1373"/>
      <c r="AB49" s="1373"/>
      <c r="AC49" s="1373"/>
      <c r="AD49" s="1373"/>
      <c r="AE49" s="1373"/>
      <c r="AF49" s="1373"/>
      <c r="AG49" s="1373"/>
      <c r="AH49" s="1373"/>
      <c r="AI49" s="1373"/>
      <c r="AJ49" s="1373"/>
      <c r="AK49" s="1373"/>
    </row>
    <row r="50" spans="1:37" s="1372" customFormat="1" ht="25.5">
      <c r="A50" s="2875" t="s">
        <v>2952</v>
      </c>
      <c r="B50" s="2879" t="str">
        <f>估价对象房地状况!C19</f>
        <v>区域以住宅用地为主、区域土地利用方向较一致。</v>
      </c>
      <c r="C50" s="2767"/>
      <c r="D50" s="1288">
        <f t="shared" si="9"/>
        <v>0</v>
      </c>
      <c r="E50" s="821"/>
      <c r="F50" s="2498"/>
      <c r="G50" s="1286"/>
      <c r="H50" s="1290" t="str">
        <f t="shared" si="10"/>
        <v>——</v>
      </c>
      <c r="I50" s="819">
        <v>0.05</v>
      </c>
      <c r="J50" s="1287">
        <f t="shared" si="11"/>
        <v>0</v>
      </c>
      <c r="K50" s="1287">
        <f t="shared" si="12"/>
        <v>0</v>
      </c>
      <c r="L50" s="1287">
        <v>0</v>
      </c>
      <c r="M50" s="1287">
        <f t="shared" si="13"/>
        <v>0</v>
      </c>
      <c r="N50" s="1287">
        <f t="shared" si="13"/>
        <v>0</v>
      </c>
      <c r="AA50" s="1373"/>
      <c r="AB50" s="1373"/>
      <c r="AC50" s="1373"/>
      <c r="AD50" s="1373"/>
      <c r="AE50" s="1373"/>
      <c r="AF50" s="1373"/>
      <c r="AG50" s="1373"/>
      <c r="AH50" s="1373"/>
      <c r="AI50" s="1373"/>
      <c r="AJ50" s="1373"/>
      <c r="AK50" s="1373"/>
    </row>
    <row r="51" spans="1:37" s="1372" customFormat="1" ht="36.75">
      <c r="A51" s="2875" t="s">
        <v>2953</v>
      </c>
      <c r="B51" s="2880" t="s">
        <v>2954</v>
      </c>
      <c r="C51" s="2767"/>
      <c r="D51" s="1288">
        <f t="shared" si="9"/>
        <v>0</v>
      </c>
      <c r="E51" s="821"/>
      <c r="F51" s="2498"/>
      <c r="G51" s="1286"/>
      <c r="H51" s="1290" t="str">
        <f t="shared" si="10"/>
        <v>——</v>
      </c>
      <c r="I51" s="819">
        <v>0.05</v>
      </c>
      <c r="J51" s="1287">
        <f t="shared" si="11"/>
        <v>0</v>
      </c>
      <c r="K51" s="1287">
        <f t="shared" si="12"/>
        <v>0</v>
      </c>
      <c r="L51" s="1287">
        <v>0</v>
      </c>
      <c r="M51" s="1287">
        <f t="shared" si="13"/>
        <v>0</v>
      </c>
      <c r="N51" s="1287">
        <f t="shared" si="13"/>
        <v>0</v>
      </c>
      <c r="AA51" s="1373"/>
      <c r="AB51" s="1373"/>
      <c r="AC51" s="1373"/>
      <c r="AD51" s="1373"/>
      <c r="AE51" s="1373"/>
      <c r="AF51" s="1373"/>
      <c r="AG51" s="1373"/>
      <c r="AH51" s="1373"/>
      <c r="AI51" s="1373"/>
      <c r="AJ51" s="1373"/>
      <c r="AK51" s="1373"/>
    </row>
    <row r="52" spans="1:37" s="1372" customFormat="1" ht="24">
      <c r="A52" s="2875" t="s">
        <v>2955</v>
      </c>
      <c r="B52" s="2879" t="str">
        <f>估价对象房地状况!C24</f>
        <v>城市支路——高白路</v>
      </c>
      <c r="C52" s="2767"/>
      <c r="D52" s="1288">
        <f t="shared" si="9"/>
        <v>0</v>
      </c>
      <c r="E52" s="821"/>
      <c r="F52" s="2498"/>
      <c r="G52" s="1286"/>
      <c r="H52" s="1290" t="str">
        <f t="shared" si="10"/>
        <v>——</v>
      </c>
      <c r="I52" s="819">
        <v>0.08</v>
      </c>
      <c r="J52" s="1287">
        <f t="shared" si="11"/>
        <v>0</v>
      </c>
      <c r="K52" s="1287">
        <f t="shared" si="12"/>
        <v>0</v>
      </c>
      <c r="L52" s="1287">
        <v>0</v>
      </c>
      <c r="M52" s="1287">
        <f t="shared" si="13"/>
        <v>0</v>
      </c>
      <c r="N52" s="1287">
        <f t="shared" si="13"/>
        <v>0</v>
      </c>
      <c r="AA52" s="1373"/>
      <c r="AB52" s="1373"/>
      <c r="AC52" s="1373"/>
      <c r="AD52" s="1373"/>
      <c r="AE52" s="1373"/>
      <c r="AF52" s="1373"/>
      <c r="AG52" s="1373"/>
      <c r="AH52" s="1373"/>
      <c r="AI52" s="1373"/>
      <c r="AJ52" s="1373"/>
      <c r="AK52" s="1373"/>
    </row>
    <row r="53" spans="1:37" s="1372" customFormat="1" ht="24">
      <c r="A53" s="2875" t="s">
        <v>2956</v>
      </c>
      <c r="B53" s="2881" t="s">
        <v>2957</v>
      </c>
      <c r="C53" s="2767"/>
      <c r="D53" s="1288">
        <f t="shared" si="9"/>
        <v>0</v>
      </c>
      <c r="E53" s="821"/>
      <c r="F53" s="2498"/>
      <c r="G53" s="1286"/>
      <c r="H53" s="1290" t="str">
        <f t="shared" si="10"/>
        <v>——</v>
      </c>
      <c r="I53" s="819">
        <v>0.03</v>
      </c>
      <c r="J53" s="1287">
        <f t="shared" si="11"/>
        <v>0</v>
      </c>
      <c r="K53" s="1287">
        <f t="shared" si="12"/>
        <v>0</v>
      </c>
      <c r="L53" s="1287">
        <v>0</v>
      </c>
      <c r="M53" s="1287">
        <f t="shared" si="13"/>
        <v>0</v>
      </c>
      <c r="N53" s="1287">
        <f t="shared" si="13"/>
        <v>0</v>
      </c>
      <c r="AA53" s="1373"/>
      <c r="AB53" s="1373"/>
      <c r="AC53" s="1373"/>
      <c r="AD53" s="1373"/>
      <c r="AE53" s="1373"/>
      <c r="AF53" s="1373"/>
      <c r="AG53" s="1373"/>
      <c r="AH53" s="1373"/>
      <c r="AI53" s="1373"/>
      <c r="AJ53" s="1373"/>
      <c r="AK53" s="1373"/>
    </row>
    <row r="54" spans="1:37" s="1372" customFormat="1" ht="25.5">
      <c r="A54" s="2882" t="s">
        <v>2958</v>
      </c>
      <c r="B54" s="1726" t="str">
        <f>估价对象房地状况!C21</f>
        <v>估价对象所在区域公共配套设施齐备情况一般。</v>
      </c>
      <c r="C54" s="2767"/>
      <c r="D54" s="1288">
        <f t="shared" si="9"/>
        <v>0</v>
      </c>
      <c r="E54" s="821"/>
      <c r="F54" s="2498"/>
      <c r="G54" s="1286"/>
      <c r="H54" s="1290" t="str">
        <f t="shared" si="10"/>
        <v>——</v>
      </c>
      <c r="I54" s="819">
        <v>0.05</v>
      </c>
      <c r="J54" s="1287">
        <f t="shared" si="11"/>
        <v>0</v>
      </c>
      <c r="K54" s="1287">
        <f t="shared" si="12"/>
        <v>0</v>
      </c>
      <c r="L54" s="1287">
        <v>0</v>
      </c>
      <c r="M54" s="1287">
        <f t="shared" si="13"/>
        <v>0</v>
      </c>
      <c r="N54" s="1287">
        <f t="shared" si="13"/>
        <v>0</v>
      </c>
      <c r="AA54" s="1373"/>
      <c r="AB54" s="1373"/>
      <c r="AC54" s="1373"/>
      <c r="AD54" s="1373"/>
      <c r="AE54" s="1373"/>
      <c r="AF54" s="1373"/>
      <c r="AG54" s="1373"/>
      <c r="AH54" s="1373"/>
      <c r="AI54" s="1373"/>
      <c r="AJ54" s="1373"/>
      <c r="AK54" s="1373"/>
    </row>
    <row r="55" spans="1:37" s="1372" customFormat="1" ht="25.5">
      <c r="A55" s="2882" t="s">
        <v>2959</v>
      </c>
      <c r="B55" s="2879" t="str">
        <f>估价对象房地状况!C22</f>
        <v>估价对象所在区域基础设施水平达“七通”。</v>
      </c>
      <c r="C55" s="2767"/>
      <c r="D55" s="1288">
        <f t="shared" si="9"/>
        <v>0</v>
      </c>
      <c r="E55" s="821"/>
      <c r="F55" s="2498"/>
      <c r="G55" s="1286"/>
      <c r="H55" s="1290" t="str">
        <f t="shared" si="10"/>
        <v>——</v>
      </c>
      <c r="I55" s="819">
        <v>0.1</v>
      </c>
      <c r="J55" s="1287">
        <f t="shared" si="11"/>
        <v>0</v>
      </c>
      <c r="K55" s="1287">
        <f t="shared" si="12"/>
        <v>0</v>
      </c>
      <c r="L55" s="1287">
        <v>0</v>
      </c>
      <c r="M55" s="1287">
        <f t="shared" si="13"/>
        <v>0</v>
      </c>
      <c r="N55" s="1287">
        <f t="shared" si="13"/>
        <v>0</v>
      </c>
      <c r="AA55" s="1373"/>
      <c r="AB55" s="1373"/>
      <c r="AC55" s="1373"/>
      <c r="AD55" s="1373"/>
      <c r="AE55" s="1373"/>
      <c r="AF55" s="1373"/>
      <c r="AG55" s="1373"/>
      <c r="AH55" s="1373"/>
      <c r="AI55" s="1373"/>
      <c r="AJ55" s="1373"/>
      <c r="AK55" s="1373"/>
    </row>
    <row r="56" spans="1:37" s="1372" customFormat="1" ht="64.5" thickBot="1">
      <c r="A56" s="2883" t="s">
        <v>2960</v>
      </c>
      <c r="B56" s="2884" t="str">
        <f>估价对象房地状况!C20</f>
        <v>估价对象所在区域邻近温榆河，自然环境一般；无人文环境场所；综合评价自然及人文环境状况一般。</v>
      </c>
      <c r="C56" s="2767"/>
      <c r="D56" s="1288">
        <f t="shared" si="9"/>
        <v>0</v>
      </c>
      <c r="E56" s="824"/>
      <c r="F56" s="2498"/>
      <c r="G56" s="1286"/>
      <c r="H56" s="1290" t="str">
        <f t="shared" si="10"/>
        <v>——</v>
      </c>
      <c r="I56" s="823">
        <v>0.06</v>
      </c>
      <c r="J56" s="1287">
        <f t="shared" si="11"/>
        <v>0</v>
      </c>
      <c r="K56" s="1287">
        <f t="shared" si="12"/>
        <v>0</v>
      </c>
      <c r="L56" s="1287">
        <v>0</v>
      </c>
      <c r="M56" s="1287">
        <f t="shared" si="13"/>
        <v>0</v>
      </c>
      <c r="N56" s="1287">
        <f t="shared" si="13"/>
        <v>0</v>
      </c>
      <c r="AA56" s="1373"/>
      <c r="AB56" s="1373"/>
      <c r="AC56" s="1373"/>
      <c r="AD56" s="1373"/>
      <c r="AE56" s="1373"/>
      <c r="AF56" s="1373"/>
      <c r="AG56" s="1373"/>
      <c r="AH56" s="1373"/>
      <c r="AI56" s="1373"/>
      <c r="AJ56" s="1373"/>
      <c r="AK56" s="1373"/>
    </row>
    <row r="57" spans="1:37" s="1372" customFormat="1" ht="15">
      <c r="A57" s="2871" t="s">
        <v>2961</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2942</v>
      </c>
      <c r="B58" s="1810"/>
      <c r="C58" s="1810" t="s">
        <v>2944</v>
      </c>
      <c r="D58" s="1810" t="s">
        <v>2945</v>
      </c>
      <c r="E58" s="818" t="s">
        <v>2946</v>
      </c>
      <c r="F58" s="2876" t="s">
        <v>2962</v>
      </c>
      <c r="G58" s="1810" t="s">
        <v>754</v>
      </c>
      <c r="H58" s="2877" t="s">
        <v>2948</v>
      </c>
      <c r="I58" s="1810" t="s">
        <v>2949</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25.5">
      <c r="A59" s="2875" t="s">
        <v>2963</v>
      </c>
      <c r="B59" s="2878" t="str">
        <f>估价对象房地状况!C17</f>
        <v>估价对象周边办公项目较少，办公集聚程度较差。</v>
      </c>
      <c r="C59" s="2767"/>
      <c r="D59" s="1288">
        <f t="shared" ref="D59:D67" si="14">SUMIF($J$58:$N$58,C59,J59:N59)</f>
        <v>0</v>
      </c>
      <c r="E59" s="820">
        <f>ROUND(SUM(D59:D67),4)</f>
        <v>0</v>
      </c>
      <c r="F59" s="2498" t="str">
        <f>IF(E2="办公",SUMIF(L1:L12,G2,N1:N12),"——")</f>
        <v>——</v>
      </c>
      <c r="G59" s="1286"/>
      <c r="H59" s="1290" t="str">
        <f t="shared" ref="H59:H67" si="15">IFERROR(ROUNDDOWN($F$59*I59/2,4),"——")</f>
        <v>——</v>
      </c>
      <c r="I59" s="819">
        <v>0.24</v>
      </c>
      <c r="J59" s="1287">
        <f t="shared" ref="J59:J67" si="16">K59+$G59</f>
        <v>0</v>
      </c>
      <c r="K59" s="1287">
        <f t="shared" ref="K59:K67" si="17">$L59+$G59</f>
        <v>0</v>
      </c>
      <c r="L59" s="1287">
        <v>0</v>
      </c>
      <c r="M59" s="1287">
        <f t="shared" ref="M59:N67" si="18">L59-$G59</f>
        <v>0</v>
      </c>
      <c r="N59" s="1287">
        <f t="shared" si="18"/>
        <v>0</v>
      </c>
      <c r="AA59" s="1373"/>
      <c r="AB59" s="1373"/>
      <c r="AC59" s="1373"/>
      <c r="AD59" s="1373"/>
      <c r="AE59" s="1373"/>
      <c r="AF59" s="1373"/>
      <c r="AG59" s="1373"/>
      <c r="AH59" s="1373"/>
      <c r="AI59" s="1373"/>
      <c r="AJ59" s="1373"/>
      <c r="AK59" s="1373"/>
    </row>
    <row r="60" spans="1:37" s="1372" customFormat="1" ht="51">
      <c r="A60" s="2875" t="s">
        <v>2951</v>
      </c>
      <c r="B60" s="2879" t="str">
        <f>估价对象房地状况!C18</f>
        <v>估价对象邻近京承高速、机场北线高速；公共交通情况差、停车较便捷，综合评价交通便捷度一般。</v>
      </c>
      <c r="C60" s="2767"/>
      <c r="D60" s="1288">
        <f t="shared" si="14"/>
        <v>0</v>
      </c>
      <c r="E60" s="821"/>
      <c r="F60" s="2498"/>
      <c r="G60" s="1286"/>
      <c r="H60" s="1290" t="str">
        <f t="shared" si="15"/>
        <v>——</v>
      </c>
      <c r="I60" s="819">
        <v>0.3</v>
      </c>
      <c r="J60" s="1287">
        <f t="shared" si="16"/>
        <v>0</v>
      </c>
      <c r="K60" s="1287">
        <f t="shared" si="17"/>
        <v>0</v>
      </c>
      <c r="L60" s="1287">
        <v>0</v>
      </c>
      <c r="M60" s="1287">
        <f t="shared" si="18"/>
        <v>0</v>
      </c>
      <c r="N60" s="1287">
        <f t="shared" si="18"/>
        <v>0</v>
      </c>
      <c r="AA60" s="1373"/>
      <c r="AB60" s="1373"/>
      <c r="AC60" s="1373"/>
      <c r="AD60" s="1373"/>
      <c r="AE60" s="1373"/>
      <c r="AF60" s="1373"/>
      <c r="AG60" s="1373"/>
      <c r="AH60" s="1373"/>
      <c r="AI60" s="1373"/>
      <c r="AJ60" s="1373"/>
      <c r="AK60" s="1373"/>
    </row>
    <row r="61" spans="1:37" s="1372" customFormat="1" ht="25.5">
      <c r="A61" s="2875" t="s">
        <v>2952</v>
      </c>
      <c r="B61" s="2879" t="str">
        <f>估价对象房地状况!C19</f>
        <v>区域以住宅用地为主、区域土地利用方向较一致。</v>
      </c>
      <c r="C61" s="2767"/>
      <c r="D61" s="1288">
        <f t="shared" si="14"/>
        <v>0</v>
      </c>
      <c r="E61" s="821"/>
      <c r="F61" s="2498"/>
      <c r="G61" s="1286"/>
      <c r="H61" s="1290" t="str">
        <f t="shared" si="15"/>
        <v>——</v>
      </c>
      <c r="I61" s="819">
        <v>0.08</v>
      </c>
      <c r="J61" s="1287">
        <f t="shared" si="16"/>
        <v>0</v>
      </c>
      <c r="K61" s="1287">
        <f t="shared" si="17"/>
        <v>0</v>
      </c>
      <c r="L61" s="1287">
        <v>0</v>
      </c>
      <c r="M61" s="1287">
        <f t="shared" si="18"/>
        <v>0</v>
      </c>
      <c r="N61" s="1287">
        <f t="shared" si="18"/>
        <v>0</v>
      </c>
      <c r="AA61" s="1373"/>
      <c r="AB61" s="1373"/>
      <c r="AC61" s="1373"/>
      <c r="AD61" s="1373"/>
      <c r="AE61" s="1373"/>
      <c r="AF61" s="1373"/>
      <c r="AG61" s="1373"/>
      <c r="AH61" s="1373"/>
      <c r="AI61" s="1373"/>
      <c r="AJ61" s="1373"/>
      <c r="AK61" s="1373"/>
    </row>
    <row r="62" spans="1:37" s="1372" customFormat="1" ht="36.75">
      <c r="A62" s="2875" t="s">
        <v>2953</v>
      </c>
      <c r="B62" s="2880" t="s">
        <v>2954</v>
      </c>
      <c r="C62" s="2767"/>
      <c r="D62" s="1288">
        <f t="shared" si="14"/>
        <v>0</v>
      </c>
      <c r="E62" s="821"/>
      <c r="F62" s="2498"/>
      <c r="G62" s="1286"/>
      <c r="H62" s="1290" t="str">
        <f t="shared" si="15"/>
        <v>——</v>
      </c>
      <c r="I62" s="819">
        <v>0.04</v>
      </c>
      <c r="J62" s="1287">
        <f t="shared" si="16"/>
        <v>0</v>
      </c>
      <c r="K62" s="1287">
        <f t="shared" si="17"/>
        <v>0</v>
      </c>
      <c r="L62" s="1287">
        <v>0</v>
      </c>
      <c r="M62" s="1287">
        <f t="shared" si="18"/>
        <v>0</v>
      </c>
      <c r="N62" s="1287">
        <f t="shared" si="18"/>
        <v>0</v>
      </c>
      <c r="AA62" s="1373"/>
      <c r="AB62" s="1373"/>
      <c r="AC62" s="1373"/>
      <c r="AD62" s="1373"/>
      <c r="AE62" s="1373"/>
      <c r="AF62" s="1373"/>
      <c r="AG62" s="1373"/>
      <c r="AH62" s="1373"/>
      <c r="AI62" s="1373"/>
      <c r="AJ62" s="1373"/>
      <c r="AK62" s="1373"/>
    </row>
    <row r="63" spans="1:37" s="1372" customFormat="1" ht="24">
      <c r="A63" s="2875" t="s">
        <v>2955</v>
      </c>
      <c r="B63" s="2879" t="str">
        <f>估价对象房地状况!C24</f>
        <v>城市支路——高白路</v>
      </c>
      <c r="C63" s="2767"/>
      <c r="D63" s="1288">
        <f t="shared" si="14"/>
        <v>0</v>
      </c>
      <c r="E63" s="821"/>
      <c r="F63" s="2498"/>
      <c r="G63" s="1286"/>
      <c r="H63" s="1290" t="str">
        <f t="shared" si="15"/>
        <v>——</v>
      </c>
      <c r="I63" s="819">
        <v>0.05</v>
      </c>
      <c r="J63" s="1287">
        <f t="shared" si="16"/>
        <v>0</v>
      </c>
      <c r="K63" s="1287">
        <f t="shared" si="17"/>
        <v>0</v>
      </c>
      <c r="L63" s="1287">
        <v>0</v>
      </c>
      <c r="M63" s="1287">
        <f t="shared" si="18"/>
        <v>0</v>
      </c>
      <c r="N63" s="1287">
        <f t="shared" si="18"/>
        <v>0</v>
      </c>
      <c r="AA63" s="1373"/>
      <c r="AB63" s="1373"/>
      <c r="AC63" s="1373"/>
      <c r="AD63" s="1373"/>
      <c r="AE63" s="1373"/>
      <c r="AF63" s="1373"/>
      <c r="AG63" s="1373"/>
      <c r="AH63" s="1373"/>
      <c r="AI63" s="1373"/>
      <c r="AJ63" s="1373"/>
      <c r="AK63" s="1373"/>
    </row>
    <row r="64" spans="1:37" s="1372" customFormat="1" ht="24">
      <c r="A64" s="2875" t="s">
        <v>2956</v>
      </c>
      <c r="B64" s="2881" t="s">
        <v>2957</v>
      </c>
      <c r="C64" s="2767"/>
      <c r="D64" s="1288">
        <f t="shared" si="14"/>
        <v>0</v>
      </c>
      <c r="E64" s="821"/>
      <c r="F64" s="2498"/>
      <c r="G64" s="1286"/>
      <c r="H64" s="1290" t="str">
        <f t="shared" si="15"/>
        <v>——</v>
      </c>
      <c r="I64" s="819">
        <v>0.05</v>
      </c>
      <c r="J64" s="1287">
        <f t="shared" si="16"/>
        <v>0</v>
      </c>
      <c r="K64" s="1287">
        <f t="shared" si="17"/>
        <v>0</v>
      </c>
      <c r="L64" s="1287">
        <v>0</v>
      </c>
      <c r="M64" s="1287">
        <f t="shared" si="18"/>
        <v>0</v>
      </c>
      <c r="N64" s="1287">
        <f t="shared" si="18"/>
        <v>0</v>
      </c>
      <c r="AA64" s="1373"/>
      <c r="AB64" s="1373"/>
      <c r="AC64" s="1373"/>
      <c r="AD64" s="1373"/>
      <c r="AE64" s="1373"/>
      <c r="AF64" s="1373"/>
      <c r="AG64" s="1373"/>
      <c r="AH64" s="1373"/>
      <c r="AI64" s="1373"/>
      <c r="AJ64" s="1373"/>
      <c r="AK64" s="1373"/>
    </row>
    <row r="65" spans="1:37" s="1372" customFormat="1" ht="25.5">
      <c r="A65" s="2875" t="s">
        <v>2958</v>
      </c>
      <c r="B65" s="1726" t="str">
        <f>估价对象房地状况!C21</f>
        <v>估价对象所在区域公共配套设施齐备情况一般。</v>
      </c>
      <c r="C65" s="2767"/>
      <c r="D65" s="1288">
        <f t="shared" si="14"/>
        <v>0</v>
      </c>
      <c r="E65" s="821"/>
      <c r="F65" s="2498"/>
      <c r="G65" s="1286"/>
      <c r="H65" s="1290" t="str">
        <f t="shared" si="15"/>
        <v>——</v>
      </c>
      <c r="I65" s="819">
        <v>0.06</v>
      </c>
      <c r="J65" s="1287">
        <f t="shared" si="16"/>
        <v>0</v>
      </c>
      <c r="K65" s="1287">
        <f t="shared" si="17"/>
        <v>0</v>
      </c>
      <c r="L65" s="1287">
        <v>0</v>
      </c>
      <c r="M65" s="1287">
        <f t="shared" si="18"/>
        <v>0</v>
      </c>
      <c r="N65" s="1287">
        <f t="shared" si="18"/>
        <v>0</v>
      </c>
      <c r="AA65" s="1373"/>
      <c r="AB65" s="1373"/>
      <c r="AC65" s="1373"/>
      <c r="AD65" s="1373"/>
      <c r="AE65" s="1373"/>
      <c r="AF65" s="1373"/>
      <c r="AG65" s="1373"/>
      <c r="AH65" s="1373"/>
      <c r="AI65" s="1373"/>
      <c r="AJ65" s="1373"/>
      <c r="AK65" s="1373"/>
    </row>
    <row r="66" spans="1:37" s="1372" customFormat="1" ht="25.5">
      <c r="A66" s="2875" t="s">
        <v>2959</v>
      </c>
      <c r="B66" s="1726" t="str">
        <f>估价对象房地状况!C22</f>
        <v>估价对象所在区域基础设施水平达“七通”。</v>
      </c>
      <c r="C66" s="2767"/>
      <c r="D66" s="1288">
        <f t="shared" si="14"/>
        <v>0</v>
      </c>
      <c r="E66" s="821"/>
      <c r="F66" s="2498"/>
      <c r="G66" s="1286"/>
      <c r="H66" s="1290" t="str">
        <f t="shared" si="15"/>
        <v>——</v>
      </c>
      <c r="I66" s="819">
        <v>0.12</v>
      </c>
      <c r="J66" s="1287">
        <f t="shared" si="16"/>
        <v>0</v>
      </c>
      <c r="K66" s="1287">
        <f t="shared" si="17"/>
        <v>0</v>
      </c>
      <c r="L66" s="1287">
        <v>0</v>
      </c>
      <c r="M66" s="1287">
        <f t="shared" si="18"/>
        <v>0</v>
      </c>
      <c r="N66" s="1287">
        <f t="shared" si="18"/>
        <v>0</v>
      </c>
      <c r="AA66" s="1373"/>
      <c r="AB66" s="1373"/>
      <c r="AC66" s="1373"/>
      <c r="AD66" s="1373"/>
      <c r="AE66" s="1373"/>
      <c r="AF66" s="1373"/>
      <c r="AG66" s="1373"/>
      <c r="AH66" s="1373"/>
      <c r="AI66" s="1373"/>
      <c r="AJ66" s="1373"/>
      <c r="AK66" s="1373"/>
    </row>
    <row r="67" spans="1:37" s="1372" customFormat="1" ht="64.5" thickBot="1">
      <c r="A67" s="2883" t="s">
        <v>2960</v>
      </c>
      <c r="B67" s="2885" t="str">
        <f>估价对象房地状况!C20</f>
        <v>估价对象所在区域邻近温榆河，自然环境一般；无人文环境场所；综合评价自然及人文环境状况一般。</v>
      </c>
      <c r="C67" s="2767"/>
      <c r="D67" s="1288">
        <f t="shared" si="14"/>
        <v>0</v>
      </c>
      <c r="E67" s="824"/>
      <c r="F67" s="2498"/>
      <c r="G67" s="1286"/>
      <c r="H67" s="1290" t="str">
        <f t="shared" si="15"/>
        <v>——</v>
      </c>
      <c r="I67" s="823">
        <v>0.06</v>
      </c>
      <c r="J67" s="1287">
        <f t="shared" si="16"/>
        <v>0</v>
      </c>
      <c r="K67" s="1287">
        <f t="shared" si="17"/>
        <v>0</v>
      </c>
      <c r="L67" s="1287">
        <v>0</v>
      </c>
      <c r="M67" s="1287">
        <f t="shared" si="18"/>
        <v>0</v>
      </c>
      <c r="N67" s="1287">
        <f t="shared" si="18"/>
        <v>0</v>
      </c>
      <c r="AA67" s="1373"/>
      <c r="AB67" s="1373"/>
      <c r="AC67" s="1373"/>
      <c r="AD67" s="1373"/>
      <c r="AE67" s="1373"/>
      <c r="AF67" s="1373"/>
      <c r="AG67" s="1373"/>
      <c r="AH67" s="1373"/>
      <c r="AI67" s="1373"/>
      <c r="AJ67" s="1373"/>
      <c r="AK67" s="1373"/>
    </row>
    <row r="68" spans="1:37" s="1372" customFormat="1" ht="15">
      <c r="A68" s="2871" t="s">
        <v>2964</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2942</v>
      </c>
      <c r="B69" s="1810"/>
      <c r="C69" s="1810" t="s">
        <v>2944</v>
      </c>
      <c r="D69" s="1810" t="s">
        <v>2945</v>
      </c>
      <c r="E69" s="818" t="s">
        <v>2946</v>
      </c>
      <c r="F69" s="2876" t="s">
        <v>2962</v>
      </c>
      <c r="G69" s="1810" t="s">
        <v>754</v>
      </c>
      <c r="H69" s="2877" t="s">
        <v>2948</v>
      </c>
      <c r="I69" s="1810" t="s">
        <v>2949</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63.75">
      <c r="A70" s="2875" t="s">
        <v>2965</v>
      </c>
      <c r="B70" s="2878" t="str">
        <f>估价对象房地状况!C15</f>
        <v>估价对象周边有春晖园、新于庄园、新世界丽樽等住宅项目，密集度一般，综合评价居住社区成熟度一般。</v>
      </c>
      <c r="C70" s="2767"/>
      <c r="D70" s="1288">
        <f t="shared" ref="D70:D78" si="19">SUMIF($J$69:$N$69,C70,J70:N70)</f>
        <v>0</v>
      </c>
      <c r="E70" s="820">
        <f>ROUND(SUM(D70:D78),4)</f>
        <v>0</v>
      </c>
      <c r="F70" s="2498" t="str">
        <f>IF(E2="住宅",SUMIF(L1:L12,G2,N1:N12),"——")</f>
        <v>——</v>
      </c>
      <c r="G70" s="1286"/>
      <c r="H70" s="1290" t="str">
        <f t="shared" ref="H70:H78" si="20">IFERROR(ROUNDDOWN($F$70*I70/2,4),"——")</f>
        <v>——</v>
      </c>
      <c r="I70" s="819">
        <v>0.14000000000000001</v>
      </c>
      <c r="J70" s="1287">
        <f t="shared" ref="J70:J78" si="21">K70+$G70</f>
        <v>0</v>
      </c>
      <c r="K70" s="1287">
        <f t="shared" ref="K70:K78" si="22">$L70+$G70</f>
        <v>0</v>
      </c>
      <c r="L70" s="1287">
        <v>0</v>
      </c>
      <c r="M70" s="1287">
        <f t="shared" ref="M70:N78" si="23">L70-$G70</f>
        <v>0</v>
      </c>
      <c r="N70" s="1287">
        <f t="shared" si="23"/>
        <v>0</v>
      </c>
      <c r="AA70" s="1373"/>
      <c r="AB70" s="1373"/>
      <c r="AC70" s="1373"/>
      <c r="AD70" s="1373"/>
      <c r="AE70" s="1373"/>
      <c r="AF70" s="1373"/>
      <c r="AG70" s="1373"/>
      <c r="AH70" s="1373"/>
      <c r="AI70" s="1373"/>
      <c r="AJ70" s="1373"/>
      <c r="AK70" s="1373"/>
    </row>
    <row r="71" spans="1:37" s="1372" customFormat="1" ht="51">
      <c r="A71" s="2875" t="s">
        <v>2951</v>
      </c>
      <c r="B71" s="2879" t="str">
        <f>估价对象房地状况!C18</f>
        <v>估价对象邻近京承高速、机场北线高速；公共交通情况差、停车较便捷，综合评价交通便捷度一般。</v>
      </c>
      <c r="C71" s="2767"/>
      <c r="D71" s="1288">
        <f t="shared" si="19"/>
        <v>0</v>
      </c>
      <c r="E71" s="825"/>
      <c r="F71" s="2498"/>
      <c r="G71" s="1286"/>
      <c r="H71" s="1290" t="str">
        <f t="shared" si="20"/>
        <v>——</v>
      </c>
      <c r="I71" s="819">
        <v>0.3</v>
      </c>
      <c r="J71" s="1287">
        <f t="shared" si="21"/>
        <v>0</v>
      </c>
      <c r="K71" s="1287">
        <f t="shared" si="22"/>
        <v>0</v>
      </c>
      <c r="L71" s="1287">
        <v>0</v>
      </c>
      <c r="M71" s="1287">
        <f t="shared" si="23"/>
        <v>0</v>
      </c>
      <c r="N71" s="1287">
        <f t="shared" si="23"/>
        <v>0</v>
      </c>
      <c r="AA71" s="1373"/>
      <c r="AB71" s="1373"/>
      <c r="AC71" s="1373"/>
      <c r="AD71" s="1373"/>
      <c r="AE71" s="1373"/>
      <c r="AF71" s="1373"/>
      <c r="AG71" s="1373"/>
      <c r="AH71" s="1373"/>
      <c r="AI71" s="1373"/>
      <c r="AJ71" s="1373"/>
      <c r="AK71" s="1373"/>
    </row>
    <row r="72" spans="1:37" s="1372" customFormat="1" ht="25.5">
      <c r="A72" s="2875" t="s">
        <v>2952</v>
      </c>
      <c r="B72" s="2879" t="str">
        <f>估价对象房地状况!C19</f>
        <v>区域以住宅用地为主、区域土地利用方向较一致。</v>
      </c>
      <c r="C72" s="2767"/>
      <c r="D72" s="1288">
        <f t="shared" si="19"/>
        <v>0</v>
      </c>
      <c r="E72" s="825"/>
      <c r="F72" s="2498"/>
      <c r="G72" s="1286"/>
      <c r="H72" s="1290" t="str">
        <f t="shared" si="20"/>
        <v>——</v>
      </c>
      <c r="I72" s="819">
        <v>0.08</v>
      </c>
      <c r="J72" s="1287">
        <f t="shared" si="21"/>
        <v>0</v>
      </c>
      <c r="K72" s="1287">
        <f t="shared" si="22"/>
        <v>0</v>
      </c>
      <c r="L72" s="1287">
        <v>0</v>
      </c>
      <c r="M72" s="1287">
        <f t="shared" si="23"/>
        <v>0</v>
      </c>
      <c r="N72" s="1287">
        <f t="shared" si="23"/>
        <v>0</v>
      </c>
      <c r="AA72" s="1373"/>
      <c r="AB72" s="1373"/>
      <c r="AC72" s="1373"/>
      <c r="AD72" s="1373"/>
      <c r="AE72" s="1373"/>
      <c r="AF72" s="1373"/>
      <c r="AG72" s="1373"/>
      <c r="AH72" s="1373"/>
      <c r="AI72" s="1373"/>
      <c r="AJ72" s="1373"/>
      <c r="AK72" s="1373"/>
    </row>
    <row r="73" spans="1:37" s="1372" customFormat="1" ht="14.25">
      <c r="A73" s="2875" t="s">
        <v>2966</v>
      </c>
      <c r="B73" s="2879" t="str">
        <f>估价对象房地状况!C24</f>
        <v>城市支路——高白路</v>
      </c>
      <c r="C73" s="2767"/>
      <c r="D73" s="1288">
        <f t="shared" si="19"/>
        <v>0</v>
      </c>
      <c r="E73" s="825"/>
      <c r="F73" s="2498"/>
      <c r="G73" s="1286"/>
      <c r="H73" s="1290" t="str">
        <f t="shared" si="20"/>
        <v>——</v>
      </c>
      <c r="I73" s="819">
        <v>0.04</v>
      </c>
      <c r="J73" s="1287">
        <f t="shared" si="21"/>
        <v>0</v>
      </c>
      <c r="K73" s="1287">
        <f t="shared" si="22"/>
        <v>0</v>
      </c>
      <c r="L73" s="1287">
        <v>0</v>
      </c>
      <c r="M73" s="1287">
        <f t="shared" si="23"/>
        <v>0</v>
      </c>
      <c r="N73" s="1287">
        <f t="shared" si="23"/>
        <v>0</v>
      </c>
      <c r="AA73" s="1373"/>
      <c r="AB73" s="1373"/>
      <c r="AC73" s="1373"/>
      <c r="AD73" s="1373"/>
      <c r="AE73" s="1373"/>
      <c r="AF73" s="1373"/>
      <c r="AG73" s="1373"/>
      <c r="AH73" s="1373"/>
      <c r="AI73" s="1373"/>
      <c r="AJ73" s="1373"/>
      <c r="AK73" s="1373"/>
    </row>
    <row r="74" spans="1:37" s="1372" customFormat="1" ht="25.5">
      <c r="A74" s="2875" t="s">
        <v>2958</v>
      </c>
      <c r="B74" s="1726" t="str">
        <f>估价对象房地状况!C21</f>
        <v>估价对象所在区域公共配套设施齐备情况一般。</v>
      </c>
      <c r="C74" s="2767"/>
      <c r="D74" s="1288">
        <f t="shared" si="19"/>
        <v>0</v>
      </c>
      <c r="E74" s="825"/>
      <c r="F74" s="2498"/>
      <c r="G74" s="1286"/>
      <c r="H74" s="1290" t="str">
        <f t="shared" si="20"/>
        <v>——</v>
      </c>
      <c r="I74" s="819">
        <v>0.08</v>
      </c>
      <c r="J74" s="1287">
        <f t="shared" si="21"/>
        <v>0</v>
      </c>
      <c r="K74" s="1287">
        <f t="shared" si="22"/>
        <v>0</v>
      </c>
      <c r="L74" s="1287">
        <v>0</v>
      </c>
      <c r="M74" s="1287">
        <f t="shared" si="23"/>
        <v>0</v>
      </c>
      <c r="N74" s="1287">
        <f t="shared" si="23"/>
        <v>0</v>
      </c>
      <c r="AA74" s="1373"/>
      <c r="AB74" s="1373"/>
      <c r="AC74" s="1373"/>
      <c r="AD74" s="1373"/>
      <c r="AE74" s="1373"/>
      <c r="AF74" s="1373"/>
      <c r="AG74" s="1373"/>
      <c r="AH74" s="1373"/>
      <c r="AI74" s="1373"/>
      <c r="AJ74" s="1373"/>
      <c r="AK74" s="1373"/>
    </row>
    <row r="75" spans="1:37" s="1372" customFormat="1" ht="25.5">
      <c r="A75" s="2875" t="s">
        <v>2959</v>
      </c>
      <c r="B75" s="1726" t="str">
        <f>估价对象房地状况!C22</f>
        <v>估价对象所在区域基础设施水平达“七通”。</v>
      </c>
      <c r="C75" s="2767"/>
      <c r="D75" s="1288">
        <f t="shared" si="19"/>
        <v>0</v>
      </c>
      <c r="E75" s="825"/>
      <c r="F75" s="2498"/>
      <c r="G75" s="1286"/>
      <c r="H75" s="1290" t="str">
        <f t="shared" si="20"/>
        <v>——</v>
      </c>
      <c r="I75" s="819">
        <v>0.12</v>
      </c>
      <c r="J75" s="1287">
        <f t="shared" si="21"/>
        <v>0</v>
      </c>
      <c r="K75" s="1287">
        <f t="shared" si="22"/>
        <v>0</v>
      </c>
      <c r="L75" s="1287">
        <v>0</v>
      </c>
      <c r="M75" s="1287">
        <f t="shared" si="23"/>
        <v>0</v>
      </c>
      <c r="N75" s="1287">
        <f t="shared" si="23"/>
        <v>0</v>
      </c>
      <c r="AA75" s="1373"/>
      <c r="AB75" s="1373"/>
      <c r="AC75" s="1373"/>
      <c r="AD75" s="1373"/>
      <c r="AE75" s="1373"/>
      <c r="AF75" s="1373"/>
      <c r="AG75" s="1373"/>
      <c r="AH75" s="1373"/>
      <c r="AI75" s="1373"/>
      <c r="AJ75" s="1373"/>
      <c r="AK75" s="1373"/>
    </row>
    <row r="76" spans="1:37" s="2716" customFormat="1" ht="24">
      <c r="A76" s="2875" t="s">
        <v>2956</v>
      </c>
      <c r="B76" s="2881" t="s">
        <v>2957</v>
      </c>
      <c r="C76" s="2767"/>
      <c r="D76" s="1288">
        <f t="shared" si="19"/>
        <v>0</v>
      </c>
      <c r="E76" s="825"/>
      <c r="F76" s="2498"/>
      <c r="G76" s="1286"/>
      <c r="H76" s="1290" t="str">
        <f t="shared" si="20"/>
        <v>——</v>
      </c>
      <c r="I76" s="819">
        <v>0.05</v>
      </c>
      <c r="J76" s="1287">
        <f t="shared" si="21"/>
        <v>0</v>
      </c>
      <c r="K76" s="1287">
        <f t="shared" si="22"/>
        <v>0</v>
      </c>
      <c r="L76" s="1287">
        <v>0</v>
      </c>
      <c r="M76" s="1287">
        <f t="shared" si="23"/>
        <v>0</v>
      </c>
      <c r="N76" s="1287">
        <f t="shared" si="23"/>
        <v>0</v>
      </c>
      <c r="AA76" s="2886"/>
      <c r="AB76" s="1373"/>
      <c r="AC76" s="1373"/>
      <c r="AD76" s="1373"/>
      <c r="AE76" s="1373"/>
      <c r="AF76" s="1373"/>
      <c r="AG76" s="1373"/>
      <c r="AH76" s="2886"/>
      <c r="AI76" s="2886"/>
      <c r="AJ76" s="2886"/>
      <c r="AK76" s="2886"/>
    </row>
    <row r="77" spans="1:37" ht="63.75">
      <c r="A77" s="2875" t="s">
        <v>2960</v>
      </c>
      <c r="B77" s="2878" t="str">
        <f>估价对象房地状况!C20</f>
        <v>估价对象所在区域邻近温榆河，自然环境一般；无人文环境场所；综合评价自然及人文环境状况一般。</v>
      </c>
      <c r="C77" s="2767"/>
      <c r="D77" s="1288">
        <f t="shared" si="19"/>
        <v>0</v>
      </c>
      <c r="E77" s="825"/>
      <c r="F77" s="2498"/>
      <c r="G77" s="1286"/>
      <c r="H77" s="1290" t="str">
        <f t="shared" si="20"/>
        <v>——</v>
      </c>
      <c r="I77" s="819">
        <v>0.15</v>
      </c>
      <c r="J77" s="1287">
        <f t="shared" si="21"/>
        <v>0</v>
      </c>
      <c r="K77" s="1287">
        <f t="shared" si="22"/>
        <v>0</v>
      </c>
      <c r="L77" s="1287">
        <v>0</v>
      </c>
      <c r="M77" s="1287">
        <f t="shared" si="23"/>
        <v>0</v>
      </c>
      <c r="N77" s="1287">
        <f t="shared" si="23"/>
        <v>0</v>
      </c>
      <c r="Z77" s="2717"/>
      <c r="AA77" s="2793"/>
      <c r="AG77" s="1374"/>
      <c r="AK77" s="2793"/>
    </row>
    <row r="78" spans="1:37" ht="24.75" thickBot="1">
      <c r="A78" s="2883" t="s">
        <v>2967</v>
      </c>
      <c r="B78" s="2887"/>
      <c r="C78" s="2767"/>
      <c r="D78" s="1288">
        <f t="shared" si="19"/>
        <v>0</v>
      </c>
      <c r="E78" s="826"/>
      <c r="F78" s="2498"/>
      <c r="G78" s="1286"/>
      <c r="H78" s="1290" t="str">
        <f t="shared" si="20"/>
        <v>——</v>
      </c>
      <c r="I78" s="823">
        <v>0.04</v>
      </c>
      <c r="J78" s="1287">
        <f t="shared" si="21"/>
        <v>0</v>
      </c>
      <c r="K78" s="1287">
        <f t="shared" si="22"/>
        <v>0</v>
      </c>
      <c r="L78" s="1287">
        <v>0</v>
      </c>
      <c r="M78" s="1287">
        <f t="shared" si="23"/>
        <v>0</v>
      </c>
      <c r="N78" s="1287">
        <f t="shared" si="23"/>
        <v>0</v>
      </c>
      <c r="Z78" s="2717"/>
      <c r="AA78" s="2793"/>
      <c r="AG78" s="1374"/>
      <c r="AK78" s="2793"/>
    </row>
    <row r="79" spans="1:37" ht="15">
      <c r="A79" s="2871" t="s">
        <v>2968</v>
      </c>
      <c r="B79" s="2872">
        <f>1+E81</f>
        <v>1</v>
      </c>
      <c r="C79" s="813"/>
      <c r="D79" s="813"/>
      <c r="E79" s="814"/>
      <c r="F79" s="2874"/>
      <c r="G79" s="6"/>
      <c r="H79" s="6"/>
      <c r="I79" s="6"/>
      <c r="J79" s="7"/>
      <c r="K79" s="7"/>
      <c r="L79" s="7"/>
      <c r="M79" s="7"/>
      <c r="N79" s="7"/>
      <c r="Z79" s="2717"/>
      <c r="AA79" s="2793"/>
      <c r="AG79" s="1374"/>
      <c r="AK79" s="2793"/>
    </row>
    <row r="80" spans="1:37" ht="24.75">
      <c r="A80" s="2875" t="s">
        <v>2942</v>
      </c>
      <c r="B80" s="1810"/>
      <c r="C80" s="1810" t="s">
        <v>2944</v>
      </c>
      <c r="D80" s="1810" t="s">
        <v>2945</v>
      </c>
      <c r="E80" s="818" t="s">
        <v>2946</v>
      </c>
      <c r="F80" s="2876" t="s">
        <v>2962</v>
      </c>
      <c r="G80" s="1810" t="s">
        <v>754</v>
      </c>
      <c r="H80" s="2877" t="s">
        <v>2948</v>
      </c>
      <c r="I80" s="1810" t="s">
        <v>2949</v>
      </c>
      <c r="J80" s="603" t="s">
        <v>2596</v>
      </c>
      <c r="K80" s="603" t="s">
        <v>2597</v>
      </c>
      <c r="L80" s="603" t="s">
        <v>2598</v>
      </c>
      <c r="M80" s="603" t="s">
        <v>2599</v>
      </c>
      <c r="N80" s="603" t="s">
        <v>2600</v>
      </c>
      <c r="Z80" s="2717"/>
      <c r="AA80" s="2793"/>
      <c r="AG80" s="1374"/>
      <c r="AK80" s="2793"/>
    </row>
    <row r="81" spans="1:37" ht="38.25">
      <c r="A81" s="2875" t="s">
        <v>2969</v>
      </c>
      <c r="B81" s="2879" t="str">
        <f>估价对象房地状况!G15</f>
        <v>估价对象位于XX开发区，园区建设成熟度XX，产业集聚程度XX</v>
      </c>
      <c r="C81" s="2767"/>
      <c r="D81" s="1288">
        <f t="shared" ref="D81:D88" si="24">SUMIF($J$80:$N$80,C81,J81:N81)</f>
        <v>0</v>
      </c>
      <c r="E81" s="820">
        <f>ROUND(SUM(D81:D88),4)</f>
        <v>0</v>
      </c>
      <c r="F81" s="2498" t="str">
        <f>IF(E2="工业",SUMIF(L1:L12,G2,N1:N12),"——")</f>
        <v>——</v>
      </c>
      <c r="G81" s="1286"/>
      <c r="H81" s="1290" t="str">
        <f t="shared" ref="H81:H88" si="25">IFERROR(ROUNDDOWN($F$81*I81/2,4),"——")</f>
        <v>——</v>
      </c>
      <c r="I81" s="819">
        <v>0.26</v>
      </c>
      <c r="J81" s="1287">
        <f t="shared" ref="J81:J88" si="26">K81+$G81</f>
        <v>0</v>
      </c>
      <c r="K81" s="1287">
        <f t="shared" ref="K81:K88" si="27">$L81+$G81</f>
        <v>0</v>
      </c>
      <c r="L81" s="1287">
        <v>0</v>
      </c>
      <c r="M81" s="1287">
        <f t="shared" ref="M81:N88" si="28">L81-$G81</f>
        <v>0</v>
      </c>
      <c r="N81" s="1287">
        <f t="shared" si="28"/>
        <v>0</v>
      </c>
      <c r="Z81" s="2717"/>
      <c r="AA81" s="2793"/>
      <c r="AG81" s="1374"/>
      <c r="AK81" s="2793"/>
    </row>
    <row r="82" spans="1:37" ht="51">
      <c r="A82" s="2875" t="s">
        <v>2951</v>
      </c>
      <c r="B82" s="2879" t="str">
        <f>估价对象房地状况!G16</f>
        <v>估价对象周边道路状况、公共交通通达情况、停车便捷程度，综合评价交通便捷度较好</v>
      </c>
      <c r="C82" s="2767"/>
      <c r="D82" s="1288">
        <f t="shared" si="24"/>
        <v>0</v>
      </c>
      <c r="E82" s="825"/>
      <c r="F82" s="2498"/>
      <c r="G82" s="1286"/>
      <c r="H82" s="1290" t="str">
        <f t="shared" si="25"/>
        <v>——</v>
      </c>
      <c r="I82" s="819">
        <v>0.33</v>
      </c>
      <c r="J82" s="1287">
        <f t="shared" si="26"/>
        <v>0</v>
      </c>
      <c r="K82" s="1287">
        <f t="shared" si="27"/>
        <v>0</v>
      </c>
      <c r="L82" s="1287">
        <v>0</v>
      </c>
      <c r="M82" s="1287">
        <f t="shared" si="28"/>
        <v>0</v>
      </c>
      <c r="N82" s="1287">
        <f t="shared" si="28"/>
        <v>0</v>
      </c>
      <c r="Z82" s="2717"/>
      <c r="AA82" s="2793"/>
      <c r="AG82" s="1374"/>
      <c r="AK82" s="2793"/>
    </row>
    <row r="83" spans="1:37" ht="24">
      <c r="A83" s="2875" t="s">
        <v>2952</v>
      </c>
      <c r="B83" s="2879">
        <f>估价对象房地状况!G17</f>
        <v>0</v>
      </c>
      <c r="C83" s="2767"/>
      <c r="D83" s="1288">
        <f t="shared" si="24"/>
        <v>0</v>
      </c>
      <c r="E83" s="825"/>
      <c r="F83" s="2498"/>
      <c r="G83" s="1286"/>
      <c r="H83" s="1290" t="str">
        <f t="shared" si="25"/>
        <v>——</v>
      </c>
      <c r="I83" s="819">
        <v>0.05</v>
      </c>
      <c r="J83" s="1287">
        <f t="shared" si="26"/>
        <v>0</v>
      </c>
      <c r="K83" s="1287">
        <f t="shared" si="27"/>
        <v>0</v>
      </c>
      <c r="L83" s="1287">
        <v>0</v>
      </c>
      <c r="M83" s="1287">
        <f t="shared" si="28"/>
        <v>0</v>
      </c>
      <c r="N83" s="1287">
        <f t="shared" si="28"/>
        <v>0</v>
      </c>
      <c r="Z83" s="2717"/>
      <c r="AA83" s="2793"/>
      <c r="AG83" s="1374"/>
      <c r="AK83" s="2793"/>
    </row>
    <row r="84" spans="1:37" ht="14.25">
      <c r="A84" s="2875" t="s">
        <v>2966</v>
      </c>
      <c r="B84" s="2879">
        <f>估价对象房地状况!G22</f>
        <v>0</v>
      </c>
      <c r="C84" s="2767"/>
      <c r="D84" s="1288">
        <f t="shared" si="24"/>
        <v>0</v>
      </c>
      <c r="E84" s="825"/>
      <c r="F84" s="2498"/>
      <c r="G84" s="1286"/>
      <c r="H84" s="1290" t="str">
        <f t="shared" si="25"/>
        <v>——</v>
      </c>
      <c r="I84" s="819">
        <v>0.04</v>
      </c>
      <c r="J84" s="1287">
        <f t="shared" si="26"/>
        <v>0</v>
      </c>
      <c r="K84" s="1287">
        <f t="shared" si="27"/>
        <v>0</v>
      </c>
      <c r="L84" s="1287">
        <v>0</v>
      </c>
      <c r="M84" s="1287">
        <f t="shared" si="28"/>
        <v>0</v>
      </c>
      <c r="N84" s="1287">
        <f t="shared" si="28"/>
        <v>0</v>
      </c>
      <c r="Z84" s="2717"/>
      <c r="AA84" s="2793"/>
      <c r="AG84" s="1374"/>
      <c r="AK84" s="2793"/>
    </row>
    <row r="85" spans="1:37" ht="25.5">
      <c r="A85" s="2875" t="s">
        <v>2958</v>
      </c>
      <c r="B85" s="1726" t="str">
        <f>估价对象房地状况!G19</f>
        <v>估价对象所在区域公共配套设施齐备情况</v>
      </c>
      <c r="C85" s="2767"/>
      <c r="D85" s="1288">
        <f t="shared" si="24"/>
        <v>0</v>
      </c>
      <c r="E85" s="825"/>
      <c r="F85" s="2498"/>
      <c r="G85" s="1286"/>
      <c r="H85" s="1290" t="str">
        <f t="shared" si="25"/>
        <v>——</v>
      </c>
      <c r="I85" s="819">
        <v>0.06</v>
      </c>
      <c r="J85" s="1287">
        <f t="shared" si="26"/>
        <v>0</v>
      </c>
      <c r="K85" s="1287">
        <f t="shared" si="27"/>
        <v>0</v>
      </c>
      <c r="L85" s="1287">
        <v>0</v>
      </c>
      <c r="M85" s="1287">
        <f t="shared" si="28"/>
        <v>0</v>
      </c>
      <c r="N85" s="1287">
        <f t="shared" si="28"/>
        <v>0</v>
      </c>
      <c r="Z85" s="2717"/>
      <c r="AA85" s="2793"/>
      <c r="AG85" s="1374"/>
      <c r="AK85" s="2793"/>
    </row>
    <row r="86" spans="1:37" ht="25.5">
      <c r="A86" s="2875" t="s">
        <v>2959</v>
      </c>
      <c r="B86" s="1726" t="str">
        <f>估价对象房地状况!G20</f>
        <v>估价对象所在区域基础设施水平</v>
      </c>
      <c r="C86" s="2767"/>
      <c r="D86" s="1288">
        <f t="shared" si="24"/>
        <v>0</v>
      </c>
      <c r="E86" s="825"/>
      <c r="F86" s="2498"/>
      <c r="G86" s="1286"/>
      <c r="H86" s="1290" t="str">
        <f t="shared" si="25"/>
        <v>——</v>
      </c>
      <c r="I86" s="819">
        <v>0.15</v>
      </c>
      <c r="J86" s="1287">
        <f t="shared" si="26"/>
        <v>0</v>
      </c>
      <c r="K86" s="1287">
        <f t="shared" si="27"/>
        <v>0</v>
      </c>
      <c r="L86" s="1287">
        <v>0</v>
      </c>
      <c r="M86" s="1287">
        <f t="shared" si="28"/>
        <v>0</v>
      </c>
      <c r="N86" s="1287">
        <f t="shared" si="28"/>
        <v>0</v>
      </c>
      <c r="Z86" s="2717"/>
      <c r="AA86" s="2793"/>
      <c r="AG86" s="1374"/>
      <c r="AK86" s="2793"/>
    </row>
    <row r="87" spans="1:37" ht="24">
      <c r="A87" s="2875" t="s">
        <v>2956</v>
      </c>
      <c r="B87" s="2881" t="s">
        <v>2970</v>
      </c>
      <c r="C87" s="2767"/>
      <c r="D87" s="1288">
        <f t="shared" si="24"/>
        <v>0</v>
      </c>
      <c r="E87" s="825"/>
      <c r="F87" s="2498"/>
      <c r="G87" s="1286"/>
      <c r="H87" s="1290" t="str">
        <f t="shared" si="25"/>
        <v>——</v>
      </c>
      <c r="I87" s="819">
        <v>0.05</v>
      </c>
      <c r="J87" s="1287">
        <f t="shared" si="26"/>
        <v>0</v>
      </c>
      <c r="K87" s="1287">
        <f t="shared" si="27"/>
        <v>0</v>
      </c>
      <c r="L87" s="1287">
        <v>0</v>
      </c>
      <c r="M87" s="1287">
        <f t="shared" si="28"/>
        <v>0</v>
      </c>
      <c r="N87" s="1287">
        <f t="shared" si="28"/>
        <v>0</v>
      </c>
      <c r="Z87" s="2717"/>
      <c r="AA87" s="2793"/>
      <c r="AG87" s="1374"/>
      <c r="AK87" s="2793"/>
    </row>
    <row r="88" spans="1:37" ht="39" thickBot="1">
      <c r="A88" s="2883" t="s">
        <v>2971</v>
      </c>
      <c r="B88" s="2888" t="str">
        <f>估价对象房地状况!G18</f>
        <v>该园区内是否有污染型企业，绿化情况，卫生条件，整体环境状况判断</v>
      </c>
      <c r="C88" s="2767"/>
      <c r="D88" s="1288">
        <f t="shared" si="24"/>
        <v>0</v>
      </c>
      <c r="E88" s="826"/>
      <c r="F88" s="2498"/>
      <c r="G88" s="1286"/>
      <c r="H88" s="1290" t="str">
        <f t="shared" si="25"/>
        <v>——</v>
      </c>
      <c r="I88" s="823">
        <v>0.06</v>
      </c>
      <c r="J88" s="1287">
        <f t="shared" si="26"/>
        <v>0</v>
      </c>
      <c r="K88" s="1287">
        <f t="shared" si="27"/>
        <v>0</v>
      </c>
      <c r="L88" s="1287">
        <v>0</v>
      </c>
      <c r="M88" s="1287">
        <f t="shared" si="28"/>
        <v>0</v>
      </c>
      <c r="N88" s="1287">
        <f t="shared" si="28"/>
        <v>0</v>
      </c>
      <c r="Z88" s="2717"/>
      <c r="AA88" s="2793"/>
      <c r="AG88" s="1374"/>
      <c r="AK88" s="2793"/>
    </row>
    <row r="90" spans="1:37">
      <c r="A90" s="3296" t="s">
        <v>2972</v>
      </c>
      <c r="B90" s="3296"/>
      <c r="C90" s="3296"/>
      <c r="D90" s="3296"/>
      <c r="E90" s="3296"/>
      <c r="F90" s="3296"/>
      <c r="G90" s="3296"/>
      <c r="H90" s="3296"/>
      <c r="I90" s="3296"/>
      <c r="J90" s="3296"/>
      <c r="K90" s="2889"/>
      <c r="L90" s="2889"/>
      <c r="M90" s="2889"/>
      <c r="N90" s="2889"/>
    </row>
    <row r="91" spans="1:37">
      <c r="A91" s="3298" t="s">
        <v>2973</v>
      </c>
      <c r="B91" s="3298" t="s">
        <v>2974</v>
      </c>
      <c r="C91" s="2843" t="s">
        <v>2975</v>
      </c>
      <c r="D91" s="2844"/>
      <c r="E91" s="2844"/>
      <c r="F91" s="2844"/>
      <c r="G91" s="2844"/>
      <c r="H91" s="2844"/>
      <c r="I91" s="2844"/>
      <c r="J91" s="2890"/>
      <c r="K91" s="2891"/>
      <c r="L91" s="2891"/>
      <c r="M91" s="2891"/>
      <c r="N91" s="2891"/>
    </row>
    <row r="92" spans="1:37">
      <c r="A92" s="3298"/>
      <c r="B92" s="3298"/>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99" t="s">
        <v>2976</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0"/>
      <c r="B99" s="2892" t="s">
        <v>2855</v>
      </c>
      <c r="C99" s="2894">
        <f>$I$3</f>
        <v>0</v>
      </c>
      <c r="D99" s="2894">
        <f t="shared" ref="D99:M99" si="29">$I$3</f>
        <v>0</v>
      </c>
      <c r="E99" s="2894">
        <f t="shared" si="29"/>
        <v>0</v>
      </c>
      <c r="F99" s="2894">
        <f t="shared" si="29"/>
        <v>0</v>
      </c>
      <c r="G99" s="2894">
        <f t="shared" si="29"/>
        <v>0</v>
      </c>
      <c r="H99" s="2894">
        <f t="shared" si="29"/>
        <v>0</v>
      </c>
      <c r="I99" s="2894">
        <f t="shared" si="29"/>
        <v>0</v>
      </c>
      <c r="J99" s="2894">
        <f t="shared" si="29"/>
        <v>0</v>
      </c>
      <c r="K99" s="2894">
        <f t="shared" si="29"/>
        <v>0</v>
      </c>
      <c r="L99" s="2894">
        <f t="shared" si="29"/>
        <v>0</v>
      </c>
      <c r="M99" s="2894">
        <f t="shared" si="29"/>
        <v>0</v>
      </c>
      <c r="N99" s="2894">
        <f>$I$3</f>
        <v>0</v>
      </c>
    </row>
    <row r="100" spans="1:14">
      <c r="A100" s="330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99" t="s">
        <v>2977</v>
      </c>
      <c r="B101" s="2896" t="s">
        <v>2978</v>
      </c>
      <c r="C101" s="2897">
        <f>$G$3</f>
        <v>1.33</v>
      </c>
      <c r="D101" s="2897">
        <f t="shared" ref="D101:N101" si="30">$G$3</f>
        <v>1.33</v>
      </c>
      <c r="E101" s="2897">
        <f t="shared" si="30"/>
        <v>1.33</v>
      </c>
      <c r="F101" s="2897">
        <f t="shared" si="30"/>
        <v>1.33</v>
      </c>
      <c r="G101" s="2897">
        <f t="shared" si="30"/>
        <v>1.33</v>
      </c>
      <c r="H101" s="2897">
        <f t="shared" si="30"/>
        <v>1.33</v>
      </c>
      <c r="I101" s="2897">
        <f t="shared" si="30"/>
        <v>1.33</v>
      </c>
      <c r="J101" s="2897">
        <f t="shared" si="30"/>
        <v>1.33</v>
      </c>
      <c r="K101" s="2897">
        <f t="shared" si="30"/>
        <v>1.33</v>
      </c>
      <c r="L101" s="2897">
        <f t="shared" si="30"/>
        <v>1.33</v>
      </c>
      <c r="M101" s="2897">
        <f t="shared" si="30"/>
        <v>1.33</v>
      </c>
      <c r="N101" s="2897">
        <f t="shared" si="30"/>
        <v>1.33</v>
      </c>
    </row>
    <row r="102" spans="1:14">
      <c r="A102" s="3300"/>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00"/>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00"/>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00"/>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00"/>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00"/>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00"/>
      <c r="B108" s="3126" t="s">
        <v>2979</v>
      </c>
      <c r="C108" s="2894">
        <f>C99</f>
        <v>0</v>
      </c>
      <c r="D108" s="2894">
        <f t="shared" ref="D108:N108" si="31">D99</f>
        <v>0</v>
      </c>
      <c r="E108" s="2894">
        <f t="shared" si="31"/>
        <v>0</v>
      </c>
      <c r="F108" s="2894">
        <f t="shared" si="31"/>
        <v>0</v>
      </c>
      <c r="G108" s="2894">
        <f t="shared" si="31"/>
        <v>0</v>
      </c>
      <c r="H108" s="2894">
        <f t="shared" si="31"/>
        <v>0</v>
      </c>
      <c r="I108" s="2894">
        <f t="shared" si="31"/>
        <v>0</v>
      </c>
      <c r="J108" s="2894">
        <f t="shared" si="31"/>
        <v>0</v>
      </c>
      <c r="K108" s="2894">
        <f t="shared" si="31"/>
        <v>0</v>
      </c>
      <c r="L108" s="2894">
        <f t="shared" si="31"/>
        <v>0</v>
      </c>
      <c r="M108" s="2894">
        <f t="shared" si="31"/>
        <v>0</v>
      </c>
      <c r="N108" s="2894">
        <f t="shared" si="31"/>
        <v>0</v>
      </c>
    </row>
    <row r="109" spans="1:14">
      <c r="A109" s="3301"/>
      <c r="B109" s="3127"/>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297" t="s">
        <v>2980</v>
      </c>
      <c r="B110" s="3297"/>
      <c r="C110" s="3297"/>
      <c r="D110" s="3297"/>
      <c r="E110" s="3297"/>
      <c r="F110" s="3297"/>
      <c r="G110" s="3297"/>
      <c r="H110" s="3297"/>
      <c r="I110" s="3297"/>
      <c r="J110" s="3297"/>
      <c r="K110" s="2898"/>
      <c r="L110" s="2898"/>
      <c r="M110" s="2898"/>
      <c r="N110" s="2898"/>
    </row>
    <row r="112" spans="1:14" ht="13.5" thickBot="1"/>
    <row r="113" spans="1:13" ht="25.5" thickBot="1">
      <c r="A113" s="902" t="s">
        <v>2981</v>
      </c>
      <c r="B113" s="1289">
        <f>G3</f>
        <v>1.33</v>
      </c>
      <c r="C113" s="903" t="s">
        <v>2982</v>
      </c>
      <c r="D113" s="904">
        <f>SUMPRODUCT((A115:A118=F113)*(B114:M114=H113)*B115:M118)</f>
        <v>0</v>
      </c>
      <c r="E113" s="2721" t="s">
        <v>2812</v>
      </c>
      <c r="F113" s="2900">
        <f>E2</f>
        <v>0</v>
      </c>
      <c r="G113" s="2721" t="s">
        <v>2813</v>
      </c>
      <c r="H113" s="2900">
        <f>G2</f>
        <v>0</v>
      </c>
      <c r="I113" s="2721"/>
      <c r="J113" s="2901"/>
      <c r="K113" s="2901"/>
      <c r="L113" s="2901"/>
      <c r="M113" s="2901"/>
    </row>
    <row r="114" spans="1:13">
      <c r="A114" s="907"/>
      <c r="B114" s="2902" t="s">
        <v>2983</v>
      </c>
      <c r="C114" s="2902" t="s">
        <v>2984</v>
      </c>
      <c r="D114" s="2902" t="s">
        <v>2985</v>
      </c>
      <c r="E114" s="2903" t="s">
        <v>2986</v>
      </c>
      <c r="F114" s="2903" t="s">
        <v>2987</v>
      </c>
      <c r="G114" s="2903" t="s">
        <v>2988</v>
      </c>
      <c r="H114" s="2904" t="s">
        <v>2989</v>
      </c>
      <c r="I114" s="2904" t="s">
        <v>2990</v>
      </c>
      <c r="J114" s="2905" t="s">
        <v>2991</v>
      </c>
      <c r="K114" s="2905" t="s">
        <v>2992</v>
      </c>
      <c r="L114" s="2905" t="s">
        <v>2993</v>
      </c>
      <c r="M114" s="2906" t="s">
        <v>2994</v>
      </c>
    </row>
    <row r="115" spans="1:13">
      <c r="A115" s="908" t="s">
        <v>2877</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2">I115</f>
        <v>0.66839999999999999</v>
      </c>
      <c r="K115" s="909">
        <f t="shared" si="32"/>
        <v>0.66839999999999999</v>
      </c>
      <c r="L115" s="909">
        <f t="shared" si="32"/>
        <v>0.66839999999999999</v>
      </c>
      <c r="M115" s="910">
        <f t="shared" si="32"/>
        <v>0.66839999999999999</v>
      </c>
    </row>
    <row r="116" spans="1:13">
      <c r="A116" s="908" t="s">
        <v>2878</v>
      </c>
      <c r="B116" s="909">
        <f>ROUND(0.949-0.012*B113,4)</f>
        <v>0.93300000000000005</v>
      </c>
      <c r="C116" s="909">
        <f>B116</f>
        <v>0.93300000000000005</v>
      </c>
      <c r="D116" s="909">
        <f>ROUND(0.8567-0.013*B113,4)</f>
        <v>0.83940000000000003</v>
      </c>
      <c r="E116" s="909">
        <f t="shared" ref="E116:H117" si="33">D116</f>
        <v>0.83940000000000003</v>
      </c>
      <c r="F116" s="909">
        <f t="shared" si="33"/>
        <v>0.83940000000000003</v>
      </c>
      <c r="G116" s="909">
        <f t="shared" si="33"/>
        <v>0.83940000000000003</v>
      </c>
      <c r="H116" s="909">
        <f t="shared" si="33"/>
        <v>0.83940000000000003</v>
      </c>
      <c r="I116" s="909">
        <f>ROUND(0.7694-0.014*B113,4)</f>
        <v>0.75080000000000002</v>
      </c>
      <c r="J116" s="909">
        <f t="shared" si="32"/>
        <v>0.75080000000000002</v>
      </c>
      <c r="K116" s="909">
        <f t="shared" si="32"/>
        <v>0.75080000000000002</v>
      </c>
      <c r="L116" s="909">
        <f t="shared" si="32"/>
        <v>0.75080000000000002</v>
      </c>
      <c r="M116" s="910">
        <f t="shared" si="32"/>
        <v>0.75080000000000002</v>
      </c>
    </row>
    <row r="117" spans="1:13">
      <c r="A117" s="908" t="s">
        <v>2879</v>
      </c>
      <c r="B117" s="909">
        <f>ROUND(0.8808-0.006*B113,4)</f>
        <v>0.87280000000000002</v>
      </c>
      <c r="C117" s="909">
        <f>B117</f>
        <v>0.87280000000000002</v>
      </c>
      <c r="D117" s="909">
        <f>ROUND(0.8748-0.008*B113,4)</f>
        <v>0.86419999999999997</v>
      </c>
      <c r="E117" s="909">
        <f t="shared" si="33"/>
        <v>0.86419999999999997</v>
      </c>
      <c r="F117" s="909">
        <f t="shared" si="33"/>
        <v>0.86419999999999997</v>
      </c>
      <c r="G117" s="909">
        <f t="shared" si="33"/>
        <v>0.86419999999999997</v>
      </c>
      <c r="H117" s="909">
        <f t="shared" si="33"/>
        <v>0.86419999999999997</v>
      </c>
      <c r="I117" s="909">
        <f>ROUND(0.7412-0.0095*B113,4)</f>
        <v>0.72860000000000003</v>
      </c>
      <c r="J117" s="909">
        <f t="shared" si="32"/>
        <v>0.72860000000000003</v>
      </c>
      <c r="K117" s="909">
        <f t="shared" si="32"/>
        <v>0.72860000000000003</v>
      </c>
      <c r="L117" s="909">
        <f t="shared" si="32"/>
        <v>0.72860000000000003</v>
      </c>
      <c r="M117" s="910">
        <f t="shared" si="32"/>
        <v>0.72860000000000003</v>
      </c>
    </row>
    <row r="118" spans="1:13" ht="13.5" thickBot="1">
      <c r="A118" s="714" t="s">
        <v>2880</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2"/>
        <v>0.54859999999999998</v>
      </c>
      <c r="K118" s="911">
        <f t="shared" si="32"/>
        <v>0.54859999999999998</v>
      </c>
      <c r="L118" s="911">
        <f t="shared" si="32"/>
        <v>0.54859999999999998</v>
      </c>
      <c r="M118" s="912">
        <f t="shared" si="32"/>
        <v>0.54859999999999998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4" t="s">
        <v>183</v>
      </c>
      <c r="B18" s="881" t="s">
        <v>560</v>
      </c>
      <c r="C18" s="882" t="s">
        <v>561</v>
      </c>
      <c r="D18" s="883"/>
      <c r="E18" s="881">
        <v>1</v>
      </c>
      <c r="F18" s="884" t="s">
        <v>562</v>
      </c>
      <c r="G18" s="885"/>
      <c r="H18" s="877"/>
      <c r="I18" s="877"/>
    </row>
    <row r="19" spans="1:9" s="886" customFormat="1" ht="19.5" customHeight="1">
      <c r="A19" s="3314"/>
      <c r="B19" s="3314" t="s">
        <v>563</v>
      </c>
      <c r="C19" s="882" t="s">
        <v>564</v>
      </c>
      <c r="D19" s="883"/>
      <c r="E19" s="881">
        <v>0.9</v>
      </c>
      <c r="F19" s="884" t="s">
        <v>565</v>
      </c>
      <c r="G19" s="885"/>
      <c r="H19" s="877"/>
      <c r="I19" s="877"/>
    </row>
    <row r="20" spans="1:9" s="886" customFormat="1" ht="19.5" customHeight="1">
      <c r="A20" s="3314"/>
      <c r="B20" s="3314"/>
      <c r="C20" s="882" t="s">
        <v>566</v>
      </c>
      <c r="D20" s="883"/>
      <c r="E20" s="881">
        <v>1.1000000000000001</v>
      </c>
      <c r="F20" s="884" t="s">
        <v>567</v>
      </c>
      <c r="G20" s="885"/>
      <c r="H20" s="877"/>
      <c r="I20" s="877"/>
    </row>
    <row r="21" spans="1:9" s="886" customFormat="1" ht="19.5" customHeight="1">
      <c r="A21" s="3314"/>
      <c r="B21" s="3314"/>
      <c r="C21" s="882" t="s">
        <v>568</v>
      </c>
      <c r="D21" s="883"/>
      <c r="E21" s="881">
        <v>0.8</v>
      </c>
      <c r="F21" s="884" t="s">
        <v>569</v>
      </c>
      <c r="G21" s="885"/>
      <c r="H21" s="877"/>
      <c r="I21" s="877"/>
    </row>
    <row r="22" spans="1:9" s="886" customFormat="1" ht="19.5" customHeight="1">
      <c r="A22" s="3314"/>
      <c r="B22" s="3314"/>
      <c r="C22" s="882" t="s">
        <v>570</v>
      </c>
      <c r="D22" s="883"/>
      <c r="E22" s="881">
        <v>0.5</v>
      </c>
      <c r="F22" s="884"/>
      <c r="G22" s="885"/>
      <c r="H22" s="877"/>
      <c r="I22" s="877"/>
    </row>
    <row r="23" spans="1:9" s="886" customFormat="1" ht="19.5" customHeight="1">
      <c r="A23" s="3314" t="s">
        <v>184</v>
      </c>
      <c r="B23" s="881" t="s">
        <v>560</v>
      </c>
      <c r="C23" s="882" t="s">
        <v>571</v>
      </c>
      <c r="D23" s="883"/>
      <c r="E23" s="881">
        <v>1</v>
      </c>
      <c r="F23" s="884" t="s">
        <v>572</v>
      </c>
      <c r="G23" s="885"/>
      <c r="H23" s="877"/>
      <c r="I23" s="877"/>
    </row>
    <row r="24" spans="1:9" s="886" customFormat="1" ht="19.5" customHeight="1">
      <c r="A24" s="3314"/>
      <c r="B24" s="3314" t="s">
        <v>563</v>
      </c>
      <c r="C24" s="882" t="s">
        <v>573</v>
      </c>
      <c r="D24" s="883"/>
      <c r="E24" s="881">
        <v>0.5</v>
      </c>
      <c r="F24" s="884"/>
      <c r="G24" s="885"/>
      <c r="H24" s="877"/>
      <c r="I24" s="877"/>
    </row>
    <row r="25" spans="1:9" s="886" customFormat="1" ht="19.5" customHeight="1">
      <c r="A25" s="3314"/>
      <c r="B25" s="3314"/>
      <c r="C25" s="882" t="s">
        <v>574</v>
      </c>
      <c r="D25" s="883"/>
      <c r="E25" s="881">
        <v>1.1000000000000001</v>
      </c>
      <c r="F25" s="884"/>
      <c r="G25" s="885"/>
      <c r="H25" s="877"/>
      <c r="I25" s="877"/>
    </row>
    <row r="26" spans="1:9" s="886" customFormat="1" ht="19.5" customHeight="1">
      <c r="A26" s="3314"/>
      <c r="B26" s="3314"/>
      <c r="C26" s="882" t="s">
        <v>575</v>
      </c>
      <c r="D26" s="883"/>
      <c r="E26" s="881">
        <v>1.1000000000000001</v>
      </c>
      <c r="F26" s="884"/>
      <c r="G26" s="885"/>
      <c r="H26" s="877"/>
      <c r="I26" s="877"/>
    </row>
    <row r="27" spans="1:9" s="886" customFormat="1" ht="19.5" customHeight="1">
      <c r="A27" s="3314"/>
      <c r="B27" s="3314"/>
      <c r="C27" s="882" t="s">
        <v>576</v>
      </c>
      <c r="D27" s="883"/>
      <c r="E27" s="881">
        <v>0.9</v>
      </c>
      <c r="F27" s="884" t="s">
        <v>577</v>
      </c>
      <c r="G27" s="885"/>
      <c r="H27" s="877"/>
      <c r="I27" s="877"/>
    </row>
    <row r="28" spans="1:9" s="886" customFormat="1" ht="19.5" customHeight="1">
      <c r="A28" s="3314"/>
      <c r="B28" s="3314"/>
      <c r="C28" s="882" t="s">
        <v>578</v>
      </c>
      <c r="D28" s="883"/>
      <c r="E28" s="881">
        <v>0.9</v>
      </c>
      <c r="F28" s="884" t="s">
        <v>579</v>
      </c>
      <c r="G28" s="885"/>
      <c r="H28" s="877"/>
      <c r="I28" s="877"/>
    </row>
    <row r="29" spans="1:9" s="886" customFormat="1" ht="19.5" customHeight="1">
      <c r="A29" s="3314"/>
      <c r="B29" s="3314"/>
      <c r="C29" s="882" t="s">
        <v>580</v>
      </c>
      <c r="D29" s="883"/>
      <c r="E29" s="881">
        <v>0.9</v>
      </c>
      <c r="F29" s="884" t="s">
        <v>581</v>
      </c>
      <c r="G29" s="885"/>
      <c r="H29" s="877"/>
      <c r="I29" s="877"/>
    </row>
    <row r="30" spans="1:9" s="886" customFormat="1" ht="19.5" customHeight="1">
      <c r="A30" s="3314"/>
      <c r="B30" s="3314"/>
      <c r="C30" s="882" t="s">
        <v>582</v>
      </c>
      <c r="D30" s="883"/>
      <c r="E30" s="881">
        <v>0.9</v>
      </c>
      <c r="F30" s="884" t="s">
        <v>583</v>
      </c>
      <c r="G30" s="885"/>
      <c r="H30" s="877"/>
      <c r="I30" s="877"/>
    </row>
    <row r="31" spans="1:9" s="886" customFormat="1" ht="19.5" customHeight="1">
      <c r="A31" s="3314"/>
      <c r="B31" s="3314"/>
      <c r="C31" s="882" t="s">
        <v>584</v>
      </c>
      <c r="D31" s="883"/>
      <c r="E31" s="881">
        <v>0.8</v>
      </c>
      <c r="F31" s="884" t="s">
        <v>585</v>
      </c>
      <c r="G31" s="885"/>
      <c r="H31" s="877"/>
      <c r="I31" s="877"/>
    </row>
    <row r="32" spans="1:9" s="886" customFormat="1" ht="19.5" customHeight="1">
      <c r="A32" s="3314"/>
      <c r="B32" s="3314"/>
      <c r="C32" s="882" t="s">
        <v>586</v>
      </c>
      <c r="D32" s="883"/>
      <c r="E32" s="881">
        <v>0.8</v>
      </c>
      <c r="F32" s="884" t="s">
        <v>587</v>
      </c>
      <c r="G32" s="885"/>
      <c r="H32" s="877"/>
      <c r="I32" s="877"/>
    </row>
    <row r="33" spans="1:9" s="886" customFormat="1" ht="19.5" customHeight="1">
      <c r="A33" s="3314" t="s">
        <v>185</v>
      </c>
      <c r="B33" s="881" t="s">
        <v>560</v>
      </c>
      <c r="C33" s="882" t="s">
        <v>588</v>
      </c>
      <c r="D33" s="883"/>
      <c r="E33" s="881">
        <v>1</v>
      </c>
      <c r="F33" s="884" t="s">
        <v>589</v>
      </c>
      <c r="G33" s="885"/>
      <c r="H33" s="877"/>
      <c r="I33" s="877"/>
    </row>
    <row r="34" spans="1:9" s="886" customFormat="1" ht="19.5" customHeight="1">
      <c r="A34" s="3314"/>
      <c r="B34" s="881" t="s">
        <v>563</v>
      </c>
      <c r="C34" s="882" t="s">
        <v>590</v>
      </c>
      <c r="D34" s="883"/>
      <c r="E34" s="881">
        <v>1.5</v>
      </c>
      <c r="F34" s="884" t="s">
        <v>591</v>
      </c>
      <c r="G34" s="885"/>
      <c r="H34" s="877"/>
      <c r="I34" s="877"/>
    </row>
    <row r="35" spans="1:9" s="886" customFormat="1" ht="19.5" customHeight="1">
      <c r="A35" s="3314" t="s">
        <v>186</v>
      </c>
      <c r="B35" s="881" t="s">
        <v>560</v>
      </c>
      <c r="C35" s="882" t="s">
        <v>592</v>
      </c>
      <c r="D35" s="883"/>
      <c r="E35" s="881">
        <v>1</v>
      </c>
      <c r="F35" s="884" t="s">
        <v>593</v>
      </c>
      <c r="G35" s="885"/>
      <c r="H35" s="877"/>
      <c r="I35" s="877"/>
    </row>
    <row r="36" spans="1:9" s="886" customFormat="1" ht="19.5" customHeight="1">
      <c r="A36" s="3314"/>
      <c r="B36" s="3314" t="s">
        <v>563</v>
      </c>
      <c r="C36" s="882" t="s">
        <v>594</v>
      </c>
      <c r="D36" s="883"/>
      <c r="E36" s="881">
        <v>1</v>
      </c>
      <c r="F36" s="884" t="s">
        <v>595</v>
      </c>
      <c r="G36" s="885"/>
      <c r="H36" s="877"/>
      <c r="I36" s="877"/>
    </row>
    <row r="37" spans="1:9" s="886" customFormat="1" ht="19.5" customHeight="1">
      <c r="A37" s="3314"/>
      <c r="B37" s="3314"/>
      <c r="C37" s="882" t="s">
        <v>596</v>
      </c>
      <c r="D37" s="883"/>
      <c r="E37" s="881">
        <v>1.5</v>
      </c>
      <c r="F37" s="884" t="s">
        <v>597</v>
      </c>
      <c r="G37" s="885"/>
      <c r="H37" s="877"/>
      <c r="I37" s="877"/>
    </row>
    <row r="38" spans="1:9" s="886" customFormat="1" ht="19.5" customHeight="1">
      <c r="A38" s="3314"/>
      <c r="B38" s="3314"/>
      <c r="C38" s="882" t="s">
        <v>598</v>
      </c>
      <c r="D38" s="883"/>
      <c r="E38" s="881">
        <v>1</v>
      </c>
      <c r="F38" s="884" t="s">
        <v>599</v>
      </c>
      <c r="G38" s="885"/>
      <c r="H38" s="877"/>
      <c r="I38" s="877"/>
    </row>
    <row r="39" spans="1:9" s="886" customFormat="1" ht="19.5" customHeight="1">
      <c r="A39" s="3314"/>
      <c r="B39" s="33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4" t="s">
        <v>614</v>
      </c>
      <c r="C61" s="817" t="s">
        <v>615</v>
      </c>
      <c r="D61" s="817" t="s">
        <v>616</v>
      </c>
      <c r="E61" s="894">
        <v>0.5</v>
      </c>
      <c r="F61" s="881">
        <v>80</v>
      </c>
    </row>
    <row r="62" spans="1:8" s="877" customFormat="1" ht="24">
      <c r="A62" s="881">
        <v>2</v>
      </c>
      <c r="B62" s="3314"/>
      <c r="C62" s="817" t="s">
        <v>617</v>
      </c>
      <c r="D62" s="817" t="s">
        <v>618</v>
      </c>
      <c r="E62" s="894">
        <v>0.5</v>
      </c>
      <c r="F62" s="881">
        <v>80</v>
      </c>
    </row>
    <row r="63" spans="1:8" s="877" customFormat="1" ht="36">
      <c r="A63" s="881">
        <v>3</v>
      </c>
      <c r="B63" s="3314"/>
      <c r="C63" s="817" t="s">
        <v>619</v>
      </c>
      <c r="D63" s="817" t="s">
        <v>620</v>
      </c>
      <c r="E63" s="894">
        <v>0.5</v>
      </c>
      <c r="F63" s="881">
        <v>80</v>
      </c>
    </row>
    <row r="64" spans="1:8" s="877" customFormat="1" ht="36">
      <c r="A64" s="881">
        <v>4</v>
      </c>
      <c r="B64" s="3314"/>
      <c r="C64" s="817" t="s">
        <v>621</v>
      </c>
      <c r="D64" s="817" t="s">
        <v>622</v>
      </c>
      <c r="E64" s="894">
        <v>0.4</v>
      </c>
      <c r="F64" s="881">
        <v>60</v>
      </c>
    </row>
    <row r="65" spans="1:6" s="877" customFormat="1" ht="36">
      <c r="A65" s="881">
        <v>5</v>
      </c>
      <c r="B65" s="3314"/>
      <c r="C65" s="817" t="s">
        <v>623</v>
      </c>
      <c r="D65" s="817" t="s">
        <v>624</v>
      </c>
      <c r="E65" s="894">
        <v>0.2</v>
      </c>
      <c r="F65" s="881">
        <v>30</v>
      </c>
    </row>
    <row r="66" spans="1:6" s="877" customFormat="1" ht="36">
      <c r="A66" s="881">
        <v>6</v>
      </c>
      <c r="B66" s="3314"/>
      <c r="C66" s="817" t="s">
        <v>625</v>
      </c>
      <c r="D66" s="817" t="s">
        <v>626</v>
      </c>
      <c r="E66" s="894">
        <v>0.3</v>
      </c>
      <c r="F66" s="881">
        <v>50</v>
      </c>
    </row>
    <row r="67" spans="1:6" s="877" customFormat="1" ht="36">
      <c r="A67" s="881">
        <v>7</v>
      </c>
      <c r="B67" s="3314"/>
      <c r="C67" s="817" t="s">
        <v>627</v>
      </c>
      <c r="D67" s="817" t="s">
        <v>628</v>
      </c>
      <c r="E67" s="894">
        <v>0.2</v>
      </c>
      <c r="F67" s="881">
        <v>30</v>
      </c>
    </row>
    <row r="68" spans="1:6" s="877" customFormat="1" ht="36">
      <c r="A68" s="881">
        <v>8</v>
      </c>
      <c r="B68" s="3314"/>
      <c r="C68" s="817" t="s">
        <v>629</v>
      </c>
      <c r="D68" s="817" t="s">
        <v>630</v>
      </c>
      <c r="E68" s="894">
        <v>0.2</v>
      </c>
      <c r="F68" s="881">
        <v>30</v>
      </c>
    </row>
    <row r="69" spans="1:6" s="877" customFormat="1" ht="36">
      <c r="A69" s="881">
        <v>9</v>
      </c>
      <c r="B69" s="3314"/>
      <c r="C69" s="817" t="s">
        <v>631</v>
      </c>
      <c r="D69" s="817" t="s">
        <v>632</v>
      </c>
      <c r="E69" s="894">
        <v>0.2</v>
      </c>
      <c r="F69" s="881">
        <v>30</v>
      </c>
    </row>
    <row r="70" spans="1:6" s="877" customFormat="1" ht="48">
      <c r="A70" s="881">
        <v>10</v>
      </c>
      <c r="B70" s="3314"/>
      <c r="C70" s="817" t="s">
        <v>633</v>
      </c>
      <c r="D70" s="817" t="s">
        <v>634</v>
      </c>
      <c r="E70" s="894">
        <v>0.2</v>
      </c>
      <c r="F70" s="881">
        <v>30</v>
      </c>
    </row>
    <row r="71" spans="1:6" s="877" customFormat="1" ht="48">
      <c r="A71" s="881">
        <v>11</v>
      </c>
      <c r="B71" s="3314"/>
      <c r="C71" s="817" t="s">
        <v>635</v>
      </c>
      <c r="D71" s="817" t="s">
        <v>636</v>
      </c>
      <c r="E71" s="894">
        <v>0.2</v>
      </c>
      <c r="F71" s="881">
        <v>30</v>
      </c>
    </row>
    <row r="72" spans="1:6" s="877" customFormat="1" ht="36">
      <c r="A72" s="881">
        <v>12</v>
      </c>
      <c r="B72" s="3314"/>
      <c r="C72" s="817" t="s">
        <v>637</v>
      </c>
      <c r="D72" s="817" t="s">
        <v>638</v>
      </c>
      <c r="E72" s="894">
        <v>0.5</v>
      </c>
      <c r="F72" s="881">
        <v>80</v>
      </c>
    </row>
    <row r="73" spans="1:6" s="877" customFormat="1" ht="24">
      <c r="A73" s="881">
        <v>13</v>
      </c>
      <c r="B73" s="3314"/>
      <c r="C73" s="817" t="s">
        <v>639</v>
      </c>
      <c r="D73" s="817" t="s">
        <v>640</v>
      </c>
      <c r="E73" s="894">
        <v>0.4</v>
      </c>
      <c r="F73" s="881">
        <v>60</v>
      </c>
    </row>
    <row r="74" spans="1:6" s="877" customFormat="1" ht="24">
      <c r="A74" s="881">
        <v>14</v>
      </c>
      <c r="B74" s="3314"/>
      <c r="C74" s="817" t="s">
        <v>641</v>
      </c>
      <c r="D74" s="817" t="s">
        <v>642</v>
      </c>
      <c r="E74" s="894">
        <v>0.2</v>
      </c>
      <c r="F74" s="881">
        <v>30</v>
      </c>
    </row>
    <row r="75" spans="1:6" s="877" customFormat="1" ht="24">
      <c r="A75" s="881">
        <v>15</v>
      </c>
      <c r="B75" s="3314"/>
      <c r="C75" s="817" t="s">
        <v>643</v>
      </c>
      <c r="D75" s="817" t="s">
        <v>644</v>
      </c>
      <c r="E75" s="894">
        <v>0.2</v>
      </c>
      <c r="F75" s="881">
        <v>30</v>
      </c>
    </row>
    <row r="76" spans="1:6" s="877" customFormat="1" ht="24">
      <c r="A76" s="881">
        <v>16</v>
      </c>
      <c r="B76" s="3314" t="s">
        <v>645</v>
      </c>
      <c r="C76" s="817" t="s">
        <v>646</v>
      </c>
      <c r="D76" s="817" t="s">
        <v>647</v>
      </c>
      <c r="E76" s="894">
        <v>0.5</v>
      </c>
      <c r="F76" s="881">
        <v>80</v>
      </c>
    </row>
    <row r="77" spans="1:6" s="877" customFormat="1" ht="24">
      <c r="A77" s="881">
        <v>17</v>
      </c>
      <c r="B77" s="3314"/>
      <c r="C77" s="817" t="s">
        <v>648</v>
      </c>
      <c r="D77" s="817" t="s">
        <v>649</v>
      </c>
      <c r="E77" s="894">
        <v>0.5</v>
      </c>
      <c r="F77" s="881">
        <v>80</v>
      </c>
    </row>
    <row r="78" spans="1:6" s="877" customFormat="1" ht="24">
      <c r="A78" s="881">
        <v>18</v>
      </c>
      <c r="B78" s="3314"/>
      <c r="C78" s="817" t="s">
        <v>650</v>
      </c>
      <c r="D78" s="817" t="s">
        <v>651</v>
      </c>
      <c r="E78" s="894">
        <v>0.2</v>
      </c>
      <c r="F78" s="881">
        <v>30</v>
      </c>
    </row>
    <row r="79" spans="1:6" s="877" customFormat="1" ht="24">
      <c r="A79" s="881">
        <v>19</v>
      </c>
      <c r="B79" s="3314"/>
      <c r="C79" s="817" t="s">
        <v>652</v>
      </c>
      <c r="D79" s="817" t="s">
        <v>653</v>
      </c>
      <c r="E79" s="894">
        <v>0.5</v>
      </c>
      <c r="F79" s="881">
        <v>80</v>
      </c>
    </row>
    <row r="80" spans="1:6" s="877" customFormat="1" ht="36">
      <c r="A80" s="881">
        <v>20</v>
      </c>
      <c r="B80" s="3314"/>
      <c r="C80" s="817" t="s">
        <v>654</v>
      </c>
      <c r="D80" s="817" t="s">
        <v>655</v>
      </c>
      <c r="E80" s="894">
        <v>0.2</v>
      </c>
      <c r="F80" s="881">
        <v>30</v>
      </c>
    </row>
    <row r="81" spans="1:6" s="877" customFormat="1" ht="36">
      <c r="A81" s="881">
        <v>21</v>
      </c>
      <c r="B81" s="3314"/>
      <c r="C81" s="817" t="s">
        <v>656</v>
      </c>
      <c r="D81" s="817" t="s">
        <v>657</v>
      </c>
      <c r="E81" s="894">
        <v>0.2</v>
      </c>
      <c r="F81" s="881">
        <v>30</v>
      </c>
    </row>
    <row r="82" spans="1:6" s="877" customFormat="1" ht="48">
      <c r="A82" s="881">
        <v>22</v>
      </c>
      <c r="B82" s="3314"/>
      <c r="C82" s="817" t="s">
        <v>658</v>
      </c>
      <c r="D82" s="817" t="s">
        <v>659</v>
      </c>
      <c r="E82" s="894">
        <v>0.2</v>
      </c>
      <c r="F82" s="881">
        <v>30</v>
      </c>
    </row>
    <row r="83" spans="1:6" s="877" customFormat="1" ht="48">
      <c r="A83" s="881">
        <v>23</v>
      </c>
      <c r="B83" s="3314"/>
      <c r="C83" s="817" t="s">
        <v>660</v>
      </c>
      <c r="D83" s="817" t="s">
        <v>661</v>
      </c>
      <c r="E83" s="894">
        <v>0.2</v>
      </c>
      <c r="F83" s="881">
        <v>30</v>
      </c>
    </row>
    <row r="84" spans="1:6" s="877" customFormat="1" ht="36">
      <c r="A84" s="881">
        <v>24</v>
      </c>
      <c r="B84" s="3314"/>
      <c r="C84" s="817" t="s">
        <v>662</v>
      </c>
      <c r="D84" s="817" t="s">
        <v>663</v>
      </c>
      <c r="E84" s="894">
        <v>0.2</v>
      </c>
      <c r="F84" s="881">
        <v>30</v>
      </c>
    </row>
    <row r="85" spans="1:6" s="877" customFormat="1" ht="36">
      <c r="A85" s="881">
        <v>25</v>
      </c>
      <c r="B85" s="3314"/>
      <c r="C85" s="817" t="s">
        <v>664</v>
      </c>
      <c r="D85" s="817" t="s">
        <v>665</v>
      </c>
      <c r="E85" s="894">
        <v>0.5</v>
      </c>
      <c r="F85" s="881">
        <v>80</v>
      </c>
    </row>
    <row r="86" spans="1:6" s="877" customFormat="1" ht="36">
      <c r="A86" s="881">
        <v>26</v>
      </c>
      <c r="B86" s="3314"/>
      <c r="C86" s="817" t="s">
        <v>666</v>
      </c>
      <c r="D86" s="817" t="s">
        <v>667</v>
      </c>
      <c r="E86" s="894">
        <v>0.2</v>
      </c>
      <c r="F86" s="881">
        <v>30</v>
      </c>
    </row>
    <row r="87" spans="1:6" s="877" customFormat="1" ht="36">
      <c r="A87" s="881">
        <v>27</v>
      </c>
      <c r="B87" s="3314"/>
      <c r="C87" s="817" t="s">
        <v>668</v>
      </c>
      <c r="D87" s="817" t="s">
        <v>669</v>
      </c>
      <c r="E87" s="894">
        <v>0.2</v>
      </c>
      <c r="F87" s="881">
        <v>30</v>
      </c>
    </row>
    <row r="88" spans="1:6" s="877" customFormat="1" ht="36">
      <c r="A88" s="881">
        <v>28</v>
      </c>
      <c r="B88" s="3314"/>
      <c r="C88" s="817" t="s">
        <v>670</v>
      </c>
      <c r="D88" s="817" t="s">
        <v>671</v>
      </c>
      <c r="E88" s="894">
        <v>0.2</v>
      </c>
      <c r="F88" s="881">
        <v>30</v>
      </c>
    </row>
    <row r="89" spans="1:6" s="877" customFormat="1" ht="24">
      <c r="A89" s="881">
        <v>29</v>
      </c>
      <c r="B89" s="3314"/>
      <c r="C89" s="817" t="s">
        <v>672</v>
      </c>
      <c r="D89" s="817" t="s">
        <v>673</v>
      </c>
      <c r="E89" s="894">
        <v>0.2</v>
      </c>
      <c r="F89" s="881">
        <v>30</v>
      </c>
    </row>
    <row r="90" spans="1:6" s="877" customFormat="1" ht="24">
      <c r="A90" s="881">
        <v>30</v>
      </c>
      <c r="B90" s="3314"/>
      <c r="C90" s="817" t="s">
        <v>674</v>
      </c>
      <c r="D90" s="817" t="s">
        <v>675</v>
      </c>
      <c r="E90" s="894">
        <v>0.2</v>
      </c>
      <c r="F90" s="881">
        <v>30</v>
      </c>
    </row>
    <row r="91" spans="1:6" s="877" customFormat="1" ht="36">
      <c r="A91" s="881">
        <v>31</v>
      </c>
      <c r="B91" s="3314"/>
      <c r="C91" s="817" t="s">
        <v>676</v>
      </c>
      <c r="D91" s="817" t="s">
        <v>677</v>
      </c>
      <c r="E91" s="894">
        <v>0.2</v>
      </c>
      <c r="F91" s="881">
        <v>30</v>
      </c>
    </row>
    <row r="92" spans="1:6" s="877" customFormat="1" ht="24">
      <c r="A92" s="881">
        <v>32</v>
      </c>
      <c r="B92" s="3314" t="s">
        <v>678</v>
      </c>
      <c r="C92" s="881" t="s">
        <v>679</v>
      </c>
      <c r="D92" s="817" t="s">
        <v>680</v>
      </c>
      <c r="E92" s="894">
        <v>0.2</v>
      </c>
      <c r="F92" s="881">
        <v>30</v>
      </c>
    </row>
    <row r="93" spans="1:6" s="877" customFormat="1" ht="36">
      <c r="A93" s="881">
        <v>33</v>
      </c>
      <c r="B93" s="3314"/>
      <c r="C93" s="881" t="s">
        <v>681</v>
      </c>
      <c r="D93" s="817" t="s">
        <v>682</v>
      </c>
      <c r="E93" s="894">
        <v>0.2</v>
      </c>
      <c r="F93" s="881">
        <v>30</v>
      </c>
    </row>
    <row r="94" spans="1:6" s="877" customFormat="1" ht="48">
      <c r="A94" s="881">
        <v>34</v>
      </c>
      <c r="B94" s="3314"/>
      <c r="C94" s="881" t="s">
        <v>683</v>
      </c>
      <c r="D94" s="817" t="s">
        <v>684</v>
      </c>
      <c r="E94" s="894">
        <v>0.2</v>
      </c>
      <c r="F94" s="881">
        <v>30</v>
      </c>
    </row>
    <row r="95" spans="1:6" s="877" customFormat="1" ht="36">
      <c r="A95" s="881">
        <v>35</v>
      </c>
      <c r="B95" s="3314"/>
      <c r="C95" s="881" t="s">
        <v>685</v>
      </c>
      <c r="D95" s="817" t="s">
        <v>686</v>
      </c>
      <c r="E95" s="894">
        <v>0.2</v>
      </c>
      <c r="F95" s="881">
        <v>30</v>
      </c>
    </row>
    <row r="96" spans="1:6" s="877" customFormat="1" ht="48">
      <c r="A96" s="881">
        <v>36</v>
      </c>
      <c r="B96" s="3314"/>
      <c r="C96" s="817" t="s">
        <v>687</v>
      </c>
      <c r="D96" s="817" t="s">
        <v>688</v>
      </c>
      <c r="E96" s="894">
        <v>0.2</v>
      </c>
      <c r="F96" s="881">
        <v>30</v>
      </c>
    </row>
    <row r="97" spans="1:6" s="877" customFormat="1" ht="36">
      <c r="A97" s="881">
        <v>37</v>
      </c>
      <c r="B97" s="3314"/>
      <c r="C97" s="881" t="s">
        <v>689</v>
      </c>
      <c r="D97" s="817" t="s">
        <v>690</v>
      </c>
      <c r="E97" s="894">
        <v>0.2</v>
      </c>
      <c r="F97" s="881">
        <v>30</v>
      </c>
    </row>
    <row r="98" spans="1:6" s="877" customFormat="1" ht="36">
      <c r="A98" s="881">
        <v>38</v>
      </c>
      <c r="B98" s="3314"/>
      <c r="C98" s="881" t="s">
        <v>691</v>
      </c>
      <c r="D98" s="817" t="s">
        <v>692</v>
      </c>
      <c r="E98" s="894">
        <v>0.2</v>
      </c>
      <c r="F98" s="881">
        <v>30</v>
      </c>
    </row>
    <row r="99" spans="1:6" s="877" customFormat="1" ht="36">
      <c r="A99" s="881">
        <v>39</v>
      </c>
      <c r="B99" s="3314" t="s">
        <v>693</v>
      </c>
      <c r="C99" s="881" t="s">
        <v>694</v>
      </c>
      <c r="D99" s="817" t="s">
        <v>695</v>
      </c>
      <c r="E99" s="894">
        <v>0.3</v>
      </c>
      <c r="F99" s="881">
        <v>50</v>
      </c>
    </row>
    <row r="100" spans="1:6" s="877" customFormat="1" ht="24">
      <c r="A100" s="881">
        <v>40</v>
      </c>
      <c r="B100" s="3314"/>
      <c r="C100" s="881" t="s">
        <v>696</v>
      </c>
      <c r="D100" s="817" t="s">
        <v>697</v>
      </c>
      <c r="E100" s="894">
        <v>0.2</v>
      </c>
      <c r="F100" s="881">
        <v>30</v>
      </c>
    </row>
    <row r="101" spans="1:6" s="877" customFormat="1" ht="36">
      <c r="A101" s="881">
        <v>41</v>
      </c>
      <c r="B101" s="33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4" t="s">
        <v>708</v>
      </c>
      <c r="C105" s="881" t="s">
        <v>709</v>
      </c>
      <c r="D105" s="817" t="s">
        <v>710</v>
      </c>
      <c r="E105" s="894">
        <v>0.2</v>
      </c>
      <c r="F105" s="881">
        <v>30</v>
      </c>
    </row>
    <row r="106" spans="1:6" s="877" customFormat="1" ht="36">
      <c r="A106" s="881">
        <v>46</v>
      </c>
      <c r="B106" s="3314"/>
      <c r="C106" s="881" t="s">
        <v>711</v>
      </c>
      <c r="D106" s="817" t="s">
        <v>712</v>
      </c>
      <c r="E106" s="894">
        <v>0.2</v>
      </c>
      <c r="F106" s="881">
        <v>30</v>
      </c>
    </row>
    <row r="107" spans="1:6" s="877" customFormat="1" ht="36">
      <c r="A107" s="881">
        <v>47</v>
      </c>
      <c r="B107" s="3314" t="s">
        <v>713</v>
      </c>
      <c r="C107" s="881" t="s">
        <v>714</v>
      </c>
      <c r="D107" s="817" t="s">
        <v>715</v>
      </c>
      <c r="E107" s="894">
        <v>0.3</v>
      </c>
      <c r="F107" s="881">
        <v>50</v>
      </c>
    </row>
    <row r="108" spans="1:6" s="877" customFormat="1" ht="36">
      <c r="A108" s="881">
        <v>48</v>
      </c>
      <c r="B108" s="33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4" t="s">
        <v>724</v>
      </c>
      <c r="C111" s="881" t="s">
        <v>725</v>
      </c>
      <c r="D111" s="817" t="s">
        <v>726</v>
      </c>
      <c r="E111" s="894">
        <v>0.2</v>
      </c>
      <c r="F111" s="881">
        <v>30</v>
      </c>
    </row>
    <row r="112" spans="1:6" s="877" customFormat="1" ht="24">
      <c r="A112" s="881">
        <v>52</v>
      </c>
      <c r="B112" s="3314"/>
      <c r="C112" s="881" t="s">
        <v>727</v>
      </c>
      <c r="D112" s="817" t="s">
        <v>728</v>
      </c>
      <c r="E112" s="894">
        <v>0.2</v>
      </c>
      <c r="F112" s="881">
        <v>30</v>
      </c>
    </row>
    <row r="113" spans="1:6" s="877" customFormat="1" ht="24">
      <c r="A113" s="881">
        <v>53</v>
      </c>
      <c r="B113" s="33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4" t="s">
        <v>737</v>
      </c>
      <c r="C116" s="881" t="s">
        <v>738</v>
      </c>
      <c r="D116" s="817" t="s">
        <v>739</v>
      </c>
      <c r="E116" s="894">
        <v>0.2</v>
      </c>
      <c r="F116" s="881">
        <v>30</v>
      </c>
    </row>
    <row r="117" spans="1:6" ht="36">
      <c r="A117" s="881">
        <v>57</v>
      </c>
      <c r="B117" s="33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3003</v>
      </c>
    </row>
    <row r="2" spans="1:5" ht="15.75">
      <c r="A2" s="2907" t="s">
        <v>2995</v>
      </c>
      <c r="B2" s="2908" t="e">
        <f ca="1">SUMIF(B6:B13,"&lt;&gt;#ref!",B6:B13)</f>
        <v>#DIV/0!</v>
      </c>
      <c r="C2" s="2907" t="s">
        <v>2996</v>
      </c>
      <c r="D2" s="2907" t="s">
        <v>2997</v>
      </c>
      <c r="E2" s="2908">
        <f ca="1">SUMIF(E6:E13,"&lt;&gt;#ref!",E6:E13)</f>
        <v>0</v>
      </c>
    </row>
    <row r="3" spans="1:5" ht="15.75">
      <c r="A3" s="2907" t="s">
        <v>2998</v>
      </c>
      <c r="B3" s="2908" t="e">
        <f ca="1">ROUND(B2*10000/E2,0)</f>
        <v>#DIV/0!</v>
      </c>
      <c r="C3" s="2907" t="s">
        <v>3004</v>
      </c>
      <c r="D3" s="2909"/>
      <c r="E3" s="2909"/>
    </row>
    <row r="4" spans="1:5" ht="15.75">
      <c r="A4" s="2910"/>
      <c r="B4" s="2909"/>
      <c r="C4" s="2909"/>
      <c r="D4" s="2909"/>
      <c r="E4" s="2909"/>
    </row>
    <row r="5" spans="1:5" ht="28.5">
      <c r="A5" s="2911" t="s">
        <v>2999</v>
      </c>
      <c r="B5" s="2907" t="s">
        <v>3000</v>
      </c>
      <c r="C5" s="2908"/>
      <c r="D5" s="2909"/>
      <c r="E5" s="2907" t="s">
        <v>3001</v>
      </c>
    </row>
    <row r="6" spans="1:5" ht="15.75">
      <c r="A6" s="2912" t="s">
        <v>3002</v>
      </c>
      <c r="B6" s="2908" t="e">
        <f ca="1">SUMIF(INDIRECT("'"&amp;A6&amp;"'"&amp;"!A:A"),"总价",INDIRECT("'"&amp;A6&amp;"'"&amp;"!B:B"))</f>
        <v>#DIV/0!</v>
      </c>
      <c r="C6" s="2907" t="s">
        <v>2996</v>
      </c>
      <c r="D6" s="2909"/>
      <c r="E6" s="2572">
        <f ca="1">SUMIF(INDIRECT("'"&amp;A6&amp;"'"&amp;"!C:C"),"建筑面积",INDIRECT("'"&amp;A6&amp;"'"&amp;"!D:D"))</f>
        <v>0</v>
      </c>
    </row>
    <row r="7" spans="1:5" ht="15.75">
      <c r="A7" s="2912"/>
      <c r="B7" s="2908" t="e">
        <f ca="1">SUMIF(INDIRECT("'"&amp;A7&amp;"'"&amp;"!A:A"),"总价",INDIRECT("'"&amp;A7&amp;"'"&amp;"!B:B"))</f>
        <v>#REF!</v>
      </c>
      <c r="C7" s="2907" t="s">
        <v>2996</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2996</v>
      </c>
      <c r="D8" s="2909"/>
      <c r="E8" s="2572" t="e">
        <f t="shared" ca="1" si="0"/>
        <v>#REF!</v>
      </c>
    </row>
    <row r="9" spans="1:5" ht="15.75">
      <c r="A9" s="2912"/>
      <c r="B9" s="2908" t="e">
        <f t="shared" ca="1" si="1"/>
        <v>#REF!</v>
      </c>
      <c r="C9" s="2907" t="s">
        <v>2996</v>
      </c>
      <c r="D9" s="2909"/>
      <c r="E9" s="2572" t="e">
        <f t="shared" ca="1" si="0"/>
        <v>#REF!</v>
      </c>
    </row>
    <row r="10" spans="1:5" ht="15.75">
      <c r="A10" s="2912"/>
      <c r="B10" s="2908" t="e">
        <f t="shared" ca="1" si="1"/>
        <v>#REF!</v>
      </c>
      <c r="C10" s="2907" t="s">
        <v>2996</v>
      </c>
      <c r="D10" s="2909"/>
      <c r="E10" s="2572" t="e">
        <f t="shared" ca="1" si="0"/>
        <v>#REF!</v>
      </c>
    </row>
    <row r="11" spans="1:5" ht="15.75">
      <c r="A11" s="2912"/>
      <c r="B11" s="2908" t="e">
        <f t="shared" ca="1" si="1"/>
        <v>#REF!</v>
      </c>
      <c r="C11" s="2907" t="s">
        <v>2996</v>
      </c>
      <c r="D11" s="2909"/>
      <c r="E11" s="2572" t="e">
        <f t="shared" ca="1" si="0"/>
        <v>#REF!</v>
      </c>
    </row>
    <row r="12" spans="1:5" ht="15.75">
      <c r="A12" s="2912"/>
      <c r="B12" s="2908" t="e">
        <f t="shared" ca="1" si="1"/>
        <v>#REF!</v>
      </c>
      <c r="C12" s="2907" t="s">
        <v>2996</v>
      </c>
      <c r="D12" s="2909"/>
      <c r="E12" s="2572" t="e">
        <f t="shared" ca="1" si="0"/>
        <v>#REF!</v>
      </c>
    </row>
    <row r="13" spans="1:5" ht="15.75">
      <c r="A13" s="2912"/>
      <c r="B13" s="2908" t="e">
        <f t="shared" ca="1" si="1"/>
        <v>#REF!</v>
      </c>
      <c r="C13" s="2907" t="s">
        <v>2996</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0" t="s">
        <v>1150</v>
      </c>
      <c r="C1" s="3320"/>
      <c r="D1" s="3320"/>
      <c r="E1" s="3320"/>
      <c r="F1" s="3320"/>
      <c r="G1" s="3316" t="s">
        <v>1151</v>
      </c>
      <c r="H1" s="3316"/>
      <c r="I1" s="3316"/>
      <c r="J1" s="3316"/>
      <c r="K1" s="3316"/>
      <c r="L1" s="3316"/>
      <c r="N1" s="3316" t="s">
        <v>1152</v>
      </c>
      <c r="O1" s="3316"/>
      <c r="P1" s="3316"/>
      <c r="Q1" s="3316"/>
      <c r="R1" s="1448"/>
      <c r="S1" s="3316" t="s">
        <v>1153</v>
      </c>
      <c r="T1" s="3316"/>
      <c r="U1" s="3316"/>
      <c r="V1" s="3316"/>
      <c r="X1" s="3315" t="s">
        <v>1154</v>
      </c>
      <c r="Y1" s="3316"/>
      <c r="Z1" s="3316"/>
      <c r="AA1" s="3316"/>
      <c r="AB1" s="3316"/>
      <c r="AD1" s="3315" t="s">
        <v>1155</v>
      </c>
      <c r="AE1" s="3316"/>
      <c r="AF1" s="3316"/>
      <c r="AG1" s="3316"/>
      <c r="AH1" s="331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3038</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3045</v>
      </c>
      <c r="B5" s="1792">
        <f t="shared" ref="B5:C7" si="2">B6*(1+N5)</f>
        <v>446.46299999999997</v>
      </c>
      <c r="C5" s="1792">
        <f t="shared" si="2"/>
        <v>333.27840000000003</v>
      </c>
      <c r="D5" s="1792">
        <f t="shared" ref="D5:D12" si="3">C5</f>
        <v>333.27840000000003</v>
      </c>
      <c r="E5" s="1792">
        <f t="shared" ref="E5:F7" si="4">E6*(1+P5)</f>
        <v>637.28279999999995</v>
      </c>
      <c r="F5" s="1792">
        <f t="shared" si="4"/>
        <v>288.68830000000003</v>
      </c>
      <c r="G5" s="2938">
        <v>2018</v>
      </c>
      <c r="H5" s="1731">
        <v>3</v>
      </c>
      <c r="I5" s="2921">
        <v>0</v>
      </c>
      <c r="J5" s="2921">
        <v>0</v>
      </c>
      <c r="K5" s="2921">
        <v>0</v>
      </c>
      <c r="L5" s="2921">
        <v>0</v>
      </c>
      <c r="N5" s="1469">
        <f t="shared" ref="N5:Q6" si="5">I5/100</f>
        <v>0</v>
      </c>
      <c r="O5" s="1469">
        <f t="shared" si="5"/>
        <v>0</v>
      </c>
      <c r="P5" s="1469">
        <f t="shared" si="5"/>
        <v>0</v>
      </c>
      <c r="Q5" s="1469">
        <f t="shared" si="5"/>
        <v>0</v>
      </c>
      <c r="R5" s="1733"/>
      <c r="S5" s="1734"/>
      <c r="T5" s="1733"/>
      <c r="U5" s="1733"/>
      <c r="V5" s="1733"/>
      <c r="W5" s="2925" t="s">
        <v>3039</v>
      </c>
      <c r="X5" s="1727">
        <f>ROUND(SUMPRODUCT(PRODUCT(1+N5:N$22)),4)</f>
        <v>1.4517</v>
      </c>
      <c r="Y5" s="1727">
        <f>ROUND(SUMPRODUCT(PRODUCT(1+O5:O$22)),4)</f>
        <v>1.2928999999999999</v>
      </c>
      <c r="Z5" s="1727">
        <f>Y5</f>
        <v>1.2928999999999999</v>
      </c>
      <c r="AA5" s="1727">
        <f>ROUND(SUMPRODUCT(PRODUCT(1+P5:P$22)),4)</f>
        <v>1.5068999999999999</v>
      </c>
      <c r="AB5" s="1727">
        <f>ROUND(SUMPRODUCT(PRODUCT(1+Q5:Q$22)),4)</f>
        <v>1.2557</v>
      </c>
      <c r="AD5" s="1470">
        <f>ROUND(AVERAGE(I5:I$23)/100,4)</f>
        <v>2.1499999999999998E-2</v>
      </c>
      <c r="AE5" s="1470">
        <f>ROUND(AVERAGE(J5:J$23)/100,4)</f>
        <v>1.49E-2</v>
      </c>
      <c r="AF5" s="1470">
        <f>AE5</f>
        <v>1.49E-2</v>
      </c>
      <c r="AG5" s="1470">
        <f>ROUND(AVERAGE(K5:K$23)/100,4)</f>
        <v>2.3699999999999999E-2</v>
      </c>
      <c r="AH5" s="1470">
        <f>ROUND(AVERAGE(L5:L$23)/100,4)</f>
        <v>1.2800000000000001E-2</v>
      </c>
    </row>
    <row r="6" spans="1:34" s="1468" customFormat="1" ht="13.5" thickBot="1">
      <c r="A6" s="1463" t="s">
        <v>3046</v>
      </c>
      <c r="B6" s="1479">
        <f t="shared" si="2"/>
        <v>446.46299999999997</v>
      </c>
      <c r="C6" s="1479">
        <f t="shared" si="2"/>
        <v>333.27840000000003</v>
      </c>
      <c r="D6" s="1479">
        <f t="shared" si="3"/>
        <v>333.27840000000003</v>
      </c>
      <c r="E6" s="1479">
        <f t="shared" si="4"/>
        <v>637.28279999999995</v>
      </c>
      <c r="F6" s="1479">
        <f t="shared" si="4"/>
        <v>288.68830000000003</v>
      </c>
      <c r="G6" s="2936"/>
      <c r="H6" s="1466">
        <v>2</v>
      </c>
      <c r="I6" s="1466">
        <v>0</v>
      </c>
      <c r="J6" s="1466">
        <v>0</v>
      </c>
      <c r="K6" s="1466">
        <v>0</v>
      </c>
      <c r="L6" s="1480">
        <v>0</v>
      </c>
      <c r="M6" s="1473"/>
      <c r="N6" s="1474">
        <f t="shared" si="5"/>
        <v>0</v>
      </c>
      <c r="O6" s="1475">
        <f t="shared" si="5"/>
        <v>0</v>
      </c>
      <c r="P6" s="1475">
        <f t="shared" si="5"/>
        <v>0</v>
      </c>
      <c r="Q6" s="1475">
        <f t="shared" si="5"/>
        <v>0</v>
      </c>
      <c r="R6" s="1476"/>
      <c r="S6" s="1474"/>
      <c r="T6" s="1475"/>
      <c r="U6" s="1475"/>
      <c r="V6" s="1475"/>
      <c r="W6" s="1791"/>
      <c r="X6" s="1789">
        <f>ROUND(SUMPRODUCT(PRODUCT(1+N6:N$22)),4)</f>
        <v>1.4517</v>
      </c>
      <c r="Y6" s="1789">
        <f>ROUND(SUMPRODUCT(PRODUCT(1+O6:O$22)),4)</f>
        <v>1.2928999999999999</v>
      </c>
      <c r="Z6" s="1789">
        <f>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AE6</f>
        <v>1.5699999999999999E-2</v>
      </c>
      <c r="AG6" s="1790">
        <f>ROUND(AVERAGE(K6:K$23)/100,4)</f>
        <v>2.5000000000000001E-2</v>
      </c>
      <c r="AH6" s="1790">
        <f>ROUND(AVERAGE(L6:L$23)/100,4)</f>
        <v>1.35E-2</v>
      </c>
    </row>
    <row r="7" spans="1:34" s="1468" customFormat="1" ht="13.5" thickBot="1">
      <c r="A7" s="1463" t="s">
        <v>3037</v>
      </c>
      <c r="B7" s="1479">
        <f t="shared" si="2"/>
        <v>446.46299999999997</v>
      </c>
      <c r="C7" s="1479">
        <f t="shared" si="2"/>
        <v>333.27840000000003</v>
      </c>
      <c r="D7" s="1479">
        <f t="shared" si="3"/>
        <v>333.27840000000003</v>
      </c>
      <c r="E7" s="1479">
        <f t="shared" si="4"/>
        <v>637.28279999999995</v>
      </c>
      <c r="F7" s="1479">
        <f t="shared" si="4"/>
        <v>288.68830000000003</v>
      </c>
      <c r="G7" s="2936"/>
      <c r="H7" s="1466">
        <v>1</v>
      </c>
      <c r="I7" s="1466">
        <v>1.7</v>
      </c>
      <c r="J7" s="1466">
        <v>1.92</v>
      </c>
      <c r="K7" s="1466">
        <v>1.64</v>
      </c>
      <c r="L7" s="1480">
        <v>2.0099999999999998</v>
      </c>
      <c r="M7" s="1473"/>
      <c r="N7" s="1474">
        <f t="shared" ref="N7:N12" si="6">I7/100</f>
        <v>1.7000000000000001E-2</v>
      </c>
      <c r="O7" s="1475">
        <f t="shared" ref="O7:Q10" si="7">J7/100</f>
        <v>1.9199999999999998E-2</v>
      </c>
      <c r="P7" s="1475">
        <f t="shared" si="7"/>
        <v>1.6399999999999998E-2</v>
      </c>
      <c r="Q7" s="1475">
        <f t="shared" si="7"/>
        <v>2.0099999999999996E-2</v>
      </c>
      <c r="R7" s="1476"/>
      <c r="S7" s="1474">
        <f>B7/B8-1</f>
        <v>1.6999999999999904E-2</v>
      </c>
      <c r="T7" s="1475">
        <f>C7/C8-1</f>
        <v>1.9200000000000106E-2</v>
      </c>
      <c r="U7" s="1475">
        <f>D7/D8-1</f>
        <v>1.9200000000000106E-2</v>
      </c>
      <c r="V7" s="1475">
        <f>E7/E8-1</f>
        <v>1.639999999999997E-2</v>
      </c>
      <c r="W7" s="1791"/>
      <c r="X7" s="1789">
        <f>ROUND(SUMPRODUCT(PRODUCT(1+N7:N$22)),4)</f>
        <v>1.4517</v>
      </c>
      <c r="Y7" s="1789">
        <f>ROUND(SUMPRODUCT(PRODUCT(1+O7:O$22)),4)</f>
        <v>1.2928999999999999</v>
      </c>
      <c r="Z7" s="1789">
        <f>Y7</f>
        <v>1.2928999999999999</v>
      </c>
      <c r="AA7" s="1789">
        <f>ROUND(SUMPRODUCT(PRODUCT(1+P7:P$22)),4)</f>
        <v>1.5068999999999999</v>
      </c>
      <c r="AB7" s="1789">
        <f>ROUND(SUMPRODUCT(PRODUCT(1+Q7:Q$22)),4)</f>
        <v>1.2557</v>
      </c>
      <c r="AC7" s="1791"/>
      <c r="AD7" s="1790">
        <f>ROUND(AVERAGE(I7:I$23)/100,4)</f>
        <v>2.4E-2</v>
      </c>
      <c r="AE7" s="1790">
        <f>ROUND(AVERAGE(J7:J$23)/100,4)</f>
        <v>1.66E-2</v>
      </c>
      <c r="AF7" s="1790">
        <f>AE7</f>
        <v>1.66E-2</v>
      </c>
      <c r="AG7" s="1790">
        <f>ROUND(AVERAGE(K7:K$23)/100,4)</f>
        <v>2.6499999999999999E-2</v>
      </c>
      <c r="AH7" s="1790">
        <f>ROUND(AVERAGE(L7:L$23)/100,4)</f>
        <v>1.43E-2</v>
      </c>
    </row>
    <row r="8" spans="1:34">
      <c r="A8" s="1463" t="s">
        <v>3034</v>
      </c>
      <c r="B8" s="1471">
        <v>439</v>
      </c>
      <c r="C8" s="1471">
        <v>327</v>
      </c>
      <c r="D8" s="1471">
        <f t="shared" si="3"/>
        <v>327</v>
      </c>
      <c r="E8" s="1471">
        <v>627</v>
      </c>
      <c r="F8" s="1472">
        <v>283</v>
      </c>
      <c r="G8" s="2923">
        <v>2017</v>
      </c>
      <c r="H8" s="1464">
        <v>4</v>
      </c>
      <c r="I8" s="1464">
        <v>1.71</v>
      </c>
      <c r="J8" s="1464">
        <v>1.78</v>
      </c>
      <c r="K8" s="1464">
        <v>1.71</v>
      </c>
      <c r="L8" s="1465">
        <v>1.43</v>
      </c>
      <c r="N8" s="1474">
        <f t="shared" si="6"/>
        <v>1.7100000000000001E-2</v>
      </c>
      <c r="O8" s="1475">
        <f t="shared" si="7"/>
        <v>1.78E-2</v>
      </c>
      <c r="P8" s="1475">
        <f t="shared" si="7"/>
        <v>1.7100000000000001E-2</v>
      </c>
      <c r="Q8" s="1475">
        <f t="shared" si="7"/>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3035</v>
      </c>
      <c r="B9" s="1479">
        <f t="shared" ref="B9:C11" si="8">B10*(1+N9)</f>
        <v>431.80730811680002</v>
      </c>
      <c r="C9" s="1479">
        <f t="shared" si="8"/>
        <v>320.57880516480003</v>
      </c>
      <c r="D9" s="1479">
        <f t="shared" si="3"/>
        <v>320.57880516480003</v>
      </c>
      <c r="E9" s="1479">
        <f t="shared" ref="E9:F11" si="9">E10*(1+P9)</f>
        <v>615.96110553196797</v>
      </c>
      <c r="F9" s="1479">
        <f t="shared" si="9"/>
        <v>279.46777300108801</v>
      </c>
      <c r="G9" s="2919"/>
      <c r="H9" s="1466">
        <v>3</v>
      </c>
      <c r="I9" s="1466">
        <v>2.98</v>
      </c>
      <c r="J9" s="1466">
        <v>2.11</v>
      </c>
      <c r="K9" s="1466">
        <v>3.24</v>
      </c>
      <c r="L9" s="1480">
        <v>1.72</v>
      </c>
      <c r="M9" s="1473"/>
      <c r="N9" s="1474">
        <f t="shared" si="6"/>
        <v>2.98E-2</v>
      </c>
      <c r="O9" s="1475">
        <f t="shared" si="7"/>
        <v>2.1099999999999997E-2</v>
      </c>
      <c r="P9" s="1475">
        <f t="shared" si="7"/>
        <v>3.2400000000000005E-2</v>
      </c>
      <c r="Q9" s="1475">
        <f t="shared" si="7"/>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8"/>
        <v>419.31181600000002</v>
      </c>
      <c r="C10" s="1479">
        <f t="shared" si="8"/>
        <v>313.95436800000004</v>
      </c>
      <c r="D10" s="1479">
        <f t="shared" si="3"/>
        <v>313.95436800000004</v>
      </c>
      <c r="E10" s="1479">
        <f t="shared" si="9"/>
        <v>596.63028431999999</v>
      </c>
      <c r="F10" s="1479">
        <f t="shared" si="9"/>
        <v>274.74220703999998</v>
      </c>
      <c r="G10" s="2918"/>
      <c r="H10" s="1467">
        <v>2</v>
      </c>
      <c r="I10" s="1467">
        <v>3.4</v>
      </c>
      <c r="J10" s="1467">
        <v>2</v>
      </c>
      <c r="K10" s="1467">
        <v>3.82</v>
      </c>
      <c r="L10" s="1481">
        <v>1.68</v>
      </c>
      <c r="M10" s="1473"/>
      <c r="N10" s="1474">
        <f t="shared" si="6"/>
        <v>3.4000000000000002E-2</v>
      </c>
      <c r="O10" s="1475">
        <f t="shared" si="7"/>
        <v>0.02</v>
      </c>
      <c r="P10" s="1475">
        <f t="shared" si="7"/>
        <v>3.8199999999999998E-2</v>
      </c>
      <c r="Q10" s="1475">
        <f t="shared" si="7"/>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 t="shared" si="8"/>
        <v>405.524</v>
      </c>
      <c r="C11" s="1479">
        <f t="shared" si="8"/>
        <v>307.79840000000002</v>
      </c>
      <c r="D11" s="1479">
        <f t="shared" si="3"/>
        <v>307.79840000000002</v>
      </c>
      <c r="E11" s="1479">
        <f t="shared" si="9"/>
        <v>574.67759999999998</v>
      </c>
      <c r="F11" s="1479">
        <f t="shared" si="9"/>
        <v>270.20280000000002</v>
      </c>
      <c r="G11" s="2919"/>
      <c r="H11" s="1466">
        <v>1</v>
      </c>
      <c r="I11" s="1466">
        <v>3.45</v>
      </c>
      <c r="J11" s="1466">
        <v>1.92</v>
      </c>
      <c r="K11" s="1466">
        <v>3.92</v>
      </c>
      <c r="L11" s="1480">
        <v>1.58</v>
      </c>
      <c r="M11" s="1473"/>
      <c r="N11" s="1474">
        <f t="shared" si="6"/>
        <v>3.4500000000000003E-2</v>
      </c>
      <c r="O11" s="1475">
        <f t="shared" ref="O11:Q26" si="10">J11/100</f>
        <v>1.9199999999999998E-2</v>
      </c>
      <c r="P11" s="1475">
        <f t="shared" si="10"/>
        <v>3.9199999999999999E-2</v>
      </c>
      <c r="Q11" s="1475">
        <f t="shared" si="10"/>
        <v>1.5800000000000002E-2</v>
      </c>
      <c r="R11" s="1476"/>
      <c r="S11" s="1474">
        <f>B11/B12-1</f>
        <v>3.4499999999999975E-2</v>
      </c>
      <c r="T11" s="1475">
        <f>C11/C12-1</f>
        <v>1.9200000000000106E-2</v>
      </c>
      <c r="U11" s="1475">
        <f>D11/D12-1</f>
        <v>1.9200000000000106E-2</v>
      </c>
      <c r="V11" s="1475">
        <f>E11/E12-1</f>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 t="shared" si="3"/>
        <v>302</v>
      </c>
      <c r="E12" s="1471">
        <v>553</v>
      </c>
      <c r="F12" s="1472">
        <v>266</v>
      </c>
      <c r="G12" s="3321">
        <v>2016</v>
      </c>
      <c r="H12" s="1464">
        <v>4</v>
      </c>
      <c r="I12" s="1464">
        <v>4.5599999999999996</v>
      </c>
      <c r="J12" s="1464">
        <v>2.15</v>
      </c>
      <c r="K12" s="1464">
        <v>5.32</v>
      </c>
      <c r="L12" s="1465">
        <v>1.57</v>
      </c>
      <c r="N12" s="1474">
        <f t="shared" si="6"/>
        <v>4.5599999999999995E-2</v>
      </c>
      <c r="O12" s="1475">
        <f t="shared" si="10"/>
        <v>2.1499999999999998E-2</v>
      </c>
      <c r="P12" s="1475">
        <f t="shared" si="10"/>
        <v>5.3200000000000004E-2</v>
      </c>
      <c r="Q12" s="1475">
        <f t="shared" si="10"/>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11">B12/(1+N12)</f>
        <v>374.90436113236416</v>
      </c>
      <c r="C13" s="1479">
        <f t="shared" si="11"/>
        <v>295.64366128242779</v>
      </c>
      <c r="D13" s="1479">
        <f t="shared" ref="D13:D72" si="12">C13</f>
        <v>295.64366128242779</v>
      </c>
      <c r="E13" s="1479">
        <f t="shared" ref="E13:F15" si="13">E12/(1+P12)</f>
        <v>525.06646410938095</v>
      </c>
      <c r="F13" s="1479">
        <f t="shared" si="13"/>
        <v>261.88835286009646</v>
      </c>
      <c r="G13" s="3318"/>
      <c r="H13" s="1466">
        <v>3</v>
      </c>
      <c r="I13" s="1466">
        <v>4.12</v>
      </c>
      <c r="J13" s="1466">
        <v>2</v>
      </c>
      <c r="K13" s="1466">
        <v>4.79</v>
      </c>
      <c r="L13" s="1480">
        <v>1.97</v>
      </c>
      <c r="N13" s="1474">
        <f t="shared" ref="N13:Q47" si="14">I13/100</f>
        <v>4.1200000000000001E-2</v>
      </c>
      <c r="O13" s="1475">
        <f t="shared" si="10"/>
        <v>0.02</v>
      </c>
      <c r="P13" s="1475">
        <f t="shared" si="10"/>
        <v>4.7899999999999998E-2</v>
      </c>
      <c r="Q13" s="1475">
        <f t="shared" si="10"/>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11"/>
        <v>360.06949782209392</v>
      </c>
      <c r="C14" s="1479">
        <f t="shared" si="11"/>
        <v>289.84672674747821</v>
      </c>
      <c r="D14" s="1479">
        <f t="shared" si="12"/>
        <v>289.84672674747821</v>
      </c>
      <c r="E14" s="1479">
        <f t="shared" si="13"/>
        <v>501.06543001181495</v>
      </c>
      <c r="F14" s="1479">
        <f t="shared" si="13"/>
        <v>256.82882500744967</v>
      </c>
      <c r="G14" s="3318"/>
      <c r="H14" s="1467">
        <v>2</v>
      </c>
      <c r="I14" s="1467">
        <v>3.85</v>
      </c>
      <c r="J14" s="1467">
        <v>1.95</v>
      </c>
      <c r="K14" s="1467">
        <v>4.4800000000000004</v>
      </c>
      <c r="L14" s="1481">
        <v>1.41</v>
      </c>
      <c r="N14" s="1474">
        <f t="shared" si="14"/>
        <v>3.85E-2</v>
      </c>
      <c r="O14" s="1475">
        <f t="shared" si="10"/>
        <v>1.95E-2</v>
      </c>
      <c r="P14" s="1475">
        <f t="shared" si="10"/>
        <v>4.4800000000000006E-2</v>
      </c>
      <c r="Q14" s="1475">
        <f t="shared" si="10"/>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11"/>
        <v>346.720748986128</v>
      </c>
      <c r="C15" s="1479">
        <f t="shared" si="11"/>
        <v>284.30282172386285</v>
      </c>
      <c r="D15" s="1479">
        <f t="shared" si="12"/>
        <v>284.30282172386285</v>
      </c>
      <c r="E15" s="1479">
        <f t="shared" si="13"/>
        <v>479.58023546306947</v>
      </c>
      <c r="F15" s="1479">
        <f t="shared" si="13"/>
        <v>253.25788877571213</v>
      </c>
      <c r="G15" s="3319"/>
      <c r="H15" s="1466">
        <v>1</v>
      </c>
      <c r="I15" s="1466">
        <v>4.09</v>
      </c>
      <c r="J15" s="1466">
        <v>2.93</v>
      </c>
      <c r="K15" s="1466">
        <v>4.54</v>
      </c>
      <c r="L15" s="1480">
        <v>1.48</v>
      </c>
      <c r="N15" s="1474">
        <f t="shared" si="14"/>
        <v>4.0899999999999999E-2</v>
      </c>
      <c r="O15" s="1475">
        <f t="shared" si="10"/>
        <v>2.9300000000000003E-2</v>
      </c>
      <c r="P15" s="1475">
        <f t="shared" si="10"/>
        <v>4.5400000000000003E-2</v>
      </c>
      <c r="Q15" s="1475">
        <f t="shared" si="10"/>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12"/>
        <v>277</v>
      </c>
      <c r="E16" s="1471">
        <v>459</v>
      </c>
      <c r="F16" s="1472">
        <v>249</v>
      </c>
      <c r="G16" s="3317">
        <v>2015</v>
      </c>
      <c r="H16" s="1484">
        <v>4</v>
      </c>
      <c r="I16" s="1484">
        <v>1.63</v>
      </c>
      <c r="J16" s="1484">
        <v>1.1100000000000001</v>
      </c>
      <c r="K16" s="1484">
        <v>1.77</v>
      </c>
      <c r="L16" s="1485">
        <v>1.89</v>
      </c>
      <c r="N16" s="1486">
        <f t="shared" si="14"/>
        <v>1.6299999999999999E-2</v>
      </c>
      <c r="O16" s="1487">
        <f t="shared" si="10"/>
        <v>1.11E-2</v>
      </c>
      <c r="P16" s="1487">
        <f t="shared" si="10"/>
        <v>1.77E-2</v>
      </c>
      <c r="Q16" s="1487">
        <f t="shared" si="10"/>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15">B16/(1+N16)</f>
        <v>327.65915576109415</v>
      </c>
      <c r="C17" s="1479">
        <f t="shared" si="15"/>
        <v>273.95905449510434</v>
      </c>
      <c r="D17" s="1479">
        <f t="shared" si="12"/>
        <v>273.95905449510434</v>
      </c>
      <c r="E17" s="1479">
        <f t="shared" ref="E17:F19" si="16">E16/(1+P16)</f>
        <v>451.01699911565294</v>
      </c>
      <c r="F17" s="1479">
        <f t="shared" si="16"/>
        <v>244.38119540681129</v>
      </c>
      <c r="G17" s="3318"/>
      <c r="H17" s="1489">
        <v>3</v>
      </c>
      <c r="I17" s="1489">
        <v>1.65</v>
      </c>
      <c r="J17" s="1489">
        <v>0.92</v>
      </c>
      <c r="K17" s="1489">
        <v>1.88</v>
      </c>
      <c r="L17" s="1490">
        <v>1.26</v>
      </c>
      <c r="N17" s="1474">
        <f t="shared" si="14"/>
        <v>1.6500000000000001E-2</v>
      </c>
      <c r="O17" s="1491">
        <f t="shared" si="10"/>
        <v>9.1999999999999998E-3</v>
      </c>
      <c r="P17" s="1491">
        <f t="shared" si="10"/>
        <v>1.8799999999999997E-2</v>
      </c>
      <c r="Q17" s="1491">
        <f t="shared" si="10"/>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15"/>
        <v>322.34053690220776</v>
      </c>
      <c r="C18" s="1479">
        <f t="shared" si="15"/>
        <v>271.46160770422546</v>
      </c>
      <c r="D18" s="1479">
        <f t="shared" si="12"/>
        <v>271.46160770422546</v>
      </c>
      <c r="E18" s="1479">
        <f t="shared" si="16"/>
        <v>442.69434542172456</v>
      </c>
      <c r="F18" s="1479">
        <f t="shared" si="16"/>
        <v>241.34030753190925</v>
      </c>
      <c r="G18" s="3318"/>
      <c r="H18" s="1467">
        <v>2</v>
      </c>
      <c r="I18" s="1467">
        <v>0.77</v>
      </c>
      <c r="J18" s="1467">
        <v>0.69</v>
      </c>
      <c r="K18" s="1467">
        <v>0.8</v>
      </c>
      <c r="L18" s="1481">
        <v>0.88</v>
      </c>
      <c r="N18" s="1474">
        <f t="shared" si="14"/>
        <v>7.7000000000000002E-3</v>
      </c>
      <c r="O18" s="1491">
        <f t="shared" si="10"/>
        <v>6.8999999999999999E-3</v>
      </c>
      <c r="P18" s="1491">
        <f t="shared" si="10"/>
        <v>8.0000000000000002E-3</v>
      </c>
      <c r="Q18" s="1491">
        <f t="shared" si="10"/>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15"/>
        <v>319.87748030386797</v>
      </c>
      <c r="C19" s="1479">
        <f t="shared" si="15"/>
        <v>269.60135833173649</v>
      </c>
      <c r="D19" s="1479">
        <f t="shared" si="12"/>
        <v>269.60135833173649</v>
      </c>
      <c r="E19" s="1479">
        <f t="shared" si="16"/>
        <v>439.18089823583784</v>
      </c>
      <c r="F19" s="1479">
        <f t="shared" si="16"/>
        <v>239.23503918706311</v>
      </c>
      <c r="G19" s="3319"/>
      <c r="H19" s="1466">
        <v>1</v>
      </c>
      <c r="I19" s="1466">
        <v>0.51</v>
      </c>
      <c r="J19" s="1466">
        <v>0.54</v>
      </c>
      <c r="K19" s="1466">
        <v>0.48</v>
      </c>
      <c r="L19" s="1480">
        <v>0.93</v>
      </c>
      <c r="N19" s="1482">
        <f t="shared" si="14"/>
        <v>5.1000000000000004E-3</v>
      </c>
      <c r="O19" s="1483">
        <f t="shared" si="10"/>
        <v>5.4000000000000003E-3</v>
      </c>
      <c r="P19" s="1483">
        <f t="shared" si="10"/>
        <v>4.7999999999999996E-3</v>
      </c>
      <c r="Q19" s="1483">
        <f t="shared" si="10"/>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12"/>
        <v>268</v>
      </c>
      <c r="E20" s="1492">
        <v>437</v>
      </c>
      <c r="F20" s="1493">
        <v>237</v>
      </c>
      <c r="G20" s="3317">
        <v>2014</v>
      </c>
      <c r="H20" s="1484">
        <v>4</v>
      </c>
      <c r="I20" s="1484">
        <v>0.21</v>
      </c>
      <c r="J20" s="1484">
        <v>0.41</v>
      </c>
      <c r="K20" s="1484">
        <v>0.12</v>
      </c>
      <c r="L20" s="1485">
        <v>0.89</v>
      </c>
      <c r="N20" s="1474">
        <f t="shared" si="14"/>
        <v>2.0999999999999999E-3</v>
      </c>
      <c r="O20" s="1475">
        <f t="shared" si="10"/>
        <v>4.0999999999999995E-3</v>
      </c>
      <c r="P20" s="1475">
        <f t="shared" si="10"/>
        <v>1.1999999999999999E-3</v>
      </c>
      <c r="Q20" s="1475">
        <f t="shared" si="10"/>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17">B20/(1+N20)</f>
        <v>317.33359944117353</v>
      </c>
      <c r="C21" s="1479">
        <f t="shared" si="17"/>
        <v>266.90568668459315</v>
      </c>
      <c r="D21" s="1479">
        <f t="shared" si="12"/>
        <v>266.90568668459315</v>
      </c>
      <c r="E21" s="1479">
        <f t="shared" ref="E21:F23" si="18">E20/(1+P20)</f>
        <v>436.47622852576905</v>
      </c>
      <c r="F21" s="1479">
        <f t="shared" si="18"/>
        <v>234.90930716622066</v>
      </c>
      <c r="G21" s="3318"/>
      <c r="H21" s="1494">
        <v>3</v>
      </c>
      <c r="I21" s="1494">
        <v>0.83</v>
      </c>
      <c r="J21" s="1494">
        <v>1.47</v>
      </c>
      <c r="K21" s="1494">
        <v>0.65</v>
      </c>
      <c r="L21" s="1495">
        <v>0.72</v>
      </c>
      <c r="N21" s="1474">
        <f t="shared" si="14"/>
        <v>8.3000000000000001E-3</v>
      </c>
      <c r="O21" s="1475">
        <f t="shared" si="10"/>
        <v>1.47E-2</v>
      </c>
      <c r="P21" s="1475">
        <f t="shared" si="10"/>
        <v>6.5000000000000006E-3</v>
      </c>
      <c r="Q21" s="1475">
        <f t="shared" si="10"/>
        <v>7.1999999999999998E-3</v>
      </c>
      <c r="R21" s="1476"/>
      <c r="S21" s="1474"/>
      <c r="T21" s="1475"/>
      <c r="U21" s="1475"/>
      <c r="V21" s="1475"/>
      <c r="X21" s="1461">
        <f>ROUND(SUMPRODUCT(PRODUCT(1+N21:N$22)),4)</f>
        <v>1.0325</v>
      </c>
      <c r="Y21" s="1461">
        <f>ROUND(SUMPRODUCT(PRODUCT(1+O21:O$22)),4)</f>
        <v>1.0353000000000001</v>
      </c>
      <c r="Z21" s="1461">
        <f>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17"/>
        <v>314.72141172386546</v>
      </c>
      <c r="C22" s="1479">
        <f t="shared" si="17"/>
        <v>263.03901319069001</v>
      </c>
      <c r="D22" s="1479">
        <f t="shared" si="12"/>
        <v>263.03901319069001</v>
      </c>
      <c r="E22" s="1479">
        <f t="shared" si="18"/>
        <v>433.65745506782821</v>
      </c>
      <c r="F22" s="1479">
        <f t="shared" si="18"/>
        <v>233.23005080045735</v>
      </c>
      <c r="G22" s="3318"/>
      <c r="H22" s="1484">
        <v>2</v>
      </c>
      <c r="I22" s="1484">
        <v>2.4</v>
      </c>
      <c r="J22" s="1484">
        <v>2.0299999999999998</v>
      </c>
      <c r="K22" s="1484">
        <v>2.59</v>
      </c>
      <c r="L22" s="1485">
        <v>1.52</v>
      </c>
      <c r="N22" s="1474">
        <f t="shared" si="14"/>
        <v>2.4E-2</v>
      </c>
      <c r="O22" s="1475">
        <f t="shared" si="10"/>
        <v>2.0299999999999999E-2</v>
      </c>
      <c r="P22" s="1475">
        <f t="shared" si="10"/>
        <v>2.5899999999999999E-2</v>
      </c>
      <c r="Q22" s="1475">
        <f t="shared" si="10"/>
        <v>1.52E-2</v>
      </c>
      <c r="R22" s="1476"/>
      <c r="S22" s="1474"/>
      <c r="T22" s="1475"/>
      <c r="U22" s="1475"/>
      <c r="V22" s="1475"/>
      <c r="X22" s="1461">
        <f>1+N22</f>
        <v>1.024</v>
      </c>
      <c r="Y22" s="1461">
        <f>1+O22</f>
        <v>1.0203</v>
      </c>
      <c r="Z22" s="1461">
        <f>Y22</f>
        <v>1.0203</v>
      </c>
      <c r="AA22" s="1461">
        <f>1+P22</f>
        <v>1.0259</v>
      </c>
      <c r="AB22" s="1461">
        <f>1+Q22</f>
        <v>1.0152000000000001</v>
      </c>
      <c r="AD22" s="1462">
        <f>ROUND(AVERAGE(I22:I$23)/100,4)</f>
        <v>2.69E-2</v>
      </c>
      <c r="AE22" s="1462">
        <f>ROUND(AVERAGE(J22:J$23)/100,4)</f>
        <v>2.1899999999999999E-2</v>
      </c>
      <c r="AF22" s="1462">
        <f>AE22</f>
        <v>2.1899999999999999E-2</v>
      </c>
      <c r="AG22" s="1462">
        <f>ROUND(AVERAGE(K22:K$23)/100,4)</f>
        <v>2.9399999999999999E-2</v>
      </c>
      <c r="AH22" s="1462">
        <f>ROUND(AVERAGE(L22:L$23)/100,4)</f>
        <v>1.44E-2</v>
      </c>
    </row>
    <row r="23" spans="1:34" s="1500" customFormat="1" ht="13.5" thickBot="1">
      <c r="A23" s="1496" t="s">
        <v>144</v>
      </c>
      <c r="B23" s="1497">
        <f t="shared" si="17"/>
        <v>307.34512863658733</v>
      </c>
      <c r="C23" s="1497">
        <f t="shared" si="17"/>
        <v>257.80556031626975</v>
      </c>
      <c r="D23" s="1497">
        <f t="shared" si="12"/>
        <v>257.80556031626975</v>
      </c>
      <c r="E23" s="1497">
        <f t="shared" si="18"/>
        <v>422.70928459677179</v>
      </c>
      <c r="F23" s="1497">
        <f t="shared" si="18"/>
        <v>229.73803270336617</v>
      </c>
      <c r="G23" s="3319"/>
      <c r="H23" s="1498">
        <v>1</v>
      </c>
      <c r="I23" s="1498">
        <v>2.97</v>
      </c>
      <c r="J23" s="1498">
        <v>2.34</v>
      </c>
      <c r="K23" s="1498">
        <v>3.28</v>
      </c>
      <c r="L23" s="1499">
        <v>1.36</v>
      </c>
      <c r="N23" s="1501">
        <f t="shared" si="14"/>
        <v>2.9700000000000001E-2</v>
      </c>
      <c r="O23" s="1502">
        <f t="shared" si="10"/>
        <v>2.3399999999999997E-2</v>
      </c>
      <c r="P23" s="1502">
        <f t="shared" si="10"/>
        <v>3.2799999999999996E-2</v>
      </c>
      <c r="Q23" s="1502">
        <f t="shared" si="10"/>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12"/>
        <v>252</v>
      </c>
      <c r="E24" s="1471">
        <v>409</v>
      </c>
      <c r="F24" s="1472">
        <v>227</v>
      </c>
      <c r="G24" s="3322">
        <v>2013</v>
      </c>
      <c r="H24" s="1508">
        <v>4</v>
      </c>
      <c r="I24" s="1508">
        <v>1.83</v>
      </c>
      <c r="J24" s="1508">
        <v>1.68</v>
      </c>
      <c r="K24" s="1508">
        <v>1.97</v>
      </c>
      <c r="L24" s="1509">
        <v>0.87</v>
      </c>
      <c r="N24" s="1486">
        <f t="shared" si="14"/>
        <v>1.83E-2</v>
      </c>
      <c r="O24" s="1487">
        <f t="shared" si="10"/>
        <v>1.6799999999999999E-2</v>
      </c>
      <c r="P24" s="1487">
        <f t="shared" si="10"/>
        <v>1.9699999999999999E-2</v>
      </c>
      <c r="Q24" s="1487">
        <f t="shared" si="10"/>
        <v>8.6999999999999994E-3</v>
      </c>
      <c r="R24" s="1476"/>
      <c r="S24" s="1477"/>
      <c r="T24" s="1478"/>
      <c r="U24" s="1478"/>
      <c r="V24" s="1478"/>
      <c r="X24" s="1478"/>
      <c r="Y24" s="1478"/>
      <c r="Z24" s="1478"/>
    </row>
    <row r="25" spans="1:34">
      <c r="A25" s="1463" t="s">
        <v>1164</v>
      </c>
      <c r="B25" s="1479">
        <f t="shared" ref="B25:C27" si="19">B24/(1+N24)</f>
        <v>293.62663262299913</v>
      </c>
      <c r="C25" s="1479">
        <f t="shared" si="19"/>
        <v>247.83634933123525</v>
      </c>
      <c r="D25" s="1479">
        <f t="shared" si="12"/>
        <v>247.83634933123525</v>
      </c>
      <c r="E25" s="1479">
        <f t="shared" ref="E25:F27" si="20">E24/(1+P24)</f>
        <v>401.09836226341076</v>
      </c>
      <c r="F25" s="1479">
        <f t="shared" si="20"/>
        <v>225.04213343908003</v>
      </c>
      <c r="G25" s="3323"/>
      <c r="H25" s="1489">
        <v>3</v>
      </c>
      <c r="I25" s="1489">
        <v>1.86</v>
      </c>
      <c r="J25" s="1489">
        <v>1.72</v>
      </c>
      <c r="K25" s="1489">
        <v>1.98</v>
      </c>
      <c r="L25" s="1490">
        <v>0.88</v>
      </c>
      <c r="N25" s="1474">
        <f t="shared" si="14"/>
        <v>1.8600000000000002E-2</v>
      </c>
      <c r="O25" s="1491">
        <f t="shared" si="10"/>
        <v>1.72E-2</v>
      </c>
      <c r="P25" s="1491">
        <f t="shared" si="10"/>
        <v>1.9799999999999998E-2</v>
      </c>
      <c r="Q25" s="1491">
        <f t="shared" si="10"/>
        <v>8.8000000000000005E-3</v>
      </c>
      <c r="R25" s="1476"/>
      <c r="S25" s="1474"/>
      <c r="T25" s="1475"/>
      <c r="U25" s="1475"/>
      <c r="V25" s="1475"/>
    </row>
    <row r="26" spans="1:34">
      <c r="A26" s="1463" t="s">
        <v>1165</v>
      </c>
      <c r="B26" s="1479">
        <f t="shared" si="19"/>
        <v>288.2649053828776</v>
      </c>
      <c r="C26" s="1479">
        <f t="shared" si="19"/>
        <v>243.64564425013293</v>
      </c>
      <c r="D26" s="1479">
        <f t="shared" si="12"/>
        <v>243.64564425013293</v>
      </c>
      <c r="E26" s="1479">
        <f t="shared" si="20"/>
        <v>393.31080825986544</v>
      </c>
      <c r="F26" s="1479">
        <f t="shared" si="20"/>
        <v>223.07903790551154</v>
      </c>
      <c r="G26" s="3323"/>
      <c r="H26" s="1467">
        <v>2</v>
      </c>
      <c r="I26" s="1467">
        <v>2.04</v>
      </c>
      <c r="J26" s="1467">
        <v>2.33</v>
      </c>
      <c r="K26" s="1467">
        <v>2.0699999999999998</v>
      </c>
      <c r="L26" s="1481">
        <v>0.69</v>
      </c>
      <c r="N26" s="1474">
        <f t="shared" si="14"/>
        <v>2.0400000000000001E-2</v>
      </c>
      <c r="O26" s="1491">
        <f t="shared" si="10"/>
        <v>2.3300000000000001E-2</v>
      </c>
      <c r="P26" s="1491">
        <f t="shared" si="10"/>
        <v>2.07E-2</v>
      </c>
      <c r="Q26" s="1491">
        <f t="shared" si="10"/>
        <v>6.8999999999999999E-3</v>
      </c>
      <c r="R26" s="1476"/>
      <c r="S26" s="1474"/>
      <c r="T26" s="1475"/>
      <c r="U26" s="1475"/>
      <c r="V26" s="1475"/>
      <c r="X26" s="1510"/>
      <c r="Y26" s="1511"/>
    </row>
    <row r="27" spans="1:34">
      <c r="A27" s="1463" t="s">
        <v>1166</v>
      </c>
      <c r="B27" s="1479">
        <f t="shared" si="19"/>
        <v>282.50186729015837</v>
      </c>
      <c r="C27" s="1479">
        <f t="shared" si="19"/>
        <v>238.09796174155468</v>
      </c>
      <c r="D27" s="1479">
        <f t="shared" si="12"/>
        <v>238.09796174155468</v>
      </c>
      <c r="E27" s="1479">
        <f t="shared" si="20"/>
        <v>385.33438646014054</v>
      </c>
      <c r="F27" s="1479">
        <f t="shared" si="20"/>
        <v>221.55034055567739</v>
      </c>
      <c r="G27" s="3324"/>
      <c r="H27" s="1466">
        <v>1</v>
      </c>
      <c r="I27" s="1466">
        <v>1.67</v>
      </c>
      <c r="J27" s="1466">
        <v>1.31</v>
      </c>
      <c r="K27" s="1466">
        <v>1.85</v>
      </c>
      <c r="L27" s="1480">
        <v>0.96</v>
      </c>
      <c r="N27" s="1482">
        <f t="shared" si="14"/>
        <v>1.67E-2</v>
      </c>
      <c r="O27" s="1483">
        <f t="shared" si="14"/>
        <v>1.3100000000000001E-2</v>
      </c>
      <c r="P27" s="1483">
        <f t="shared" si="14"/>
        <v>1.8500000000000003E-2</v>
      </c>
      <c r="Q27" s="1483">
        <f t="shared" si="14"/>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12"/>
        <v>234</v>
      </c>
      <c r="E28" s="1513">
        <v>379</v>
      </c>
      <c r="F28" s="1514">
        <v>220</v>
      </c>
      <c r="G28" s="3317">
        <v>2012</v>
      </c>
      <c r="H28" s="1484">
        <v>4</v>
      </c>
      <c r="I28" s="1484">
        <v>0.91</v>
      </c>
      <c r="J28" s="1484">
        <v>0.68</v>
      </c>
      <c r="K28" s="1484">
        <v>0.98</v>
      </c>
      <c r="L28" s="1485">
        <v>0.9</v>
      </c>
      <c r="N28" s="1474">
        <f t="shared" si="14"/>
        <v>9.1000000000000004E-3</v>
      </c>
      <c r="O28" s="1475">
        <f t="shared" si="14"/>
        <v>6.8000000000000005E-3</v>
      </c>
      <c r="P28" s="1475">
        <f t="shared" si="14"/>
        <v>9.7999999999999997E-3</v>
      </c>
      <c r="Q28" s="1475">
        <f t="shared" si="14"/>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12"/>
        <v>232.41954707985698</v>
      </c>
      <c r="E29" s="1479">
        <f t="shared" ref="E29:F31" si="21">E28/(1+P28)</f>
        <v>375.32184591008121</v>
      </c>
      <c r="F29" s="1479">
        <f t="shared" si="21"/>
        <v>218.03766105054513</v>
      </c>
      <c r="G29" s="3318"/>
      <c r="H29" s="1489">
        <v>3</v>
      </c>
      <c r="I29" s="1489">
        <v>0.09</v>
      </c>
      <c r="J29" s="1489">
        <v>0.28999999999999998</v>
      </c>
      <c r="K29" s="1489">
        <v>-0.01</v>
      </c>
      <c r="L29" s="1490">
        <v>0.57999999999999996</v>
      </c>
      <c r="N29" s="1474">
        <f t="shared" si="14"/>
        <v>8.9999999999999998E-4</v>
      </c>
      <c r="O29" s="1475">
        <f t="shared" si="14"/>
        <v>2.8999999999999998E-3</v>
      </c>
      <c r="P29" s="1475">
        <f t="shared" si="14"/>
        <v>-1E-4</v>
      </c>
      <c r="Q29" s="1475">
        <f t="shared" si="14"/>
        <v>5.7999999999999996E-3</v>
      </c>
      <c r="R29" s="1476"/>
      <c r="S29" s="1474"/>
      <c r="T29" s="1475"/>
      <c r="U29" s="1475"/>
      <c r="V29" s="1475"/>
    </row>
    <row r="30" spans="1:34">
      <c r="A30" s="1463" t="s">
        <v>1169</v>
      </c>
      <c r="B30" s="1479">
        <f>B29/(1+N29)</f>
        <v>275.24529281292263</v>
      </c>
      <c r="C30" s="1479">
        <f>C29/(1+O29)</f>
        <v>231.74747938962707</v>
      </c>
      <c r="D30" s="1479">
        <f t="shared" si="12"/>
        <v>231.74747938962707</v>
      </c>
      <c r="E30" s="1479">
        <f t="shared" si="21"/>
        <v>375.35938184826603</v>
      </c>
      <c r="F30" s="1479">
        <f t="shared" si="21"/>
        <v>216.78033510692495</v>
      </c>
      <c r="G30" s="3318"/>
      <c r="H30" s="1467">
        <v>2</v>
      </c>
      <c r="I30" s="1467">
        <v>0.02</v>
      </c>
      <c r="J30" s="1467">
        <v>0.12</v>
      </c>
      <c r="K30" s="1467">
        <v>-0.08</v>
      </c>
      <c r="L30" s="1481">
        <v>1.24</v>
      </c>
      <c r="N30" s="1474">
        <f t="shared" si="14"/>
        <v>2.0000000000000001E-4</v>
      </c>
      <c r="O30" s="1475">
        <f t="shared" si="14"/>
        <v>1.1999999999999999E-3</v>
      </c>
      <c r="P30" s="1475">
        <f t="shared" si="14"/>
        <v>-8.0000000000000004E-4</v>
      </c>
      <c r="Q30" s="1475">
        <f t="shared" si="14"/>
        <v>1.24E-2</v>
      </c>
      <c r="R30" s="1476"/>
      <c r="S30" s="1474"/>
      <c r="T30" s="1475"/>
      <c r="U30" s="1475"/>
      <c r="V30" s="1475"/>
    </row>
    <row r="31" spans="1:34" ht="13.5" thickBot="1">
      <c r="A31" s="1463" t="s">
        <v>1170</v>
      </c>
      <c r="B31" s="1479">
        <f>B30/(1+N30)</f>
        <v>275.19025476197027</v>
      </c>
      <c r="C31" s="1515">
        <v>232</v>
      </c>
      <c r="D31" s="1515">
        <f t="shared" si="12"/>
        <v>232</v>
      </c>
      <c r="E31" s="1479">
        <f t="shared" si="21"/>
        <v>375.65990977608692</v>
      </c>
      <c r="F31" s="1479">
        <f t="shared" si="21"/>
        <v>214.12518283971252</v>
      </c>
      <c r="G31" s="3319"/>
      <c r="H31" s="1466">
        <v>1</v>
      </c>
      <c r="I31" s="1466">
        <v>0.02</v>
      </c>
      <c r="J31" s="1466">
        <v>0.13</v>
      </c>
      <c r="K31" s="1466">
        <v>-0.04</v>
      </c>
      <c r="L31" s="1480">
        <v>0.46</v>
      </c>
      <c r="N31" s="1474">
        <f t="shared" si="14"/>
        <v>2.0000000000000001E-4</v>
      </c>
      <c r="O31" s="1475">
        <f t="shared" si="14"/>
        <v>1.2999999999999999E-3</v>
      </c>
      <c r="P31" s="1475">
        <f t="shared" si="14"/>
        <v>-4.0000000000000002E-4</v>
      </c>
      <c r="Q31" s="1475">
        <f t="shared" si="14"/>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12"/>
        <v>232</v>
      </c>
      <c r="E32" s="1471">
        <v>376</v>
      </c>
      <c r="F32" s="1472">
        <v>213</v>
      </c>
      <c r="G32" s="3317">
        <v>2011</v>
      </c>
      <c r="H32" s="1484">
        <v>4</v>
      </c>
      <c r="I32" s="1484">
        <v>-0.2</v>
      </c>
      <c r="J32" s="1484">
        <v>0.04</v>
      </c>
      <c r="K32" s="1484">
        <v>-0.34</v>
      </c>
      <c r="L32" s="1485">
        <v>0.46</v>
      </c>
      <c r="N32" s="1486">
        <f t="shared" si="14"/>
        <v>-2E-3</v>
      </c>
      <c r="O32" s="1487">
        <f t="shared" si="14"/>
        <v>4.0000000000000002E-4</v>
      </c>
      <c r="P32" s="1487">
        <f t="shared" si="14"/>
        <v>-3.4000000000000002E-3</v>
      </c>
      <c r="Q32" s="1487">
        <f t="shared" si="14"/>
        <v>4.5999999999999999E-3</v>
      </c>
      <c r="R32" s="1476"/>
      <c r="S32" s="1477"/>
      <c r="T32" s="1478"/>
      <c r="U32" s="1478"/>
      <c r="V32" s="1478"/>
      <c r="X32" s="1478"/>
      <c r="Y32" s="1478"/>
      <c r="Z32" s="1478"/>
    </row>
    <row r="33" spans="1:26">
      <c r="A33" s="1463" t="s">
        <v>1172</v>
      </c>
      <c r="B33" s="1479">
        <f t="shared" ref="B33:C35" si="22">B32/(1+N32)</f>
        <v>275.55110220440883</v>
      </c>
      <c r="C33" s="1479">
        <f t="shared" si="22"/>
        <v>231.90723710515795</v>
      </c>
      <c r="D33" s="1479">
        <f t="shared" si="12"/>
        <v>231.90723710515795</v>
      </c>
      <c r="E33" s="1479">
        <f t="shared" ref="E33:F35" si="23">E32/(1+P32)</f>
        <v>377.28276138872161</v>
      </c>
      <c r="F33" s="1479">
        <f t="shared" si="23"/>
        <v>212.02468644236512</v>
      </c>
      <c r="G33" s="3318">
        <v>2011</v>
      </c>
      <c r="H33" s="1489">
        <v>3</v>
      </c>
      <c r="I33" s="1489">
        <v>0.13</v>
      </c>
      <c r="J33" s="1489">
        <v>0.75</v>
      </c>
      <c r="K33" s="1489">
        <v>-0.08</v>
      </c>
      <c r="L33" s="1490">
        <v>0.53</v>
      </c>
      <c r="N33" s="1474">
        <f t="shared" si="14"/>
        <v>1.2999999999999999E-3</v>
      </c>
      <c r="O33" s="1491">
        <f t="shared" si="14"/>
        <v>7.4999999999999997E-3</v>
      </c>
      <c r="P33" s="1491">
        <f t="shared" si="14"/>
        <v>-8.0000000000000004E-4</v>
      </c>
      <c r="Q33" s="1491">
        <f t="shared" si="14"/>
        <v>5.3E-3</v>
      </c>
      <c r="R33" s="1476"/>
      <c r="S33" s="1474"/>
      <c r="T33" s="1475"/>
      <c r="U33" s="1475"/>
      <c r="V33" s="1475"/>
    </row>
    <row r="34" spans="1:26">
      <c r="A34" s="1463" t="s">
        <v>1173</v>
      </c>
      <c r="B34" s="1479">
        <f t="shared" si="22"/>
        <v>275.19335084830601</v>
      </c>
      <c r="C34" s="1479">
        <f t="shared" si="22"/>
        <v>230.18088050139744</v>
      </c>
      <c r="D34" s="1479">
        <f t="shared" si="12"/>
        <v>230.18088050139744</v>
      </c>
      <c r="E34" s="1479">
        <f t="shared" si="23"/>
        <v>377.58482925212331</v>
      </c>
      <c r="F34" s="1479">
        <f t="shared" si="23"/>
        <v>210.90687997847917</v>
      </c>
      <c r="G34" s="3318">
        <v>2011</v>
      </c>
      <c r="H34" s="1467">
        <v>2</v>
      </c>
      <c r="I34" s="1467">
        <v>-0.4</v>
      </c>
      <c r="J34" s="1467">
        <v>0.17</v>
      </c>
      <c r="K34" s="1467">
        <v>-0.57999999999999996</v>
      </c>
      <c r="L34" s="1481">
        <v>-0.2</v>
      </c>
      <c r="N34" s="1474">
        <f t="shared" si="14"/>
        <v>-4.0000000000000001E-3</v>
      </c>
      <c r="O34" s="1491">
        <f t="shared" si="14"/>
        <v>1.7000000000000001E-3</v>
      </c>
      <c r="P34" s="1491">
        <f t="shared" si="14"/>
        <v>-5.7999999999999996E-3</v>
      </c>
      <c r="Q34" s="1491">
        <f t="shared" si="14"/>
        <v>-2E-3</v>
      </c>
      <c r="R34" s="1476"/>
      <c r="S34" s="1474"/>
      <c r="T34" s="1475"/>
      <c r="U34" s="1475"/>
      <c r="V34" s="1475"/>
    </row>
    <row r="35" spans="1:26" ht="13.5" thickBot="1">
      <c r="A35" s="1463" t="s">
        <v>1174</v>
      </c>
      <c r="B35" s="1479">
        <f t="shared" si="22"/>
        <v>276.29854502841971</v>
      </c>
      <c r="C35" s="1479">
        <f t="shared" si="22"/>
        <v>229.79023709833027</v>
      </c>
      <c r="D35" s="1479">
        <f t="shared" si="12"/>
        <v>229.79023709833027</v>
      </c>
      <c r="E35" s="1479">
        <f t="shared" si="23"/>
        <v>379.78759731655936</v>
      </c>
      <c r="F35" s="1479">
        <f t="shared" si="23"/>
        <v>211.32953905659235</v>
      </c>
      <c r="G35" s="3319">
        <v>2011</v>
      </c>
      <c r="H35" s="1466">
        <v>1</v>
      </c>
      <c r="I35" s="1466">
        <v>2.65</v>
      </c>
      <c r="J35" s="1466">
        <v>3.76</v>
      </c>
      <c r="K35" s="1466">
        <v>1.89</v>
      </c>
      <c r="L35" s="1480">
        <v>7.95</v>
      </c>
      <c r="N35" s="1482">
        <f t="shared" si="14"/>
        <v>2.6499999999999999E-2</v>
      </c>
      <c r="O35" s="1483">
        <f t="shared" si="14"/>
        <v>3.7599999999999995E-2</v>
      </c>
      <c r="P35" s="1483">
        <f t="shared" si="14"/>
        <v>1.89E-2</v>
      </c>
      <c r="Q35" s="1483">
        <f t="shared" si="14"/>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12"/>
        <v>221</v>
      </c>
      <c r="E36" s="1471">
        <v>373</v>
      </c>
      <c r="F36" s="1472">
        <v>196</v>
      </c>
      <c r="G36" s="3317">
        <v>2010</v>
      </c>
      <c r="H36" s="1484">
        <v>4</v>
      </c>
      <c r="I36" s="1484">
        <v>5.72</v>
      </c>
      <c r="J36" s="1484">
        <v>6.57</v>
      </c>
      <c r="K36" s="1484">
        <v>5.72</v>
      </c>
      <c r="L36" s="1485">
        <v>2.72</v>
      </c>
      <c r="N36" s="1474">
        <f t="shared" si="14"/>
        <v>5.7200000000000001E-2</v>
      </c>
      <c r="O36" s="1475">
        <f t="shared" si="14"/>
        <v>6.5700000000000008E-2</v>
      </c>
      <c r="P36" s="1475">
        <f t="shared" si="14"/>
        <v>5.7200000000000001E-2</v>
      </c>
      <c r="Q36" s="1475">
        <f t="shared" si="14"/>
        <v>2.7200000000000002E-2</v>
      </c>
      <c r="R36" s="1476"/>
      <c r="S36" s="1477"/>
      <c r="T36" s="1478"/>
      <c r="U36" s="1478"/>
      <c r="V36" s="1478"/>
      <c r="X36" s="1478"/>
      <c r="Y36" s="1478"/>
      <c r="Z36" s="1478"/>
    </row>
    <row r="37" spans="1:26">
      <c r="A37" s="1463" t="s">
        <v>1176</v>
      </c>
      <c r="B37" s="1479">
        <f t="shared" ref="B37:C39" si="24">B36/(1+N36)</f>
        <v>254.44570563753314</v>
      </c>
      <c r="C37" s="1479">
        <f t="shared" si="24"/>
        <v>207.37543398705074</v>
      </c>
      <c r="D37" s="1479">
        <f t="shared" si="12"/>
        <v>207.37543398705074</v>
      </c>
      <c r="E37" s="1479">
        <f t="shared" ref="E37:F39" si="25">E36/(1+P36)</f>
        <v>352.81876655315932</v>
      </c>
      <c r="F37" s="1479">
        <f t="shared" si="25"/>
        <v>190.809968847352</v>
      </c>
      <c r="G37" s="3318">
        <v>2010</v>
      </c>
      <c r="H37" s="1489">
        <v>3</v>
      </c>
      <c r="I37" s="1489">
        <v>4.7300000000000004</v>
      </c>
      <c r="J37" s="1489">
        <v>3.9</v>
      </c>
      <c r="K37" s="1489">
        <v>5.03</v>
      </c>
      <c r="L37" s="1490">
        <v>4.21</v>
      </c>
      <c r="N37" s="1474">
        <f t="shared" si="14"/>
        <v>4.7300000000000002E-2</v>
      </c>
      <c r="O37" s="1475">
        <f t="shared" si="14"/>
        <v>3.9E-2</v>
      </c>
      <c r="P37" s="1475">
        <f t="shared" si="14"/>
        <v>5.0300000000000004E-2</v>
      </c>
      <c r="Q37" s="1475">
        <f t="shared" si="14"/>
        <v>4.2099999999999999E-2</v>
      </c>
      <c r="R37" s="1476"/>
      <c r="S37" s="1474"/>
      <c r="T37" s="1475"/>
      <c r="U37" s="1475"/>
      <c r="V37" s="1475"/>
    </row>
    <row r="38" spans="1:26">
      <c r="A38" s="1463" t="s">
        <v>1177</v>
      </c>
      <c r="B38" s="1479">
        <f t="shared" si="24"/>
        <v>242.95398227588385</v>
      </c>
      <c r="C38" s="1479">
        <f t="shared" si="24"/>
        <v>199.59137053614126</v>
      </c>
      <c r="D38" s="1479">
        <f t="shared" si="12"/>
        <v>199.59137053614126</v>
      </c>
      <c r="E38" s="1479">
        <f t="shared" si="25"/>
        <v>335.92189522342125</v>
      </c>
      <c r="F38" s="1479">
        <f t="shared" si="25"/>
        <v>183.10139991109489</v>
      </c>
      <c r="G38" s="3318">
        <v>2010</v>
      </c>
      <c r="H38" s="1467">
        <v>2</v>
      </c>
      <c r="I38" s="1467">
        <v>4.6900000000000004</v>
      </c>
      <c r="J38" s="1467">
        <v>3.55</v>
      </c>
      <c r="K38" s="1467">
        <v>5.07</v>
      </c>
      <c r="L38" s="1481">
        <v>4.2300000000000004</v>
      </c>
      <c r="N38" s="1474">
        <f t="shared" si="14"/>
        <v>4.6900000000000004E-2</v>
      </c>
      <c r="O38" s="1475">
        <f t="shared" si="14"/>
        <v>3.5499999999999997E-2</v>
      </c>
      <c r="P38" s="1475">
        <f t="shared" si="14"/>
        <v>5.0700000000000002E-2</v>
      </c>
      <c r="Q38" s="1475">
        <f t="shared" si="14"/>
        <v>4.2300000000000004E-2</v>
      </c>
      <c r="R38" s="1476"/>
      <c r="S38" s="1474"/>
      <c r="T38" s="1475"/>
      <c r="U38" s="1475"/>
      <c r="V38" s="1475"/>
    </row>
    <row r="39" spans="1:26" ht="13.5" thickBot="1">
      <c r="A39" s="1463" t="s">
        <v>1178</v>
      </c>
      <c r="B39" s="1479">
        <f t="shared" si="24"/>
        <v>232.06990378821649</v>
      </c>
      <c r="C39" s="1479">
        <f t="shared" si="24"/>
        <v>192.74878854286936</v>
      </c>
      <c r="D39" s="1479">
        <f t="shared" si="12"/>
        <v>192.74878854286936</v>
      </c>
      <c r="E39" s="1479">
        <f t="shared" si="25"/>
        <v>319.71247284992984</v>
      </c>
      <c r="F39" s="1479">
        <f t="shared" si="25"/>
        <v>175.67053622862409</v>
      </c>
      <c r="G39" s="3319">
        <v>2010</v>
      </c>
      <c r="H39" s="1466">
        <v>1</v>
      </c>
      <c r="I39" s="1466">
        <v>5.4</v>
      </c>
      <c r="J39" s="1466">
        <v>3.2</v>
      </c>
      <c r="K39" s="1466">
        <v>6.16</v>
      </c>
      <c r="L39" s="1480">
        <v>4.51</v>
      </c>
      <c r="N39" s="1474">
        <f t="shared" si="14"/>
        <v>5.4000000000000006E-2</v>
      </c>
      <c r="O39" s="1475">
        <f t="shared" si="14"/>
        <v>3.2000000000000001E-2</v>
      </c>
      <c r="P39" s="1475">
        <f t="shared" si="14"/>
        <v>6.1600000000000002E-2</v>
      </c>
      <c r="Q39" s="1475">
        <f t="shared" si="14"/>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12"/>
        <v>187</v>
      </c>
      <c r="E40" s="1471">
        <v>301</v>
      </c>
      <c r="F40" s="1472">
        <v>168</v>
      </c>
      <c r="G40" s="3317">
        <v>2009</v>
      </c>
      <c r="H40" s="1484">
        <v>4</v>
      </c>
      <c r="I40" s="1484">
        <v>2.2999999999999998</v>
      </c>
      <c r="J40" s="1484">
        <v>1.04</v>
      </c>
      <c r="K40" s="1484">
        <v>2.84</v>
      </c>
      <c r="L40" s="1485">
        <v>0.67</v>
      </c>
      <c r="N40" s="1486">
        <f t="shared" si="14"/>
        <v>2.3E-2</v>
      </c>
      <c r="O40" s="1487">
        <f t="shared" si="14"/>
        <v>1.04E-2</v>
      </c>
      <c r="P40" s="1487">
        <f t="shared" si="14"/>
        <v>2.8399999999999998E-2</v>
      </c>
      <c r="Q40" s="1487">
        <f t="shared" si="14"/>
        <v>6.7000000000000002E-3</v>
      </c>
      <c r="R40" s="1476"/>
      <c r="S40" s="1477"/>
      <c r="T40" s="1478"/>
      <c r="U40" s="1478"/>
      <c r="V40" s="1478"/>
      <c r="X40" s="1478"/>
      <c r="Y40" s="1478"/>
      <c r="Z40" s="1478"/>
    </row>
    <row r="41" spans="1:26">
      <c r="A41" s="1463" t="s">
        <v>1180</v>
      </c>
      <c r="B41" s="1479">
        <f t="shared" ref="B41:C43" si="26">B40/(1+N40)</f>
        <v>215.05376344086022</v>
      </c>
      <c r="C41" s="1479">
        <f t="shared" si="26"/>
        <v>185.0752177355503</v>
      </c>
      <c r="D41" s="1479">
        <f t="shared" si="12"/>
        <v>185.0752177355503</v>
      </c>
      <c r="E41" s="1479">
        <f t="shared" ref="E41:F43" si="27">E40/(1+P40)</f>
        <v>292.68767016725008</v>
      </c>
      <c r="F41" s="1479">
        <f t="shared" si="27"/>
        <v>166.88189132810174</v>
      </c>
      <c r="G41" s="3318">
        <v>2009</v>
      </c>
      <c r="H41" s="1489">
        <v>3</v>
      </c>
      <c r="I41" s="1489">
        <v>2.1</v>
      </c>
      <c r="J41" s="1489">
        <v>1.86</v>
      </c>
      <c r="K41" s="1489">
        <v>2.29</v>
      </c>
      <c r="L41" s="1490">
        <v>0.85</v>
      </c>
      <c r="N41" s="1474">
        <f t="shared" si="14"/>
        <v>2.1000000000000001E-2</v>
      </c>
      <c r="O41" s="1491">
        <f t="shared" si="14"/>
        <v>1.8600000000000002E-2</v>
      </c>
      <c r="P41" s="1491">
        <f t="shared" si="14"/>
        <v>2.29E-2</v>
      </c>
      <c r="Q41" s="1491">
        <f t="shared" si="14"/>
        <v>8.5000000000000006E-3</v>
      </c>
      <c r="R41" s="1476"/>
      <c r="S41" s="1474"/>
      <c r="T41" s="1475"/>
      <c r="U41" s="1475"/>
      <c r="V41" s="1475"/>
    </row>
    <row r="42" spans="1:26">
      <c r="A42" s="1463" t="s">
        <v>1181</v>
      </c>
      <c r="B42" s="1479">
        <f t="shared" si="26"/>
        <v>210.630522469011</v>
      </c>
      <c r="C42" s="1479">
        <f t="shared" si="26"/>
        <v>181.69567812247232</v>
      </c>
      <c r="D42" s="1479">
        <f t="shared" si="12"/>
        <v>181.69567812247232</v>
      </c>
      <c r="E42" s="1479">
        <f t="shared" si="27"/>
        <v>286.13517466736738</v>
      </c>
      <c r="F42" s="1479">
        <f t="shared" si="27"/>
        <v>165.47535084591149</v>
      </c>
      <c r="G42" s="3318">
        <v>2009</v>
      </c>
      <c r="H42" s="1467">
        <v>2</v>
      </c>
      <c r="I42" s="1467">
        <v>0.86</v>
      </c>
      <c r="J42" s="1467">
        <v>-1.1299999999999999</v>
      </c>
      <c r="K42" s="1467">
        <v>1.79</v>
      </c>
      <c r="L42" s="1481">
        <v>-2.0699999999999998</v>
      </c>
      <c r="N42" s="1474">
        <f t="shared" si="14"/>
        <v>8.6E-3</v>
      </c>
      <c r="O42" s="1491">
        <f t="shared" si="14"/>
        <v>-1.1299999999999999E-2</v>
      </c>
      <c r="P42" s="1491">
        <f t="shared" si="14"/>
        <v>1.7899999999999999E-2</v>
      </c>
      <c r="Q42" s="1491">
        <f t="shared" si="14"/>
        <v>-2.07E-2</v>
      </c>
      <c r="R42" s="1476"/>
      <c r="S42" s="1474"/>
      <c r="T42" s="1475"/>
      <c r="U42" s="1475"/>
      <c r="V42" s="1475"/>
    </row>
    <row r="43" spans="1:26">
      <c r="A43" s="1463" t="s">
        <v>1182</v>
      </c>
      <c r="B43" s="1479">
        <f t="shared" si="26"/>
        <v>208.83454537875372</v>
      </c>
      <c r="C43" s="1479">
        <f t="shared" si="26"/>
        <v>183.77230517090351</v>
      </c>
      <c r="D43" s="1479">
        <f t="shared" si="12"/>
        <v>183.77230517090351</v>
      </c>
      <c r="E43" s="1479">
        <f t="shared" si="27"/>
        <v>281.10342338870947</v>
      </c>
      <c r="F43" s="1479">
        <f t="shared" si="27"/>
        <v>168.97309388942256</v>
      </c>
      <c r="G43" s="3319">
        <v>2009</v>
      </c>
      <c r="H43" s="1466">
        <v>1</v>
      </c>
      <c r="I43" s="1466">
        <v>-2.64</v>
      </c>
      <c r="J43" s="1466">
        <v>-2.5299999999999998</v>
      </c>
      <c r="K43" s="1466">
        <v>-3.02</v>
      </c>
      <c r="L43" s="1480">
        <v>1.52</v>
      </c>
      <c r="N43" s="1482">
        <f t="shared" si="14"/>
        <v>-2.64E-2</v>
      </c>
      <c r="O43" s="1483">
        <f t="shared" si="14"/>
        <v>-2.53E-2</v>
      </c>
      <c r="P43" s="1483">
        <f t="shared" si="14"/>
        <v>-3.0200000000000001E-2</v>
      </c>
      <c r="Q43" s="1483">
        <f t="shared" si="14"/>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12"/>
        <v>188</v>
      </c>
      <c r="E44" s="1513">
        <v>289</v>
      </c>
      <c r="F44" s="1514">
        <v>166</v>
      </c>
      <c r="G44" s="3317">
        <v>2008</v>
      </c>
      <c r="H44" s="1484">
        <v>4</v>
      </c>
      <c r="I44" s="1484">
        <v>1.73</v>
      </c>
      <c r="J44" s="1484">
        <v>0.03</v>
      </c>
      <c r="K44" s="1484">
        <v>2.59</v>
      </c>
      <c r="L44" s="1485">
        <v>-1.66</v>
      </c>
      <c r="N44" s="1474">
        <f t="shared" si="14"/>
        <v>1.7299999999999999E-2</v>
      </c>
      <c r="O44" s="1475">
        <f t="shared" si="14"/>
        <v>2.9999999999999997E-4</v>
      </c>
      <c r="P44" s="1475">
        <f t="shared" si="14"/>
        <v>2.5899999999999999E-2</v>
      </c>
      <c r="Q44" s="1475">
        <f t="shared" si="14"/>
        <v>-1.66E-2</v>
      </c>
      <c r="R44" s="1476"/>
      <c r="S44" s="1477"/>
      <c r="T44" s="1478"/>
      <c r="U44" s="1478"/>
      <c r="V44" s="1478"/>
      <c r="X44" s="1478"/>
      <c r="Y44" s="1478"/>
      <c r="Z44" s="1478"/>
    </row>
    <row r="45" spans="1:26">
      <c r="A45" s="1463" t="s">
        <v>1184</v>
      </c>
      <c r="B45" s="1479">
        <f t="shared" ref="B45:C47" si="28">B44/(1+N44)</f>
        <v>210.36075887152265</v>
      </c>
      <c r="C45" s="1479">
        <f t="shared" si="28"/>
        <v>187.94361691492554</v>
      </c>
      <c r="D45" s="1479">
        <f t="shared" si="12"/>
        <v>187.94361691492554</v>
      </c>
      <c r="E45" s="1479">
        <f t="shared" ref="E45:F47" si="29">E44/(1+P44)</f>
        <v>281.70386977288234</v>
      </c>
      <c r="F45" s="1479">
        <f t="shared" si="29"/>
        <v>168.80211511083994</v>
      </c>
      <c r="G45" s="3318">
        <v>2008</v>
      </c>
      <c r="H45" s="1489">
        <v>3</v>
      </c>
      <c r="I45" s="1489">
        <v>1.96</v>
      </c>
      <c r="J45" s="1489">
        <v>2.36</v>
      </c>
      <c r="K45" s="1489">
        <v>1.82</v>
      </c>
      <c r="L45" s="1490">
        <v>2.2200000000000002</v>
      </c>
      <c r="N45" s="1474">
        <f t="shared" si="14"/>
        <v>1.9599999999999999E-2</v>
      </c>
      <c r="O45" s="1475">
        <f t="shared" si="14"/>
        <v>2.3599999999999999E-2</v>
      </c>
      <c r="P45" s="1475">
        <f t="shared" si="14"/>
        <v>1.8200000000000001E-2</v>
      </c>
      <c r="Q45" s="1475">
        <f t="shared" si="14"/>
        <v>2.2200000000000001E-2</v>
      </c>
      <c r="R45" s="1476"/>
      <c r="S45" s="1474"/>
      <c r="T45" s="1475"/>
      <c r="U45" s="1475"/>
      <c r="V45" s="1475"/>
    </row>
    <row r="46" spans="1:26">
      <c r="A46" s="1463" t="s">
        <v>1185</v>
      </c>
      <c r="B46" s="1479">
        <f t="shared" si="28"/>
        <v>206.31694671589116</v>
      </c>
      <c r="C46" s="1479">
        <f t="shared" si="28"/>
        <v>183.61041121036101</v>
      </c>
      <c r="D46" s="1479">
        <f t="shared" si="12"/>
        <v>183.61041121036101</v>
      </c>
      <c r="E46" s="1479">
        <f t="shared" si="29"/>
        <v>276.66850301795557</v>
      </c>
      <c r="F46" s="1479">
        <f t="shared" si="29"/>
        <v>165.1360938278614</v>
      </c>
      <c r="G46" s="3318">
        <v>2008</v>
      </c>
      <c r="H46" s="1467">
        <v>2</v>
      </c>
      <c r="I46" s="1467">
        <v>4.93</v>
      </c>
      <c r="J46" s="1467">
        <v>7.38</v>
      </c>
      <c r="K46" s="1467">
        <v>3.98</v>
      </c>
      <c r="L46" s="1481">
        <v>6.86</v>
      </c>
      <c r="N46" s="1474">
        <f t="shared" si="14"/>
        <v>4.9299999999999997E-2</v>
      </c>
      <c r="O46" s="1475">
        <f t="shared" si="14"/>
        <v>7.3800000000000004E-2</v>
      </c>
      <c r="P46" s="1475">
        <f t="shared" si="14"/>
        <v>3.9800000000000002E-2</v>
      </c>
      <c r="Q46" s="1475">
        <f t="shared" si="14"/>
        <v>6.8600000000000008E-2</v>
      </c>
      <c r="R46" s="1476"/>
      <c r="S46" s="1474"/>
      <c r="T46" s="1475"/>
      <c r="U46" s="1475"/>
      <c r="V46" s="1475"/>
    </row>
    <row r="47" spans="1:26" s="1519" customFormat="1" ht="13.5" thickBot="1">
      <c r="A47" s="1463" t="s">
        <v>1186</v>
      </c>
      <c r="B47" s="1516">
        <f t="shared" si="28"/>
        <v>196.62341248059772</v>
      </c>
      <c r="C47" s="1516">
        <f t="shared" si="28"/>
        <v>170.99125648199012</v>
      </c>
      <c r="D47" s="1516">
        <f t="shared" si="12"/>
        <v>170.99125648199012</v>
      </c>
      <c r="E47" s="1516">
        <f t="shared" si="29"/>
        <v>266.07857570490052</v>
      </c>
      <c r="F47" s="1516">
        <f t="shared" si="29"/>
        <v>154.53499328828505</v>
      </c>
      <c r="G47" s="3319">
        <v>2008</v>
      </c>
      <c r="H47" s="1517">
        <v>1</v>
      </c>
      <c r="I47" s="1517">
        <v>4.1399999999999997</v>
      </c>
      <c r="J47" s="1517">
        <v>3.45</v>
      </c>
      <c r="K47" s="1517">
        <v>4.95</v>
      </c>
      <c r="L47" s="1518">
        <v>4.82</v>
      </c>
      <c r="N47" s="1520">
        <f t="shared" si="14"/>
        <v>4.1399999999999999E-2</v>
      </c>
      <c r="O47" s="1521">
        <f t="shared" si="14"/>
        <v>3.4500000000000003E-2</v>
      </c>
      <c r="P47" s="1521">
        <f t="shared" si="14"/>
        <v>4.9500000000000002E-2</v>
      </c>
      <c r="Q47" s="1521">
        <f t="shared" si="14"/>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12"/>
        <v>165</v>
      </c>
      <c r="E48" s="1471">
        <v>254</v>
      </c>
      <c r="F48" s="1472">
        <v>148</v>
      </c>
      <c r="G48" s="3317">
        <v>2007</v>
      </c>
      <c r="H48" s="1524">
        <v>4</v>
      </c>
      <c r="I48" s="1524">
        <v>5.51</v>
      </c>
      <c r="J48" s="1524">
        <v>4.8899999999999997</v>
      </c>
      <c r="K48" s="1524">
        <v>6.43</v>
      </c>
      <c r="L48" s="1525">
        <v>5.36</v>
      </c>
      <c r="N48" s="1526">
        <f t="shared" ref="N48:O51" si="30">B48/B49-1</f>
        <v>4.1339718365245526E-2</v>
      </c>
      <c r="O48" s="1527">
        <f t="shared" si="30"/>
        <v>4.0324492593776018E-2</v>
      </c>
      <c r="P48" s="1527">
        <f t="shared" ref="P48:Q51" si="31">E48/E49-1</f>
        <v>6.1625555347990968E-2</v>
      </c>
      <c r="Q48" s="1527">
        <f t="shared" si="31"/>
        <v>4.6757569250590603E-2</v>
      </c>
      <c r="R48" s="1476"/>
      <c r="S48" s="1477"/>
      <c r="T48" s="1478"/>
      <c r="U48" s="1478"/>
      <c r="V48" s="1478"/>
      <c r="X48" s="1478"/>
      <c r="Y48" s="1478"/>
      <c r="Z48" s="1478"/>
    </row>
    <row r="49" spans="1:26">
      <c r="A49" s="1463" t="s">
        <v>1188</v>
      </c>
      <c r="B49" s="1479">
        <f t="shared" ref="B49:C51" si="32">B50+(B$48-B$52)*I49/SUM(I$48:I$51)</f>
        <v>180.5366651097618</v>
      </c>
      <c r="C49" s="1479">
        <f t="shared" si="32"/>
        <v>158.60435967302453</v>
      </c>
      <c r="D49" s="1479">
        <f t="shared" si="12"/>
        <v>158.60435967302453</v>
      </c>
      <c r="E49" s="1479">
        <f t="shared" ref="E49:F51" si="33">E50+(E$48-E$52)*K49/SUM(K$48:K$51)</f>
        <v>239.25573260785075</v>
      </c>
      <c r="F49" s="1479">
        <f t="shared" si="33"/>
        <v>141.38899430740037</v>
      </c>
      <c r="G49" s="3318">
        <v>2007</v>
      </c>
      <c r="H49" s="1489">
        <v>3</v>
      </c>
      <c r="I49" s="1489">
        <v>8.65</v>
      </c>
      <c r="J49" s="1489">
        <v>8.06</v>
      </c>
      <c r="K49" s="1489">
        <v>9.94</v>
      </c>
      <c r="L49" s="1490">
        <v>5.8</v>
      </c>
      <c r="N49" s="1526">
        <f t="shared" si="30"/>
        <v>6.940217571740015E-2</v>
      </c>
      <c r="O49" s="1527">
        <f t="shared" si="30"/>
        <v>7.1197482471153428E-2</v>
      </c>
      <c r="P49" s="1527">
        <f t="shared" si="31"/>
        <v>0.10529679922579582</v>
      </c>
      <c r="Q49" s="1527">
        <f t="shared" si="31"/>
        <v>5.3292245059512133E-2</v>
      </c>
      <c r="R49" s="1476"/>
      <c r="S49" s="1474"/>
      <c r="T49" s="1475"/>
      <c r="U49" s="1475"/>
      <c r="V49" s="1475"/>
      <c r="X49" s="1528"/>
      <c r="Y49" s="1528"/>
      <c r="Z49" s="1528"/>
    </row>
    <row r="50" spans="1:26">
      <c r="A50" s="1463" t="s">
        <v>1189</v>
      </c>
      <c r="B50" s="1479">
        <f t="shared" si="32"/>
        <v>168.82017748715555</v>
      </c>
      <c r="C50" s="1479">
        <f t="shared" si="32"/>
        <v>148.06267029972753</v>
      </c>
      <c r="D50" s="1479">
        <f t="shared" si="12"/>
        <v>148.06267029972753</v>
      </c>
      <c r="E50" s="1479">
        <f t="shared" si="33"/>
        <v>216.46288379323747</v>
      </c>
      <c r="F50" s="1479">
        <f t="shared" si="33"/>
        <v>134.23529411764704</v>
      </c>
      <c r="G50" s="3318">
        <v>2007</v>
      </c>
      <c r="H50" s="1467">
        <v>2</v>
      </c>
      <c r="I50" s="1467">
        <v>3.67</v>
      </c>
      <c r="J50" s="1467">
        <v>2.3199999999999998</v>
      </c>
      <c r="K50" s="1467">
        <v>5.0199999999999996</v>
      </c>
      <c r="L50" s="1481">
        <v>6.71</v>
      </c>
      <c r="N50" s="1526">
        <f t="shared" si="30"/>
        <v>3.0339138143848032E-2</v>
      </c>
      <c r="O50" s="1527">
        <f t="shared" si="30"/>
        <v>2.0922341588790472E-2</v>
      </c>
      <c r="P50" s="1527">
        <f t="shared" si="31"/>
        <v>5.6164796592717003E-2</v>
      </c>
      <c r="Q50" s="1527">
        <f t="shared" si="31"/>
        <v>6.5704536723887319E-2</v>
      </c>
      <c r="R50" s="1476"/>
      <c r="S50" s="1474"/>
      <c r="T50" s="1475"/>
      <c r="U50" s="1475"/>
      <c r="V50" s="1475"/>
      <c r="X50" s="1528"/>
      <c r="Y50" s="1528"/>
      <c r="Z50" s="1528"/>
    </row>
    <row r="51" spans="1:26">
      <c r="A51" s="1463" t="s">
        <v>1190</v>
      </c>
      <c r="B51" s="1479">
        <f t="shared" si="32"/>
        <v>163.84913591779542</v>
      </c>
      <c r="C51" s="1479">
        <f t="shared" si="32"/>
        <v>145.0283378746594</v>
      </c>
      <c r="D51" s="1479">
        <f t="shared" si="12"/>
        <v>145.0283378746594</v>
      </c>
      <c r="E51" s="1479">
        <f t="shared" si="33"/>
        <v>204.95180722891567</v>
      </c>
      <c r="F51" s="1479">
        <f t="shared" si="33"/>
        <v>125.95920303605313</v>
      </c>
      <c r="G51" s="3319">
        <v>2007</v>
      </c>
      <c r="H51" s="1466">
        <v>1</v>
      </c>
      <c r="I51" s="1466">
        <v>3.58</v>
      </c>
      <c r="J51" s="1466">
        <v>3.08</v>
      </c>
      <c r="K51" s="1466">
        <v>4.34</v>
      </c>
      <c r="L51" s="1480">
        <v>3.21</v>
      </c>
      <c r="N51" s="1529">
        <f t="shared" si="30"/>
        <v>3.0497710174814063E-2</v>
      </c>
      <c r="O51" s="1530">
        <f t="shared" si="30"/>
        <v>2.8569772160704998E-2</v>
      </c>
      <c r="P51" s="1530">
        <f t="shared" si="31"/>
        <v>5.1034908866234296E-2</v>
      </c>
      <c r="Q51" s="1530">
        <f t="shared" si="31"/>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12"/>
        <v>141</v>
      </c>
      <c r="E52" s="1492">
        <v>195</v>
      </c>
      <c r="F52" s="1493">
        <v>122</v>
      </c>
      <c r="G52" s="3317">
        <v>2006</v>
      </c>
      <c r="H52" s="1484">
        <v>4</v>
      </c>
      <c r="I52" s="1484">
        <v>3.79</v>
      </c>
      <c r="J52" s="1484">
        <v>2.21</v>
      </c>
      <c r="K52" s="1484">
        <v>5.65</v>
      </c>
      <c r="L52" s="1485">
        <v>5.41</v>
      </c>
      <c r="N52" s="1526">
        <f t="shared" ref="N52:O55" si="34">I52/SUM(I$52:I$55)*(B$52/B$56-1)</f>
        <v>7.245466462748526E-2</v>
      </c>
      <c r="O52" s="1527">
        <f t="shared" si="34"/>
        <v>2.3237230038062766E-2</v>
      </c>
      <c r="P52" s="1527">
        <f t="shared" ref="P52:Q55" si="35">K52/SUM(K$52:K$55)*(E$52/E$56-1)</f>
        <v>0.16146893866323722</v>
      </c>
      <c r="Q52" s="1527">
        <f t="shared" si="35"/>
        <v>5.0755230321793784E-2</v>
      </c>
      <c r="R52" s="1476"/>
      <c r="S52" s="1477"/>
      <c r="T52" s="1478"/>
      <c r="U52" s="1478"/>
      <c r="V52" s="1478"/>
      <c r="X52" s="1528"/>
      <c r="Y52" s="1528"/>
      <c r="Z52" s="1528"/>
    </row>
    <row r="53" spans="1:26">
      <c r="A53" s="1463" t="s">
        <v>1192</v>
      </c>
      <c r="B53" s="1479">
        <f t="shared" ref="B53:C55" si="36">B54+(B$52-B$56)*I53/SUM(I$52:I$55)</f>
        <v>149.00125628140702</v>
      </c>
      <c r="C53" s="1479">
        <f t="shared" si="36"/>
        <v>137.95592286501378</v>
      </c>
      <c r="D53" s="1479">
        <f t="shared" si="12"/>
        <v>137.95592286501378</v>
      </c>
      <c r="E53" s="1479">
        <f t="shared" ref="E53:F55" si="37">E54+(E$52-E$56)*K53/SUM(K$52:K$55)</f>
        <v>169.97231450719823</v>
      </c>
      <c r="F53" s="1479">
        <f t="shared" si="37"/>
        <v>116.21390374331551</v>
      </c>
      <c r="G53" s="3318">
        <v>2006</v>
      </c>
      <c r="H53" s="1489">
        <v>3</v>
      </c>
      <c r="I53" s="1489">
        <v>0.92</v>
      </c>
      <c r="J53" s="1489">
        <v>1.08</v>
      </c>
      <c r="K53" s="1489">
        <v>0.73</v>
      </c>
      <c r="L53" s="1490">
        <v>1.08</v>
      </c>
      <c r="N53" s="1526">
        <f t="shared" si="34"/>
        <v>1.7587939698492462E-2</v>
      </c>
      <c r="O53" s="1527">
        <f t="shared" si="34"/>
        <v>1.1355750425840628E-2</v>
      </c>
      <c r="P53" s="1527">
        <f t="shared" si="35"/>
        <v>2.0862358446754544E-2</v>
      </c>
      <c r="Q53" s="1527">
        <f t="shared" si="35"/>
        <v>1.0132282578103011E-2</v>
      </c>
      <c r="R53" s="1476"/>
      <c r="S53" s="1474"/>
      <c r="T53" s="1475"/>
      <c r="U53" s="1475"/>
      <c r="V53" s="1475"/>
      <c r="X53" s="1528"/>
      <c r="Y53" s="1528"/>
      <c r="Z53" s="1528"/>
    </row>
    <row r="54" spans="1:26">
      <c r="A54" s="1463" t="s">
        <v>1193</v>
      </c>
      <c r="B54" s="1479">
        <f t="shared" si="36"/>
        <v>146.57412060301507</v>
      </c>
      <c r="C54" s="1479">
        <f t="shared" si="36"/>
        <v>136.46831955922866</v>
      </c>
      <c r="D54" s="1479">
        <f t="shared" si="12"/>
        <v>136.46831955922866</v>
      </c>
      <c r="E54" s="1479">
        <f t="shared" si="37"/>
        <v>166.73864894795128</v>
      </c>
      <c r="F54" s="1479">
        <f t="shared" si="37"/>
        <v>115.05882352941177</v>
      </c>
      <c r="G54" s="3318">
        <v>2006</v>
      </c>
      <c r="H54" s="1467">
        <v>2</v>
      </c>
      <c r="I54" s="1467">
        <v>0.96</v>
      </c>
      <c r="J54" s="1467">
        <v>0.25</v>
      </c>
      <c r="K54" s="1467">
        <v>1.9</v>
      </c>
      <c r="L54" s="1481">
        <v>0.95</v>
      </c>
      <c r="N54" s="1526">
        <f t="shared" si="34"/>
        <v>1.8352632728861701E-2</v>
      </c>
      <c r="O54" s="1527">
        <f t="shared" si="34"/>
        <v>2.6286459319075526E-3</v>
      </c>
      <c r="P54" s="1527">
        <f t="shared" si="35"/>
        <v>5.4299289107991269E-2</v>
      </c>
      <c r="Q54" s="1527">
        <f t="shared" si="35"/>
        <v>8.9126559714794995E-3</v>
      </c>
      <c r="R54" s="1476"/>
      <c r="S54" s="1474"/>
      <c r="T54" s="1475"/>
      <c r="U54" s="1475"/>
      <c r="V54" s="1475"/>
      <c r="X54" s="1528"/>
      <c r="Y54" s="1528"/>
      <c r="Z54" s="1528"/>
    </row>
    <row r="55" spans="1:26">
      <c r="A55" s="1463" t="s">
        <v>1194</v>
      </c>
      <c r="B55" s="1479">
        <f t="shared" si="36"/>
        <v>144.04145728643215</v>
      </c>
      <c r="C55" s="1479">
        <f t="shared" si="36"/>
        <v>136.12396694214877</v>
      </c>
      <c r="D55" s="1479">
        <f t="shared" si="12"/>
        <v>136.12396694214877</v>
      </c>
      <c r="E55" s="1479">
        <f t="shared" si="37"/>
        <v>158.32225913621264</v>
      </c>
      <c r="F55" s="1479">
        <f t="shared" si="37"/>
        <v>114.04278074866311</v>
      </c>
      <c r="G55" s="3319">
        <v>2006</v>
      </c>
      <c r="H55" s="1466">
        <v>1</v>
      </c>
      <c r="I55" s="1466">
        <v>2.29</v>
      </c>
      <c r="J55" s="1466">
        <v>3.72</v>
      </c>
      <c r="K55" s="1466">
        <v>0.75</v>
      </c>
      <c r="L55" s="1480">
        <v>0.04</v>
      </c>
      <c r="N55" s="1529">
        <f t="shared" si="34"/>
        <v>4.3778675988638847E-2</v>
      </c>
      <c r="O55" s="1530">
        <f t="shared" si="34"/>
        <v>3.9114251466784385E-2</v>
      </c>
      <c r="P55" s="1530">
        <f t="shared" si="35"/>
        <v>2.1433929911049188E-2</v>
      </c>
      <c r="Q55" s="1530">
        <f t="shared" si="35"/>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12"/>
        <v>131</v>
      </c>
      <c r="E56" s="1492">
        <v>155</v>
      </c>
      <c r="F56" s="1493">
        <v>114</v>
      </c>
      <c r="G56" s="3317">
        <v>2005</v>
      </c>
      <c r="H56" s="1484">
        <v>4</v>
      </c>
      <c r="I56" s="1484">
        <v>3.29</v>
      </c>
      <c r="J56" s="1484">
        <v>1.44</v>
      </c>
      <c r="K56" s="1484">
        <v>0.66</v>
      </c>
      <c r="L56" s="1485">
        <v>7.78</v>
      </c>
      <c r="N56" s="1526">
        <f t="shared" ref="N56:O59" si="38">I56/SUM(I$56:I$59)*(B$56/B$60-1)</f>
        <v>9.9404603216919935E-2</v>
      </c>
      <c r="O56" s="1527">
        <f t="shared" si="38"/>
        <v>4.7636550760861554E-2</v>
      </c>
      <c r="P56" s="1527">
        <f t="shared" ref="P56:Q59" si="39">K56/SUM(K$56:K$59)*(E$56/E$60-1)</f>
        <v>8.3756345177664976E-2</v>
      </c>
      <c r="Q56" s="1527">
        <f t="shared" si="39"/>
        <v>5.2148766661559584E-2</v>
      </c>
      <c r="R56" s="1476"/>
      <c r="S56" s="1477"/>
      <c r="T56" s="1478"/>
      <c r="U56" s="1478"/>
      <c r="V56" s="1478"/>
      <c r="X56" s="1528"/>
      <c r="Y56" s="1528"/>
      <c r="Z56" s="1528"/>
    </row>
    <row r="57" spans="1:26">
      <c r="A57" s="1463" t="s">
        <v>1196</v>
      </c>
      <c r="B57" s="1479">
        <f t="shared" ref="B57:C59" si="40">B58+(B$56-B$60)*I57/SUM(I$56:I$59)</f>
        <v>125.9720430107527</v>
      </c>
      <c r="C57" s="1479">
        <f t="shared" si="40"/>
        <v>125.1883408071749</v>
      </c>
      <c r="D57" s="1479">
        <f t="shared" si="12"/>
        <v>125.1883408071749</v>
      </c>
      <c r="E57" s="1479">
        <f t="shared" ref="E57:F59" si="41">E58+(E$56-E$60)*K57/SUM(K$56:K$59)</f>
        <v>144.61421319796952</v>
      </c>
      <c r="F57" s="1479">
        <f t="shared" si="41"/>
        <v>108.42008196721311</v>
      </c>
      <c r="G57" s="3318">
        <v>2005</v>
      </c>
      <c r="H57" s="1489">
        <v>3</v>
      </c>
      <c r="I57" s="1489">
        <v>0.46</v>
      </c>
      <c r="J57" s="1489">
        <v>0.32</v>
      </c>
      <c r="K57" s="1489">
        <v>0.42</v>
      </c>
      <c r="L57" s="1490">
        <v>0.64</v>
      </c>
      <c r="N57" s="1526">
        <f t="shared" si="38"/>
        <v>1.3898515951301874E-2</v>
      </c>
      <c r="O57" s="1527">
        <f t="shared" si="38"/>
        <v>1.0585900169080346E-2</v>
      </c>
      <c r="P57" s="1527">
        <f t="shared" si="39"/>
        <v>5.3299492385786795E-2</v>
      </c>
      <c r="Q57" s="1527">
        <f t="shared" si="39"/>
        <v>4.2898728359123568E-3</v>
      </c>
      <c r="R57" s="1476"/>
      <c r="S57" s="1474"/>
      <c r="T57" s="1475"/>
      <c r="U57" s="1475"/>
      <c r="V57" s="1475"/>
      <c r="X57" s="1528"/>
      <c r="Y57" s="1528"/>
      <c r="Z57" s="1528"/>
    </row>
    <row r="58" spans="1:26">
      <c r="A58" s="1463" t="s">
        <v>1197</v>
      </c>
      <c r="B58" s="1479">
        <f t="shared" si="40"/>
        <v>124.29032258064517</v>
      </c>
      <c r="C58" s="1479">
        <f t="shared" si="40"/>
        <v>123.8968609865471</v>
      </c>
      <c r="D58" s="1479">
        <f t="shared" si="12"/>
        <v>123.8968609865471</v>
      </c>
      <c r="E58" s="1479">
        <f t="shared" si="41"/>
        <v>138.00507614213197</v>
      </c>
      <c r="F58" s="1479">
        <f t="shared" si="41"/>
        <v>107.96106557377048</v>
      </c>
      <c r="G58" s="3318">
        <v>2005</v>
      </c>
      <c r="H58" s="1467">
        <v>2</v>
      </c>
      <c r="I58" s="1467">
        <v>0.47</v>
      </c>
      <c r="J58" s="1467">
        <v>0.1</v>
      </c>
      <c r="K58" s="1467">
        <v>0.52</v>
      </c>
      <c r="L58" s="1481">
        <v>0.79</v>
      </c>
      <c r="N58" s="1526">
        <f t="shared" si="38"/>
        <v>1.420065760241713E-2</v>
      </c>
      <c r="O58" s="1527">
        <f t="shared" si="38"/>
        <v>3.3080938028376083E-3</v>
      </c>
      <c r="P58" s="1527">
        <f t="shared" si="39"/>
        <v>6.598984771573603E-2</v>
      </c>
      <c r="Q58" s="1527">
        <f t="shared" si="39"/>
        <v>5.2953117818293153E-3</v>
      </c>
      <c r="R58" s="1476"/>
      <c r="S58" s="1474"/>
      <c r="T58" s="1475"/>
      <c r="U58" s="1475"/>
      <c r="V58" s="1475"/>
      <c r="X58" s="1528"/>
      <c r="Y58" s="1528"/>
      <c r="Z58" s="1528"/>
    </row>
    <row r="59" spans="1:26">
      <c r="A59" s="1463" t="s">
        <v>1198</v>
      </c>
      <c r="B59" s="1479">
        <f t="shared" si="40"/>
        <v>122.57204301075269</v>
      </c>
      <c r="C59" s="1479">
        <f t="shared" si="40"/>
        <v>123.4932735426009</v>
      </c>
      <c r="D59" s="1479">
        <f t="shared" si="12"/>
        <v>123.4932735426009</v>
      </c>
      <c r="E59" s="1479">
        <f t="shared" si="41"/>
        <v>129.82233502538071</v>
      </c>
      <c r="F59" s="1479">
        <f t="shared" si="41"/>
        <v>107.39446721311475</v>
      </c>
      <c r="G59" s="3319">
        <v>2005</v>
      </c>
      <c r="H59" s="1466">
        <v>1</v>
      </c>
      <c r="I59" s="1466">
        <v>0.43</v>
      </c>
      <c r="J59" s="1466">
        <v>0.37</v>
      </c>
      <c r="K59" s="1466">
        <v>0.37</v>
      </c>
      <c r="L59" s="1480">
        <v>0.55000000000000004</v>
      </c>
      <c r="N59" s="1529">
        <f t="shared" si="38"/>
        <v>1.2992090997956099E-2</v>
      </c>
      <c r="O59" s="1530">
        <f t="shared" si="38"/>
        <v>1.2239947070499151E-2</v>
      </c>
      <c r="P59" s="1530">
        <f t="shared" si="39"/>
        <v>4.6954314720812178E-2</v>
      </c>
      <c r="Q59" s="1530">
        <f t="shared" si="39"/>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12"/>
        <v>122</v>
      </c>
      <c r="E60" s="1513">
        <v>124</v>
      </c>
      <c r="F60" s="1514">
        <v>107</v>
      </c>
      <c r="G60" s="3317">
        <v>2004</v>
      </c>
      <c r="H60" s="1484">
        <v>4</v>
      </c>
      <c r="I60" s="1484">
        <v>0.33</v>
      </c>
      <c r="J60" s="1484">
        <v>0.5</v>
      </c>
      <c r="K60" s="1484">
        <v>0.5</v>
      </c>
      <c r="L60" s="1485">
        <v>0</v>
      </c>
      <c r="N60" s="1526">
        <f t="shared" ref="N60:O63" si="42">I60/SUM(I$60:I$63)*(B$60/B$64-1)</f>
        <v>1.3391770148526898E-2</v>
      </c>
      <c r="O60" s="1527">
        <f t="shared" si="42"/>
        <v>1.063264221158958E-2</v>
      </c>
      <c r="P60" s="1527">
        <f t="shared" ref="P60:Q63" si="43">K60/SUM(K$60:K$63)*(E$60/E$64-1)</f>
        <v>2.2244466688911134E-2</v>
      </c>
      <c r="Q60" s="1527">
        <f t="shared" si="43"/>
        <v>0</v>
      </c>
      <c r="R60" s="1476"/>
      <c r="S60" s="1477"/>
      <c r="T60" s="1478"/>
      <c r="U60" s="1478"/>
      <c r="V60" s="1478"/>
      <c r="X60" s="1528"/>
      <c r="Y60" s="1528"/>
      <c r="Z60" s="1528"/>
    </row>
    <row r="61" spans="1:26">
      <c r="A61" s="1463" t="s">
        <v>1200</v>
      </c>
      <c r="B61" s="1479">
        <f t="shared" ref="B61:C63" si="44">B62+(B$60-B$64)*I61/SUM(I$60:I$63)</f>
        <v>119.51351351351352</v>
      </c>
      <c r="C61" s="1479">
        <f t="shared" si="44"/>
        <v>120.7878787878788</v>
      </c>
      <c r="D61" s="1479">
        <f t="shared" si="12"/>
        <v>120.7878787878788</v>
      </c>
      <c r="E61" s="1479">
        <f t="shared" ref="E61:F63" si="45">E62+(E$60-E$64)*K61/SUM(K$60:K$63)</f>
        <v>121.5975975975976</v>
      </c>
      <c r="F61" s="1479">
        <f t="shared" si="45"/>
        <v>107</v>
      </c>
      <c r="G61" s="3318">
        <v>2004</v>
      </c>
      <c r="H61" s="1489">
        <v>3</v>
      </c>
      <c r="I61" s="1489">
        <v>0.56000000000000005</v>
      </c>
      <c r="J61" s="1489">
        <v>0.8</v>
      </c>
      <c r="K61" s="1489">
        <v>0.83</v>
      </c>
      <c r="L61" s="1490">
        <v>0.06</v>
      </c>
      <c r="N61" s="1526">
        <f t="shared" si="42"/>
        <v>2.2725428130833527E-2</v>
      </c>
      <c r="O61" s="1527">
        <f t="shared" si="42"/>
        <v>1.7012227538543329E-2</v>
      </c>
      <c r="P61" s="1527">
        <f t="shared" si="43"/>
        <v>3.6925814703592477E-2</v>
      </c>
      <c r="Q61" s="1527">
        <f t="shared" si="43"/>
        <v>2.8846153846153744E-2</v>
      </c>
      <c r="R61" s="1476"/>
      <c r="S61" s="1474"/>
      <c r="T61" s="1475"/>
      <c r="U61" s="1475"/>
      <c r="V61" s="1475"/>
      <c r="X61" s="1528"/>
      <c r="Y61" s="1528"/>
      <c r="Z61" s="1528"/>
    </row>
    <row r="62" spans="1:26">
      <c r="A62" s="1463" t="s">
        <v>1201</v>
      </c>
      <c r="B62" s="1479">
        <f t="shared" si="44"/>
        <v>116.99099099099099</v>
      </c>
      <c r="C62" s="1479">
        <f t="shared" si="44"/>
        <v>118.84848484848486</v>
      </c>
      <c r="D62" s="1479">
        <f t="shared" si="12"/>
        <v>118.84848484848486</v>
      </c>
      <c r="E62" s="1479">
        <f t="shared" si="45"/>
        <v>117.60960960960961</v>
      </c>
      <c r="F62" s="1479">
        <f t="shared" si="45"/>
        <v>104</v>
      </c>
      <c r="G62" s="3318">
        <v>2004</v>
      </c>
      <c r="H62" s="1467">
        <v>2</v>
      </c>
      <c r="I62" s="1467">
        <v>1</v>
      </c>
      <c r="J62" s="1467">
        <v>1.5</v>
      </c>
      <c r="K62" s="1467">
        <v>1.5</v>
      </c>
      <c r="L62" s="1481">
        <v>0</v>
      </c>
      <c r="N62" s="1526">
        <f t="shared" si="42"/>
        <v>4.0581121662202721E-2</v>
      </c>
      <c r="O62" s="1527">
        <f t="shared" si="42"/>
        <v>3.1897926634768738E-2</v>
      </c>
      <c r="P62" s="1527">
        <f t="shared" si="43"/>
        <v>6.6733400066733395E-2</v>
      </c>
      <c r="Q62" s="1527">
        <f t="shared" si="43"/>
        <v>0</v>
      </c>
      <c r="R62" s="1476"/>
      <c r="S62" s="1474"/>
      <c r="T62" s="1475"/>
      <c r="U62" s="1475"/>
      <c r="V62" s="1475"/>
      <c r="X62" s="1528"/>
      <c r="Y62" s="1528"/>
      <c r="Z62" s="1528"/>
    </row>
    <row r="63" spans="1:26" s="1519" customFormat="1" ht="13.5" thickBot="1">
      <c r="A63" s="1463" t="s">
        <v>1202</v>
      </c>
      <c r="B63" s="1516">
        <f t="shared" si="44"/>
        <v>112.48648648648648</v>
      </c>
      <c r="C63" s="1516">
        <f t="shared" si="44"/>
        <v>115.21212121212122</v>
      </c>
      <c r="D63" s="1516">
        <f t="shared" si="12"/>
        <v>115.21212121212122</v>
      </c>
      <c r="E63" s="1516">
        <f t="shared" si="45"/>
        <v>110.4024024024024</v>
      </c>
      <c r="F63" s="1516">
        <f t="shared" si="45"/>
        <v>104</v>
      </c>
      <c r="G63" s="3319">
        <v>2004</v>
      </c>
      <c r="H63" s="1517">
        <v>1</v>
      </c>
      <c r="I63" s="1517">
        <v>0.33</v>
      </c>
      <c r="J63" s="1517">
        <v>0.5</v>
      </c>
      <c r="K63" s="1517">
        <v>0.5</v>
      </c>
      <c r="L63" s="1518">
        <v>0</v>
      </c>
      <c r="N63" s="1531">
        <f t="shared" si="42"/>
        <v>1.3391770148526898E-2</v>
      </c>
      <c r="O63" s="1532">
        <f t="shared" si="42"/>
        <v>1.063264221158958E-2</v>
      </c>
      <c r="P63" s="1532">
        <f t="shared" si="43"/>
        <v>2.2244466688911134E-2</v>
      </c>
      <c r="Q63" s="1532">
        <f t="shared" si="43"/>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12"/>
        <v>114</v>
      </c>
      <c r="E64" s="1534">
        <v>108</v>
      </c>
      <c r="F64" s="1535">
        <v>104</v>
      </c>
      <c r="G64" s="331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46">B66+(B$64-B$68)/4</f>
        <v>109.75</v>
      </c>
      <c r="C65" s="1538">
        <f t="shared" si="46"/>
        <v>112.25</v>
      </c>
      <c r="D65" s="1538">
        <f t="shared" si="12"/>
        <v>112.25</v>
      </c>
      <c r="E65" s="1538">
        <f t="shared" ref="E65:F67" si="47">E66+(E$64-E$68)/4</f>
        <v>107.25</v>
      </c>
      <c r="F65" s="1538">
        <f t="shared" si="47"/>
        <v>103.5</v>
      </c>
      <c r="G65" s="3318">
        <v>2003</v>
      </c>
      <c r="H65" s="1489">
        <v>3</v>
      </c>
      <c r="I65" s="1536"/>
      <c r="J65" s="1536"/>
      <c r="K65" s="1536"/>
      <c r="L65" s="1536"/>
      <c r="X65" s="1528"/>
      <c r="Y65" s="1528"/>
      <c r="Z65" s="1528"/>
    </row>
    <row r="66" spans="1:26">
      <c r="A66" s="1463" t="s">
        <v>1205</v>
      </c>
      <c r="B66" s="1538">
        <f t="shared" si="46"/>
        <v>108.5</v>
      </c>
      <c r="C66" s="1538">
        <f t="shared" si="46"/>
        <v>110.5</v>
      </c>
      <c r="D66" s="1538">
        <f t="shared" si="12"/>
        <v>110.5</v>
      </c>
      <c r="E66" s="1538">
        <f t="shared" si="47"/>
        <v>106.5</v>
      </c>
      <c r="F66" s="1538">
        <f t="shared" si="47"/>
        <v>103</v>
      </c>
      <c r="G66" s="3318">
        <v>2003</v>
      </c>
      <c r="H66" s="1467">
        <v>2</v>
      </c>
      <c r="I66" s="1536"/>
      <c r="J66" s="1536"/>
      <c r="K66" s="1536"/>
      <c r="L66" s="1536"/>
      <c r="X66" s="1528"/>
      <c r="Y66" s="1528"/>
      <c r="Z66" s="1528"/>
    </row>
    <row r="67" spans="1:26" ht="13.5" thickBot="1">
      <c r="A67" s="1463" t="s">
        <v>1206</v>
      </c>
      <c r="B67" s="1538">
        <f t="shared" si="46"/>
        <v>107.25</v>
      </c>
      <c r="C67" s="1538">
        <f t="shared" si="46"/>
        <v>108.75</v>
      </c>
      <c r="D67" s="1538">
        <f t="shared" si="12"/>
        <v>108.75</v>
      </c>
      <c r="E67" s="1538">
        <f t="shared" si="47"/>
        <v>105.75</v>
      </c>
      <c r="F67" s="1538">
        <f t="shared" si="47"/>
        <v>102.5</v>
      </c>
      <c r="G67" s="331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12"/>
        <v>107</v>
      </c>
      <c r="E68" s="1540">
        <v>105</v>
      </c>
      <c r="F68" s="1541">
        <v>102</v>
      </c>
      <c r="G68" s="331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48">B70+(B$68-B$72)/4</f>
        <v>105</v>
      </c>
      <c r="C69" s="1538">
        <f t="shared" si="48"/>
        <v>106</v>
      </c>
      <c r="D69" s="1538">
        <f t="shared" si="12"/>
        <v>106</v>
      </c>
      <c r="E69" s="1538">
        <f t="shared" ref="E69:F71" si="49">E70+(E$68-E$72)/4</f>
        <v>104.5</v>
      </c>
      <c r="F69" s="1538">
        <f t="shared" si="49"/>
        <v>101.5</v>
      </c>
      <c r="G69" s="3318">
        <v>2002</v>
      </c>
      <c r="H69" s="1489">
        <v>3</v>
      </c>
      <c r="I69" s="1536"/>
      <c r="J69" s="1536"/>
      <c r="K69" s="1536"/>
      <c r="L69" s="1536"/>
      <c r="X69" s="1528"/>
      <c r="Y69" s="1528"/>
      <c r="Z69" s="1528"/>
    </row>
    <row r="70" spans="1:26">
      <c r="A70" s="1463" t="s">
        <v>1209</v>
      </c>
      <c r="B70" s="1538">
        <f t="shared" si="48"/>
        <v>104</v>
      </c>
      <c r="C70" s="1538">
        <f t="shared" si="48"/>
        <v>105</v>
      </c>
      <c r="D70" s="1538">
        <f t="shared" si="12"/>
        <v>105</v>
      </c>
      <c r="E70" s="1538">
        <f t="shared" si="49"/>
        <v>104</v>
      </c>
      <c r="F70" s="1538">
        <f t="shared" si="49"/>
        <v>101</v>
      </c>
      <c r="G70" s="3318">
        <v>2002</v>
      </c>
      <c r="H70" s="1467">
        <v>2</v>
      </c>
      <c r="I70" s="1536"/>
      <c r="J70" s="1536"/>
      <c r="K70" s="1536"/>
      <c r="L70" s="1536"/>
      <c r="X70" s="1528"/>
      <c r="Y70" s="1528"/>
      <c r="Z70" s="1528"/>
    </row>
    <row r="71" spans="1:26" s="1500" customFormat="1" ht="13.5" thickBot="1">
      <c r="A71" s="1496" t="s">
        <v>1210</v>
      </c>
      <c r="B71" s="1542">
        <f t="shared" si="48"/>
        <v>103</v>
      </c>
      <c r="C71" s="1542">
        <f t="shared" si="48"/>
        <v>104</v>
      </c>
      <c r="D71" s="1542">
        <f t="shared" si="12"/>
        <v>104</v>
      </c>
      <c r="E71" s="1542">
        <f t="shared" si="49"/>
        <v>103.5</v>
      </c>
      <c r="F71" s="1542">
        <f t="shared" si="49"/>
        <v>100.5</v>
      </c>
      <c r="G71" s="3319">
        <v>2002</v>
      </c>
      <c r="H71" s="1543">
        <v>1</v>
      </c>
      <c r="I71" s="1544"/>
      <c r="J71" s="1544"/>
      <c r="K71" s="1544"/>
      <c r="L71" s="1544"/>
      <c r="N71" s="1545"/>
      <c r="S71" s="1545"/>
      <c r="X71" s="1546"/>
      <c r="Y71" s="1546"/>
      <c r="Z71" s="1546"/>
    </row>
    <row r="72" spans="1:26" ht="13.5" thickBot="1">
      <c r="B72" s="1547">
        <v>102</v>
      </c>
      <c r="C72" s="1548">
        <v>103</v>
      </c>
      <c r="D72" s="1548">
        <f t="shared" si="12"/>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3005</v>
      </c>
      <c r="C1" s="3326" t="s">
        <v>3006</v>
      </c>
      <c r="D1" s="3327"/>
      <c r="E1" s="3327"/>
      <c r="F1" s="3327"/>
      <c r="G1" s="3327"/>
      <c r="H1" s="3327"/>
      <c r="I1" s="3327"/>
      <c r="J1" s="3327"/>
      <c r="K1" s="3327"/>
      <c r="L1" s="3327"/>
      <c r="M1" s="3327"/>
      <c r="N1" s="3327"/>
      <c r="O1" s="3327"/>
      <c r="P1" s="3327"/>
      <c r="Q1" s="3327"/>
      <c r="R1" s="3327"/>
      <c r="S1" s="3328"/>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3009</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3010</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3011</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3015</v>
      </c>
      <c r="B17" s="2914"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3017</v>
      </c>
      <c r="E19" s="1793"/>
      <c r="F19" s="1793"/>
      <c r="G19" s="1793"/>
      <c r="H19" s="1282"/>
      <c r="I19" s="168"/>
      <c r="J19" s="168"/>
      <c r="K19" s="168"/>
      <c r="L19" s="168"/>
      <c r="M19" s="168"/>
      <c r="N19" s="168"/>
      <c r="O19" s="168"/>
      <c r="P19" s="168"/>
      <c r="Q19" s="168"/>
      <c r="R19" s="787"/>
      <c r="S19" s="138"/>
    </row>
    <row r="20" spans="1:45" ht="16.5" thickBot="1">
      <c r="A20" s="715" t="s">
        <v>3018</v>
      </c>
      <c r="B20" s="338" t="e">
        <f ca="1">IF(D20="——",S22,S22-F20)</f>
        <v>#REF!</v>
      </c>
      <c r="C20" s="168"/>
      <c r="D20" s="2916" t="s">
        <v>3019</v>
      </c>
      <c r="E20" s="1794"/>
      <c r="F20" s="1206" t="e">
        <f ca="1">SUMIF(INDIRECT("'"&amp;H20&amp;"'"&amp;"!A:A"),"承租人权益价值",INDIRECT("'"&amp;H20&amp;"'"&amp;"!c:c"))</f>
        <v>#REF!</v>
      </c>
      <c r="G20" s="1206" t="s">
        <v>3020</v>
      </c>
      <c r="H20" s="2917"/>
      <c r="I20" s="168"/>
      <c r="J20" s="168"/>
      <c r="K20" s="168"/>
      <c r="L20" s="168"/>
      <c r="M20" s="168"/>
      <c r="N20" s="168"/>
      <c r="O20" s="168"/>
      <c r="P20" s="168"/>
      <c r="Q20" s="168"/>
      <c r="R20" s="787"/>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7"/>
      <c r="S21" s="138"/>
    </row>
    <row r="22" spans="1:45">
      <c r="A22" s="361" t="s">
        <v>3022</v>
      </c>
      <c r="B22" s="24">
        <f>SUM(B24:B10000)</f>
        <v>100</v>
      </c>
      <c r="C22" s="3107" t="s">
        <v>33</v>
      </c>
      <c r="D22" s="3108"/>
      <c r="E22" s="3108"/>
      <c r="F22" s="3108"/>
      <c r="G22" s="3108"/>
      <c r="H22" s="3108"/>
      <c r="I22" s="3108"/>
      <c r="J22" s="3108"/>
      <c r="K22" s="3108"/>
      <c r="L22" s="3108"/>
      <c r="M22" s="3108"/>
      <c r="N22" s="3108"/>
      <c r="O22" s="3108"/>
      <c r="P22" s="3108"/>
      <c r="Q22" s="3325"/>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2"/>
      <c r="B4" s="3010" t="s">
        <v>1630</v>
      </c>
      <c r="C4" s="3010"/>
      <c r="D4" s="3010"/>
      <c r="E4" s="1962"/>
    </row>
    <row r="5" spans="1:5" ht="16.5" thickTop="1">
      <c r="A5" s="1960"/>
      <c r="B5" s="3008" t="s">
        <v>1622</v>
      </c>
      <c r="C5" s="1963" t="s">
        <v>1623</v>
      </c>
      <c r="D5" s="1042">
        <f ca="1">结果表!H101</f>
        <v>261813</v>
      </c>
      <c r="E5" s="1960"/>
    </row>
    <row r="6" spans="1:5" ht="15.75">
      <c r="A6" s="1960"/>
      <c r="B6" s="3008"/>
      <c r="C6" s="1963" t="s">
        <v>1624</v>
      </c>
      <c r="D6" s="1042" t="str">
        <f ca="1">NUMBERSTRING(INT(D5*10000),2)&amp;"元整"</f>
        <v>贰拾陆亿壹仟捌佰壹拾叁万元整</v>
      </c>
      <c r="E6" s="1960"/>
    </row>
    <row r="7" spans="1:5" ht="15.75">
      <c r="A7" s="1960"/>
      <c r="B7" s="3013"/>
      <c r="C7" s="1964" t="s">
        <v>1625</v>
      </c>
      <c r="D7" s="1043">
        <f ca="1">结果表!H102</f>
        <v>44055</v>
      </c>
      <c r="E7" s="1960"/>
    </row>
    <row r="8" spans="1:5" ht="15.75">
      <c r="A8" s="1960"/>
      <c r="B8" s="3014" t="str">
        <f>结果表!E103</f>
        <v>2.估价师知悉的法定优先受偿款</v>
      </c>
      <c r="C8" s="1965" t="s">
        <v>1626</v>
      </c>
      <c r="D8" s="1043">
        <f>结果表!H103</f>
        <v>0</v>
      </c>
      <c r="E8" s="1960"/>
    </row>
    <row r="9" spans="1:5" ht="15.75">
      <c r="A9" s="1960"/>
      <c r="B9" s="3016"/>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07" t="str">
        <f>结果表!E107</f>
        <v>3.房地产抵押价值</v>
      </c>
      <c r="C13" s="1968" t="s">
        <v>1623</v>
      </c>
      <c r="D13" s="1045">
        <f ca="1">结果表!H107</f>
        <v>261813</v>
      </c>
      <c r="E13" s="1960"/>
    </row>
    <row r="14" spans="1:5" ht="15.75">
      <c r="A14" s="1960"/>
      <c r="B14" s="3008"/>
      <c r="C14" s="1963" t="s">
        <v>1624</v>
      </c>
      <c r="D14" s="1042" t="str">
        <f ca="1">NUMBERSTRING(INT(D13*10000),2)&amp;"元整"</f>
        <v>贰拾陆亿壹仟捌佰壹拾叁万元整</v>
      </c>
      <c r="E14" s="1960"/>
    </row>
    <row r="15" spans="1:5" ht="15">
      <c r="A15" s="1960"/>
      <c r="B15" s="3013"/>
      <c r="C15" s="1964" t="s">
        <v>1634</v>
      </c>
      <c r="D15" s="1054">
        <f ca="1">结果表!H108</f>
        <v>44055</v>
      </c>
      <c r="E15" s="1960"/>
    </row>
    <row r="16" spans="1:5" ht="15">
      <c r="A16" s="1960"/>
      <c r="B16" s="3014" t="str">
        <f>结果表!E109</f>
        <v>——</v>
      </c>
      <c r="C16" s="1968" t="s">
        <v>1635</v>
      </c>
      <c r="D16" s="1969" t="str">
        <f>结果表!H109</f>
        <v>——</v>
      </c>
      <c r="E16" s="1960"/>
    </row>
    <row r="17" spans="1:5" ht="15.75">
      <c r="A17" s="1960"/>
      <c r="B17" s="3015"/>
      <c r="C17" s="1963" t="s">
        <v>1636</v>
      </c>
      <c r="D17" s="1042" t="e">
        <f>NUMBERSTRING(INT(D16*10000),2)&amp;"元整"</f>
        <v>#VALUE!</v>
      </c>
      <c r="E17" s="1960"/>
    </row>
    <row r="18" spans="1:5" ht="15">
      <c r="A18" s="1960"/>
      <c r="B18" s="3016"/>
      <c r="C18" s="1964" t="s">
        <v>1625</v>
      </c>
      <c r="D18" s="1054" t="str">
        <f>结果表!H110</f>
        <v>——</v>
      </c>
      <c r="E18" s="1960"/>
    </row>
    <row r="19" spans="1:5" ht="15.75">
      <c r="A19" s="1960"/>
      <c r="B19" s="3007" t="str">
        <f>结果表!E111</f>
        <v>——</v>
      </c>
      <c r="C19" s="1968" t="s">
        <v>1623</v>
      </c>
      <c r="D19" s="1043" t="str">
        <f>结果表!H111</f>
        <v>——</v>
      </c>
      <c r="E19" s="1960"/>
    </row>
    <row r="20" spans="1:5" ht="15.75">
      <c r="A20" s="1960"/>
      <c r="B20" s="3008"/>
      <c r="C20" s="1963" t="s">
        <v>1636</v>
      </c>
      <c r="D20" s="1042" t="e">
        <f>NUMBERSTRING(INT(D19*10000),2)&amp;"元整"</f>
        <v>#VALUE!</v>
      </c>
      <c r="E20" s="1960"/>
    </row>
    <row r="21" spans="1:5" ht="15.75" thickBot="1">
      <c r="A21" s="1960"/>
      <c r="B21" s="3009"/>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61611</v>
      </c>
      <c r="C2" s="2" t="s">
        <v>133</v>
      </c>
      <c r="D2" s="243"/>
      <c r="E2" s="243"/>
      <c r="F2" s="243"/>
      <c r="G2" s="243"/>
    </row>
    <row r="3" spans="1:7" s="244" customFormat="1" ht="18" customHeight="1" thickBot="1">
      <c r="A3" s="247" t="s">
        <v>85</v>
      </c>
      <c r="B3" s="248">
        <f ca="1">ROUND(B2*10000/'数据-汇总表'!E3,0)</f>
        <v>10367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39446.86</v>
      </c>
      <c r="E9" s="269">
        <f>'数据-取费表'!B27</f>
        <v>0</v>
      </c>
      <c r="F9" s="265"/>
      <c r="G9" s="270"/>
    </row>
    <row r="10" spans="1:7" s="258" customFormat="1" ht="13.5" customHeight="1">
      <c r="A10" s="952" t="s">
        <v>801</v>
      </c>
      <c r="B10" s="268" t="s">
        <v>94</v>
      </c>
      <c r="C10" s="269">
        <f>ROUND(D10*E10/10000,0)</f>
        <v>0</v>
      </c>
      <c r="D10" s="1034">
        <f>'数据-汇总表'!E6</f>
        <v>19982.060000000027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1189</v>
      </c>
      <c r="D19" s="1038">
        <f>'数据-汇总表'!E3</f>
        <v>59428.920000000027</v>
      </c>
      <c r="E19" s="255">
        <f>'数据-取费表'!B31</f>
        <v>200</v>
      </c>
      <c r="F19" s="275"/>
      <c r="G19" s="1" t="s">
        <v>1074</v>
      </c>
    </row>
    <row r="20" spans="1:7" s="258" customFormat="1" ht="13.5" customHeight="1">
      <c r="A20" s="950" t="s">
        <v>1057</v>
      </c>
      <c r="B20" s="254" t="s">
        <v>104</v>
      </c>
      <c r="C20" s="276">
        <f>ROUND((C5+C19)*F20,0)</f>
        <v>654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1376</v>
      </c>
      <c r="D22" s="279">
        <f ca="1">C26</f>
        <v>8.9999999999999998E-4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1282</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8.9999999999999998E-4</v>
      </c>
      <c r="D26" s="282"/>
      <c r="E26" s="285"/>
      <c r="F26" s="283"/>
      <c r="G26" s="287"/>
    </row>
    <row r="27" spans="1:7" s="258" customFormat="1" ht="24.75">
      <c r="A27" s="950" t="s">
        <v>787</v>
      </c>
      <c r="B27" s="288" t="s">
        <v>112</v>
      </c>
      <c r="C27" s="289">
        <f>C28</f>
        <v>4281</v>
      </c>
      <c r="D27" s="279">
        <f>C29</f>
        <v>5.7000000000000002E-3</v>
      </c>
      <c r="E27" s="280" t="s">
        <v>126</v>
      </c>
      <c r="F27" s="290">
        <f>'数据-取费表'!Q16</f>
        <v>0.22</v>
      </c>
      <c r="G27" s="291" t="s">
        <v>1069</v>
      </c>
    </row>
    <row r="28" spans="1:7" s="258" customFormat="1" ht="13.5" customHeight="1">
      <c r="A28" s="953" t="s">
        <v>794</v>
      </c>
      <c r="B28" s="292" t="s">
        <v>1062</v>
      </c>
      <c r="C28" s="293">
        <f>ROUND((C5+C19+C20)*F27*'数据-取费表'!B21/'数据-取费表'!B20,0)</f>
        <v>4281</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30856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18876</v>
      </c>
      <c r="D34" s="261"/>
      <c r="E34" s="264"/>
      <c r="F34" s="301">
        <f>IF('数据-取费表'!B24=0,1,'数据-取费表'!N16)</f>
        <v>0.9</v>
      </c>
      <c r="G34" s="263" t="s">
        <v>116</v>
      </c>
    </row>
    <row r="35" spans="1:7" ht="13.5" customHeight="1">
      <c r="A35" s="953" t="s">
        <v>796</v>
      </c>
      <c r="B35" s="259" t="s">
        <v>60</v>
      </c>
      <c r="C35" s="264">
        <f>ROUND(C34*F35,0)</f>
        <v>755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746</v>
      </c>
      <c r="D36" s="264"/>
      <c r="E36" s="264"/>
      <c r="F36" s="303">
        <f>'数据-取费表'!B34</f>
        <v>0.05</v>
      </c>
      <c r="G36" s="304" t="s">
        <v>62</v>
      </c>
    </row>
    <row r="37" spans="1:7" s="302" customFormat="1" ht="13.5" customHeight="1">
      <c r="A37" s="953" t="s">
        <v>798</v>
      </c>
      <c r="B37" s="259" t="s">
        <v>118</v>
      </c>
      <c r="C37" s="293">
        <f>ROUND(E37*D37*F34/10000,0)</f>
        <v>1070</v>
      </c>
      <c r="D37" s="261">
        <f>'数据-汇总表'!E3</f>
        <v>59428.920000000027</v>
      </c>
      <c r="E37" s="293">
        <f>'数据-取费表'!B35</f>
        <v>200</v>
      </c>
      <c r="F37" s="303"/>
      <c r="G37" s="305" t="s">
        <v>119</v>
      </c>
    </row>
    <row r="38" spans="1:7" ht="13.5" customHeight="1">
      <c r="A38" s="953" t="s">
        <v>799</v>
      </c>
      <c r="B38" s="259" t="s">
        <v>63</v>
      </c>
      <c r="C38" s="264">
        <f>ROUND(C34*F38,0)</f>
        <v>283</v>
      </c>
      <c r="D38" s="264"/>
      <c r="E38" s="264"/>
      <c r="F38" s="303">
        <f>'数据-取费表'!B36</f>
        <v>1.4999999999999999E-2</v>
      </c>
      <c r="G38" s="263" t="s">
        <v>117</v>
      </c>
    </row>
    <row r="39" spans="1:7" s="258" customFormat="1" ht="13.5" customHeight="1">
      <c r="A39" s="950" t="s">
        <v>783</v>
      </c>
      <c r="B39" s="254" t="s">
        <v>104</v>
      </c>
      <c r="C39" s="276">
        <f>ROUND(C33*F20,0)</f>
        <v>652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685</v>
      </c>
      <c r="D41" s="279">
        <f ca="1">C44</f>
        <v>8.9999999999999998E-4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665</v>
      </c>
      <c r="D42" s="282"/>
      <c r="E42" s="282"/>
      <c r="F42" s="283"/>
      <c r="G42" s="3192" t="s">
        <v>121</v>
      </c>
    </row>
    <row r="43" spans="1:7" ht="13.5" customHeight="1">
      <c r="A43" s="953" t="s">
        <v>792</v>
      </c>
      <c r="B43" s="259" t="s">
        <v>1064</v>
      </c>
      <c r="C43" s="282">
        <f ca="1">ROUND(IF('数据-取费表'!B22&lt;=1,C39*F22*'数据-取费表'!B21/2,C39*(POWER((1+F22),'数据-取费表'!B21/2)-1)),0)</f>
        <v>20</v>
      </c>
      <c r="D43" s="282"/>
      <c r="E43" s="282"/>
      <c r="F43" s="283"/>
      <c r="G43" s="3193"/>
    </row>
    <row r="44" spans="1:7" ht="13.5" customHeight="1">
      <c r="A44" s="953" t="s">
        <v>793</v>
      </c>
      <c r="B44" s="259" t="s">
        <v>1066</v>
      </c>
      <c r="C44" s="282">
        <f ca="1">ROUND(IF('数据-取费表'!B22&lt;=1,C40*F22*'数据-取费表'!B21/2,C40*(POWER((1+F22),'数据-取费表'!B21/2)-1)),4)</f>
        <v>8.9999999999999998E-4</v>
      </c>
      <c r="D44" s="282"/>
      <c r="E44" s="282"/>
      <c r="F44" s="283"/>
      <c r="G44" s="3194"/>
    </row>
    <row r="45" spans="1:7" s="258" customFormat="1" ht="13.5" customHeight="1">
      <c r="A45" s="950" t="s">
        <v>786</v>
      </c>
      <c r="B45" s="288" t="s">
        <v>112</v>
      </c>
      <c r="C45" s="289">
        <f>C46</f>
        <v>4924</v>
      </c>
      <c r="D45" s="279">
        <f>C47</f>
        <v>6.6E-3</v>
      </c>
      <c r="E45" s="280" t="s">
        <v>129</v>
      </c>
      <c r="F45" s="290"/>
      <c r="G45" s="291" t="s">
        <v>1072</v>
      </c>
    </row>
    <row r="46" spans="1:7" s="258" customFormat="1" ht="13.5" customHeight="1">
      <c r="A46" s="953" t="s">
        <v>794</v>
      </c>
      <c r="B46" s="292" t="s">
        <v>1065</v>
      </c>
      <c r="C46" s="293">
        <f>ROUND((C33+C39)*F27,0)</f>
        <v>4924</v>
      </c>
      <c r="D46" s="307"/>
      <c r="E46" s="280"/>
      <c r="F46" s="290"/>
      <c r="G46" s="291"/>
    </row>
    <row r="47" spans="1:7" s="258" customFormat="1" ht="13.5" customHeight="1">
      <c r="A47" s="953" t="s">
        <v>792</v>
      </c>
      <c r="B47" s="292" t="s">
        <v>1067</v>
      </c>
      <c r="C47" s="282">
        <f>ROUND(C40*F27,4)</f>
        <v>6.6E-3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30755</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30755</v>
      </c>
      <c r="D51" s="276"/>
      <c r="E51" s="276"/>
      <c r="F51" s="308"/>
      <c r="G51" s="278" t="s">
        <v>64</v>
      </c>
    </row>
    <row r="52" spans="1:7" s="252" customFormat="1" ht="16.5" thickBot="1">
      <c r="A52" s="309" t="s">
        <v>65</v>
      </c>
      <c r="B52" s="310"/>
      <c r="C52" s="311">
        <f ca="1">C31+C51</f>
        <v>61611</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7" zoomScale="70" zoomScaleNormal="70" zoomScaleSheetLayoutView="90" workbookViewId="0">
      <selection activeCell="C17" sqref="C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3268</v>
      </c>
      <c r="E1" s="1822" t="s">
        <v>1387</v>
      </c>
      <c r="F1" s="1285">
        <f ca="1">J53</f>
        <v>45.15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10969</v>
      </c>
      <c r="C2" s="1846" t="s">
        <v>1516</v>
      </c>
      <c r="D2" s="1846"/>
      <c r="E2" s="1847"/>
      <c r="F2" s="1848"/>
      <c r="G2" s="1849"/>
      <c r="H2" s="1841"/>
      <c r="I2" s="1841"/>
      <c r="J2" s="1841"/>
      <c r="K2" s="1842"/>
      <c r="L2" s="1841"/>
      <c r="M2" s="1841"/>
    </row>
    <row r="3" spans="1:37" ht="18" customHeight="1" thickBot="1">
      <c r="A3" s="1850" t="s">
        <v>1517</v>
      </c>
      <c r="B3" s="1851">
        <f ca="1">IF(ISERROR(B2*10000/F43),0,ROUND(B2*10000/F43,0))</f>
        <v>6091</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828</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828</v>
      </c>
      <c r="D6" s="164" t="s">
        <v>3032</v>
      </c>
      <c r="E6" s="347" t="s">
        <v>1405</v>
      </c>
      <c r="F6" s="348">
        <f ca="1">INDIRECT("'数据-取费表'!u"&amp;$G$1)</f>
        <v>1.4</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2947" t="s">
        <v>1406</v>
      </c>
      <c r="F7" s="348">
        <f ca="1">IF(INDIRECT("'数据-取费表'!ah"&amp;$G$1)="",INDIRECT("'数据-取费表'!k"&amp;$G$1),INDIRECT("'数据-取费表'!ah"&amp;$G$1))</f>
        <v>18009.650000000031</v>
      </c>
      <c r="G7" s="1852"/>
      <c r="H7" s="349"/>
      <c r="I7" s="3251"/>
      <c r="J7" s="351"/>
      <c r="K7" s="352"/>
      <c r="L7" s="347" t="s">
        <v>1406</v>
      </c>
      <c r="M7" s="348">
        <f ca="1">F7</f>
        <v>18009.650000000031</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t="s">
        <v>3276</v>
      </c>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6275</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4090</v>
      </c>
      <c r="D14" s="2941" t="s">
        <v>1418</v>
      </c>
      <c r="E14" s="2939"/>
      <c r="F14" s="364"/>
      <c r="G14" s="1852"/>
      <c r="H14" s="1203" t="s">
        <v>1035</v>
      </c>
      <c r="I14" s="347" t="s">
        <v>1419</v>
      </c>
      <c r="J14" s="24">
        <f ca="1">C29</f>
        <v>6275</v>
      </c>
      <c r="K14" s="2946"/>
      <c r="L14" s="981"/>
      <c r="M14" s="982"/>
    </row>
    <row r="15" spans="1:37" s="1859" customFormat="1" ht="18" customHeight="1" thickBot="1">
      <c r="A15" s="1203" t="s">
        <v>1036</v>
      </c>
      <c r="B15" s="347" t="s">
        <v>1420</v>
      </c>
      <c r="C15" s="24">
        <f ca="1">ROUND(C14*F15,0)</f>
        <v>164</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148</v>
      </c>
      <c r="K16" s="1339" t="s">
        <v>1425</v>
      </c>
      <c r="L16" s="2942"/>
      <c r="M16" s="1296"/>
    </row>
    <row r="17" spans="1:37" s="1859" customFormat="1" ht="18" customHeight="1">
      <c r="A17" s="1203" t="s">
        <v>1390</v>
      </c>
      <c r="B17" s="347" t="s">
        <v>1426</v>
      </c>
      <c r="C17" s="24">
        <f ca="1">ROUND(F17*(F43+INDIRECT("'数据-取费表'!S"&amp;$G$1))/10000,0)</f>
        <v>372</v>
      </c>
      <c r="D17" s="347" t="s">
        <v>1427</v>
      </c>
      <c r="E17" s="347" t="s">
        <v>1428</v>
      </c>
      <c r="F17" s="26">
        <f>'数据-取费表'!B35</f>
        <v>200</v>
      </c>
      <c r="G17" s="1855"/>
      <c r="H17" s="1203" t="s">
        <v>1035</v>
      </c>
      <c r="I17" s="347" t="s">
        <v>1429</v>
      </c>
      <c r="J17" s="24">
        <f ca="1">ROUND(IF(项目基本情况!B11="自然人",J5*M17,J18+J19+J20),1)</f>
        <v>54.2</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61</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4687</v>
      </c>
      <c r="D19" s="140" t="s">
        <v>1436</v>
      </c>
      <c r="E19" s="2945"/>
      <c r="F19" s="26"/>
      <c r="G19" s="1852"/>
      <c r="H19" s="1203" t="s">
        <v>1036</v>
      </c>
      <c r="I19" s="347" t="s">
        <v>1437</v>
      </c>
      <c r="J19" s="24">
        <f ca="1">IF(K19="按租金收入计税",ROUND(J5*M19,2),ROUND(C29*M19*0.7,2))</f>
        <v>52.71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141</v>
      </c>
      <c r="D20" s="369" t="s">
        <v>1440</v>
      </c>
      <c r="E20" s="347" t="s">
        <v>1422</v>
      </c>
      <c r="F20" s="367">
        <f>'数据-取费表'!B37</f>
        <v>0.03</v>
      </c>
      <c r="G20" s="1855"/>
      <c r="H20" s="1203" t="s">
        <v>1389</v>
      </c>
      <c r="I20" s="164" t="s">
        <v>1441</v>
      </c>
      <c r="J20" s="25">
        <f ca="1">ROUND(M20*M21/10000,2)</f>
        <v>1.52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10101.77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94.1</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-148</v>
      </c>
      <c r="K25" s="1347" t="s">
        <v>1464</v>
      </c>
      <c r="L25" s="1348"/>
      <c r="M25" s="1349"/>
    </row>
    <row r="26" spans="1:37">
      <c r="A26" s="1203" t="s">
        <v>1034</v>
      </c>
      <c r="B26" s="347" t="s">
        <v>1465</v>
      </c>
      <c r="C26" s="24">
        <f ca="1">ROUND((C19+C20)*F26,0)</f>
        <v>724</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6275</v>
      </c>
      <c r="D29" s="1344"/>
      <c r="E29" s="1342"/>
      <c r="F29" s="1345"/>
      <c r="G29" s="1855"/>
      <c r="H29" s="380" t="s">
        <v>1033</v>
      </c>
      <c r="I29" s="381" t="s">
        <v>1479</v>
      </c>
      <c r="J29" s="382">
        <f ca="1">ROUND(J26/(1+F40)^F41,0)</f>
        <v>0</v>
      </c>
      <c r="K29" s="383" t="s">
        <v>1480</v>
      </c>
      <c r="L29" s="384"/>
      <c r="M29" s="385">
        <f ca="1">INDIRECT("'数据-取费表'!k"&amp;$G$1)</f>
        <v>18009.650000000031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256</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144.30000000000001</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43.37</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99.36</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10101.77</v>
      </c>
      <c r="G35" s="1852"/>
      <c r="H35" s="744"/>
      <c r="I35" s="1861"/>
      <c r="J35" s="1862"/>
      <c r="K35" s="1863"/>
      <c r="L35" s="1860"/>
      <c r="M35" s="1860"/>
    </row>
    <row r="36" spans="1:18" ht="18" customHeight="1">
      <c r="A36" s="1354" t="s">
        <v>1039</v>
      </c>
      <c r="B36" s="347" t="s">
        <v>1449</v>
      </c>
      <c r="C36" s="24">
        <f ca="1">ROUND(C29*F36,1)</f>
        <v>94.1</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9.4</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8.3000000000000007</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572</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10969</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6091</v>
      </c>
      <c r="D43" s="383" t="s">
        <v>1488</v>
      </c>
      <c r="E43" s="384" t="s">
        <v>1489</v>
      </c>
      <c r="F43" s="385">
        <f ca="1">INDIRECT("'数据-取费表'!k"&amp;$G$1)</f>
        <v>18009.650000000031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-23089</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3257</v>
      </c>
      <c r="K47" s="1883" t="s">
        <v>1527</v>
      </c>
      <c r="L47" s="1884">
        <f ca="1">INDIRECT("'数据-取费表'!d"&amp;$G$1)</f>
        <v>50</v>
      </c>
      <c r="M47" s="1839" t="str">
        <f>IF(ISNUMBER(FIND("住宅",C1)),"住宅","非住宅")</f>
        <v>非住宅</v>
      </c>
      <c r="O47" s="1885" t="s">
        <v>1040</v>
      </c>
      <c r="P47" s="1886" t="s">
        <v>1528</v>
      </c>
      <c r="Q47" s="1887">
        <f ca="1">C40+J29</f>
        <v>10969</v>
      </c>
      <c r="R47" s="1887" t="s">
        <v>1529</v>
      </c>
    </row>
    <row r="48" spans="1:18" s="1843" customFormat="1" ht="28.5" thickBot="1">
      <c r="A48" s="1362" t="s">
        <v>1135</v>
      </c>
      <c r="B48" s="345" t="s">
        <v>1401</v>
      </c>
      <c r="C48" s="2944">
        <f ca="1">C49+C53+C55</f>
        <v>0</v>
      </c>
      <c r="D48" s="1364"/>
      <c r="E48" s="1365"/>
      <c r="F48" s="1183"/>
      <c r="G48" s="791"/>
      <c r="H48" s="792"/>
      <c r="I48" s="1888" t="s">
        <v>1530</v>
      </c>
      <c r="J48" s="1889" t="s">
        <v>3270</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3033</v>
      </c>
      <c r="E49" s="1831" t="s">
        <v>1491</v>
      </c>
      <c r="F49" s="1283"/>
      <c r="G49" s="1892"/>
      <c r="H49" s="792"/>
      <c r="I49" s="1888" t="s">
        <v>1534</v>
      </c>
      <c r="J49" s="1893">
        <v>2018</v>
      </c>
      <c r="K49" s="1890" t="s">
        <v>1535</v>
      </c>
      <c r="L49" s="1894"/>
      <c r="O49" s="1895" t="s">
        <v>1042</v>
      </c>
      <c r="P49" s="1886" t="s">
        <v>1536</v>
      </c>
      <c r="Q49" s="1887">
        <f ca="1">C29</f>
        <v>6275</v>
      </c>
      <c r="R49" s="1887" t="s">
        <v>1529</v>
      </c>
    </row>
    <row r="50" spans="1:18" s="1843" customFormat="1" ht="13.5" thickBot="1">
      <c r="A50" s="1197"/>
      <c r="B50" s="1200"/>
      <c r="C50" s="1370"/>
      <c r="D50" s="1174"/>
      <c r="E50" s="1279" t="s">
        <v>1406</v>
      </c>
      <c r="F50" s="1280">
        <f ca="1">F7</f>
        <v>18009.650000000031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803</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45.15</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45.15</v>
      </c>
      <c r="K53" s="3248" t="s">
        <v>1548</v>
      </c>
      <c r="L53" s="3249"/>
      <c r="O53" s="1885" t="s">
        <v>1046</v>
      </c>
      <c r="P53" s="1886" t="s">
        <v>1549</v>
      </c>
      <c r="Q53" s="1887">
        <f ca="1">Q47+Q48</f>
        <v>10969</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6275</v>
      </c>
      <c r="D56" s="1915"/>
      <c r="E56" s="1916"/>
      <c r="F56" s="1908"/>
      <c r="I56" s="1917" t="s">
        <v>1554</v>
      </c>
      <c r="J56" s="1918" t="s">
        <v>3061</v>
      </c>
      <c r="K56" s="1888" t="s">
        <v>1555</v>
      </c>
      <c r="L56" s="1891" t="str">
        <f ca="1">IF(L48&lt;J51,"——",L48-J53)</f>
        <v>——</v>
      </c>
      <c r="O56" s="1885" t="s">
        <v>1040</v>
      </c>
      <c r="P56" s="1886" t="s">
        <v>1528</v>
      </c>
      <c r="Q56" s="1887">
        <f ca="1">C40+J29</f>
        <v>10969</v>
      </c>
      <c r="R56" s="1887" t="s">
        <v>1529</v>
      </c>
    </row>
    <row r="57" spans="1:18" s="1843" customFormat="1" ht="24.75" thickBot="1">
      <c r="A57" s="1919"/>
      <c r="B57" s="1171" t="s">
        <v>1478</v>
      </c>
      <c r="C57" s="282">
        <f ca="1">C29</f>
        <v>6275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632</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528.6</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527.1</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1.52</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10969</v>
      </c>
      <c r="R62" s="1887" t="s">
        <v>1047</v>
      </c>
    </row>
    <row r="63" spans="1:18" s="1843" customFormat="1" ht="13.5" thickBot="1">
      <c r="A63" s="372"/>
      <c r="B63" s="1177"/>
      <c r="C63" s="29"/>
      <c r="D63" s="1187"/>
      <c r="E63" s="1171" t="s">
        <v>1499</v>
      </c>
      <c r="F63" s="348">
        <f t="shared" ca="1" si="0"/>
        <v>10101.77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94.1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9.4</v>
      </c>
      <c r="D65" s="1185" t="s">
        <v>1454</v>
      </c>
      <c r="E65" s="1171" t="s">
        <v>1455</v>
      </c>
      <c r="F65" s="376">
        <f t="shared" ca="1" si="0"/>
        <v>1.5E-3</v>
      </c>
      <c r="I65" s="1930" t="s">
        <v>1579</v>
      </c>
      <c r="J65" s="1931">
        <v>40</v>
      </c>
      <c r="K65" s="1931">
        <v>30</v>
      </c>
      <c r="L65" s="1931">
        <v>50</v>
      </c>
      <c r="M65" s="1933">
        <v>0.02</v>
      </c>
      <c r="O65" s="1885" t="s">
        <v>1040</v>
      </c>
      <c r="P65" s="1886" t="s">
        <v>1580</v>
      </c>
      <c r="Q65" s="1887">
        <f ca="1">C40+J29</f>
        <v>10969</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-632</v>
      </c>
      <c r="D67" s="1184" t="s">
        <v>1464</v>
      </c>
      <c r="E67" s="1189"/>
      <c r="F67" s="1190"/>
      <c r="O67" s="1895" t="s">
        <v>1042</v>
      </c>
      <c r="P67" s="1886" t="s">
        <v>1562</v>
      </c>
      <c r="Q67" s="1934">
        <f ca="1">L51</f>
        <v>803</v>
      </c>
      <c r="R67" s="1887" t="s">
        <v>1582</v>
      </c>
    </row>
    <row r="68" spans="1:18" s="1843" customFormat="1" ht="16.5" thickBot="1">
      <c r="A68" s="1168" t="s">
        <v>1032</v>
      </c>
      <c r="B68" s="1169" t="s">
        <v>1485</v>
      </c>
      <c r="C68" s="346">
        <f ca="1">ROUND(C67*(1-((1+F70)/(1+F68))^F69)/(F68-F70),0)</f>
        <v>-12120</v>
      </c>
      <c r="D68" s="1186" t="s">
        <v>1469</v>
      </c>
      <c r="E68" s="1171" t="s">
        <v>1470</v>
      </c>
      <c r="F68" s="357">
        <f ca="1">F40</f>
        <v>4.4999999999999998E-2</v>
      </c>
      <c r="O68" s="1895" t="s">
        <v>1043</v>
      </c>
      <c r="P68" s="1935" t="s">
        <v>1583</v>
      </c>
      <c r="Q68" s="1887">
        <f ca="1">ROUND(Q69-Q70*Q71,0)</f>
        <v>39</v>
      </c>
      <c r="R68" s="1887" t="s">
        <v>1051</v>
      </c>
    </row>
    <row r="69" spans="1:18" s="1843" customFormat="1" ht="13.5" thickBot="1">
      <c r="A69" s="1172"/>
      <c r="B69" s="1173"/>
      <c r="C69" s="351"/>
      <c r="D69" s="1191" t="s">
        <v>1473</v>
      </c>
      <c r="E69" s="1171" t="s">
        <v>1474</v>
      </c>
      <c r="F69" s="379">
        <f ca="1">F41</f>
        <v>45.15</v>
      </c>
      <c r="O69" s="1895" t="s">
        <v>1048</v>
      </c>
      <c r="P69" s="1935" t="s">
        <v>1584</v>
      </c>
      <c r="Q69" s="1887">
        <f ca="1">C39</f>
        <v>572</v>
      </c>
      <c r="R69" s="1887" t="s">
        <v>1529</v>
      </c>
    </row>
    <row r="70" spans="1:18" s="1843" customFormat="1" ht="13.5" thickBot="1">
      <c r="A70" s="1175"/>
      <c r="B70" s="1176"/>
      <c r="C70" s="355"/>
      <c r="D70" s="1187"/>
      <c r="E70" s="1171" t="s">
        <v>1477</v>
      </c>
      <c r="F70" s="1277"/>
      <c r="O70" s="1895" t="s">
        <v>1049</v>
      </c>
      <c r="P70" s="1935" t="s">
        <v>1585</v>
      </c>
      <c r="Q70" s="1887">
        <f ca="1">C13</f>
        <v>6275</v>
      </c>
      <c r="R70" s="1887" t="s">
        <v>1529</v>
      </c>
    </row>
    <row r="71" spans="1:18" s="1843" customFormat="1" ht="13.5" thickBot="1">
      <c r="A71" s="1192" t="s">
        <v>1033</v>
      </c>
      <c r="B71" s="1193" t="s">
        <v>1487</v>
      </c>
      <c r="C71" s="382">
        <f ca="1">ROUND(C68*10000/F71,0)</f>
        <v>-6730</v>
      </c>
      <c r="D71" s="1194" t="s">
        <v>1488</v>
      </c>
      <c r="E71" s="1195" t="s">
        <v>1489</v>
      </c>
      <c r="F71" s="385">
        <f ca="1">F43</f>
        <v>18009.650000000031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533</v>
      </c>
      <c r="D75" s="1843"/>
      <c r="E75" s="1843"/>
      <c r="F75" s="1843"/>
      <c r="K75" s="1869"/>
      <c r="L75" s="1843"/>
      <c r="O75" s="1885" t="s">
        <v>1046</v>
      </c>
      <c r="P75" s="1886" t="s">
        <v>1549</v>
      </c>
      <c r="Q75" s="1887">
        <f ca="1">Q65+Q66</f>
        <v>10969</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6.7999999999999949E-2</v>
      </c>
    </row>
    <row r="80" spans="1:18">
      <c r="B80" s="386" t="s">
        <v>1511</v>
      </c>
      <c r="C80" s="318">
        <f ca="1">ROUND(C75/C39,3)</f>
        <v>0.93200000000000005</v>
      </c>
    </row>
    <row r="81" spans="2:3">
      <c r="B81" s="314" t="s">
        <v>1512</v>
      </c>
      <c r="C81" s="282"/>
    </row>
    <row r="82" spans="2:3">
      <c r="B82" s="317" t="s">
        <v>1513</v>
      </c>
      <c r="C82" s="319">
        <f ca="1">1-C83</f>
        <v>0.42800000000000005</v>
      </c>
    </row>
    <row r="83" spans="2:3">
      <c r="B83" s="317" t="s">
        <v>1514</v>
      </c>
      <c r="C83" s="318">
        <f ca="1">ROUND(C13/C40,3)</f>
        <v>0.57199999999999995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0</v>
      </c>
      <c r="D6" s="164" t="s">
        <v>3032</v>
      </c>
      <c r="E6" s="347" t="s">
        <v>1405</v>
      </c>
      <c r="F6" s="348">
        <f ca="1">INDIRECT("'数据-取费表'!u"&amp;$G$1)</f>
        <v>0</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2978"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3040</v>
      </c>
      <c r="E10" s="358" t="s">
        <v>1410</v>
      </c>
      <c r="F10" s="1368"/>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3031</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H217" zoomScaleNormal="100" workbookViewId="0">
      <selection activeCell="M120" sqref="M120"/>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3076</v>
      </c>
      <c r="B1" s="2952" t="s">
        <v>3077</v>
      </c>
      <c r="C1" s="2952" t="s">
        <v>3078</v>
      </c>
      <c r="D1" s="2952" t="s">
        <v>3079</v>
      </c>
      <c r="G1">
        <v>-151</v>
      </c>
      <c r="H1" s="2952" t="s">
        <v>3082</v>
      </c>
      <c r="I1">
        <v>75.98</v>
      </c>
      <c r="K1" s="2952" t="s">
        <v>3165</v>
      </c>
      <c r="L1" s="2952" t="s">
        <v>3166</v>
      </c>
      <c r="M1" s="2952" t="s">
        <v>3169</v>
      </c>
      <c r="N1" s="2952" t="s">
        <v>3167</v>
      </c>
      <c r="O1" s="2952" t="s">
        <v>3171</v>
      </c>
      <c r="P1" s="2952" t="s">
        <v>3170</v>
      </c>
      <c r="Q1" s="2952" t="s">
        <v>3172</v>
      </c>
      <c r="R1" s="2952" t="s">
        <v>3173</v>
      </c>
      <c r="S1" s="2967"/>
      <c r="T1" s="2952" t="s">
        <v>3200</v>
      </c>
      <c r="U1" s="2952" t="s">
        <v>3203</v>
      </c>
      <c r="V1" s="2952" t="s">
        <v>3204</v>
      </c>
      <c r="W1" s="2952"/>
      <c r="X1" s="2969" t="s">
        <v>3218</v>
      </c>
      <c r="Y1" s="2969" t="s">
        <v>3224</v>
      </c>
      <c r="Z1" s="2969" t="s">
        <v>3225</v>
      </c>
      <c r="AA1" s="2969" t="s">
        <v>3226</v>
      </c>
      <c r="AB1" s="2969" t="s">
        <v>3227</v>
      </c>
      <c r="AC1" s="2969" t="s">
        <v>3211</v>
      </c>
      <c r="AD1" s="2969" t="s">
        <v>3228</v>
      </c>
      <c r="AE1" s="2969" t="s">
        <v>3235</v>
      </c>
    </row>
    <row r="2" spans="1:31">
      <c r="A2" s="2952" t="s">
        <v>3075</v>
      </c>
      <c r="B2">
        <v>104</v>
      </c>
      <c r="C2" s="2952" t="s">
        <v>3080</v>
      </c>
      <c r="D2">
        <v>312.74</v>
      </c>
      <c r="G2">
        <v>-152</v>
      </c>
      <c r="H2" s="2952" t="s">
        <v>3082</v>
      </c>
      <c r="I2">
        <v>75.98</v>
      </c>
      <c r="K2" s="2952" t="s">
        <v>3168</v>
      </c>
      <c r="L2" s="2966">
        <v>101</v>
      </c>
      <c r="M2">
        <v>2587.7800000000002</v>
      </c>
      <c r="N2">
        <f>170.81+567.37</f>
        <v>738.18000000000006</v>
      </c>
      <c r="O2" s="2965">
        <f>N2/M2</f>
        <v>0.28525608823006593</v>
      </c>
      <c r="P2">
        <v>318.92</v>
      </c>
      <c r="Q2">
        <f>ROUND(P2*$O$2,2)</f>
        <v>90.97</v>
      </c>
      <c r="R2">
        <f>P2-Q2</f>
        <v>227.95000000000002</v>
      </c>
      <c r="S2" s="2963"/>
      <c r="T2" s="2952" t="s">
        <v>3201</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3080</v>
      </c>
      <c r="D3">
        <v>340.19</v>
      </c>
      <c r="G3">
        <v>-154</v>
      </c>
      <c r="H3" s="2952" t="s">
        <v>3082</v>
      </c>
      <c r="I3">
        <v>75.98</v>
      </c>
      <c r="L3" s="2966">
        <v>102</v>
      </c>
      <c r="P3">
        <v>317.64</v>
      </c>
      <c r="Q3">
        <f t="shared" ref="Q3:Q8" si="0">ROUND(P3*$O$2,2)</f>
        <v>90.61</v>
      </c>
      <c r="R3">
        <f t="shared" ref="R3:R9" si="1">P3-Q3</f>
        <v>227.02999999999997</v>
      </c>
    </row>
    <row r="4" spans="1:31" ht="40.5">
      <c r="B4">
        <v>103</v>
      </c>
      <c r="C4" s="2952" t="s">
        <v>3081</v>
      </c>
      <c r="D4">
        <v>317.52999999999997</v>
      </c>
      <c r="G4">
        <v>-155</v>
      </c>
      <c r="H4" s="2952" t="s">
        <v>3082</v>
      </c>
      <c r="I4">
        <v>75.98</v>
      </c>
      <c r="L4" s="2966">
        <v>103</v>
      </c>
      <c r="P4">
        <v>317.52999999999997</v>
      </c>
      <c r="Q4">
        <f t="shared" si="0"/>
        <v>90.58</v>
      </c>
      <c r="R4">
        <f t="shared" si="1"/>
        <v>226.95</v>
      </c>
      <c r="X4" s="2971" t="s">
        <v>3234</v>
      </c>
      <c r="Y4" s="2969" t="s">
        <v>3229</v>
      </c>
      <c r="Z4" s="2969" t="s">
        <v>3230</v>
      </c>
      <c r="AA4" s="2969" t="s">
        <v>3231</v>
      </c>
      <c r="AB4" s="2969" t="s">
        <v>3233</v>
      </c>
      <c r="AC4" s="2969" t="s">
        <v>3232</v>
      </c>
      <c r="AD4" s="2969" t="s">
        <v>3228</v>
      </c>
      <c r="AE4" s="2969" t="s">
        <v>3235</v>
      </c>
    </row>
    <row r="5" spans="1:31">
      <c r="B5">
        <v>102</v>
      </c>
      <c r="C5" s="2952" t="s">
        <v>3080</v>
      </c>
      <c r="D5">
        <v>317.64</v>
      </c>
      <c r="G5">
        <v>-156</v>
      </c>
      <c r="H5" s="2952" t="s">
        <v>3082</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3080</v>
      </c>
      <c r="D6">
        <v>318.92</v>
      </c>
      <c r="G6">
        <v>-149</v>
      </c>
      <c r="H6" s="2952" t="s">
        <v>3082</v>
      </c>
      <c r="I6">
        <v>75.98</v>
      </c>
      <c r="L6" s="2966">
        <v>105</v>
      </c>
      <c r="P6">
        <v>314.70999999999998</v>
      </c>
      <c r="Q6">
        <f t="shared" si="0"/>
        <v>89.77</v>
      </c>
      <c r="R6">
        <f t="shared" si="1"/>
        <v>224.94</v>
      </c>
      <c r="AE6">
        <f>AE2+AE5</f>
        <v>90970.280000000028</v>
      </c>
    </row>
    <row r="7" spans="1:31">
      <c r="B7">
        <v>105</v>
      </c>
      <c r="C7" s="2952" t="s">
        <v>3080</v>
      </c>
      <c r="D7">
        <v>314.70999999999998</v>
      </c>
      <c r="G7">
        <v>-150</v>
      </c>
      <c r="H7" s="2952" t="s">
        <v>3082</v>
      </c>
      <c r="I7">
        <v>75.98</v>
      </c>
      <c r="L7" s="2963">
        <v>106</v>
      </c>
      <c r="P7" s="2963">
        <v>334.06</v>
      </c>
      <c r="Q7" s="2963">
        <f>ROUND(P7*$O$2,2)</f>
        <v>95.29</v>
      </c>
      <c r="R7" s="2963">
        <f>P7-Q7</f>
        <v>238.76999999999998</v>
      </c>
    </row>
    <row r="8" spans="1:31">
      <c r="B8">
        <v>107</v>
      </c>
      <c r="C8" s="2952" t="s">
        <v>3080</v>
      </c>
      <c r="D8">
        <v>331.99</v>
      </c>
      <c r="G8">
        <v>-147</v>
      </c>
      <c r="H8" s="2952" t="s">
        <v>3082</v>
      </c>
      <c r="I8">
        <v>75.98</v>
      </c>
      <c r="L8" s="2966">
        <v>107</v>
      </c>
      <c r="P8">
        <v>331.99</v>
      </c>
      <c r="Q8">
        <f t="shared" si="0"/>
        <v>94.7</v>
      </c>
      <c r="R8">
        <f t="shared" si="1"/>
        <v>237.29000000000002</v>
      </c>
    </row>
    <row r="9" spans="1:31">
      <c r="D9" s="2963">
        <f>SUM(D2:D8)</f>
        <v>2253.7200000000003</v>
      </c>
      <c r="G9">
        <v>-148</v>
      </c>
      <c r="H9" s="2952" t="s">
        <v>3082</v>
      </c>
      <c r="I9">
        <v>75.98</v>
      </c>
      <c r="L9" s="2966">
        <v>108</v>
      </c>
      <c r="P9">
        <v>340.19</v>
      </c>
      <c r="Q9">
        <f>N2-Q2-Q3-Q4-Q5-Q6-Q7-Q8</f>
        <v>97.050000000000054</v>
      </c>
      <c r="R9">
        <f t="shared" si="1"/>
        <v>243.13999999999993</v>
      </c>
    </row>
    <row r="10" spans="1:31">
      <c r="A10" s="2952" t="s">
        <v>3083</v>
      </c>
      <c r="B10">
        <v>103</v>
      </c>
      <c r="C10" s="2952" t="s">
        <v>3084</v>
      </c>
      <c r="D10">
        <v>319.3</v>
      </c>
      <c r="G10">
        <v>-161</v>
      </c>
      <c r="H10" s="2952" t="s">
        <v>3082</v>
      </c>
      <c r="I10">
        <v>75.98</v>
      </c>
    </row>
    <row r="11" spans="1:31">
      <c r="A11" s="2952"/>
      <c r="B11">
        <v>107</v>
      </c>
      <c r="C11" s="2952" t="s">
        <v>3084</v>
      </c>
      <c r="D11">
        <v>333.28</v>
      </c>
      <c r="G11">
        <v>-162</v>
      </c>
      <c r="H11" s="2952" t="s">
        <v>3082</v>
      </c>
      <c r="I11">
        <v>75.98</v>
      </c>
      <c r="K11" s="2952" t="s">
        <v>3165</v>
      </c>
      <c r="L11" s="2952" t="s">
        <v>3166</v>
      </c>
      <c r="M11" s="2952" t="s">
        <v>3169</v>
      </c>
      <c r="N11" s="2952" t="s">
        <v>3167</v>
      </c>
      <c r="O11" s="2952" t="s">
        <v>3171</v>
      </c>
      <c r="P11" s="2952" t="s">
        <v>3170</v>
      </c>
      <c r="Q11" s="2952" t="s">
        <v>3172</v>
      </c>
      <c r="R11" s="2952" t="s">
        <v>3173</v>
      </c>
      <c r="S11" s="2952"/>
      <c r="T11" s="2952"/>
      <c r="U11" s="2952" t="s">
        <v>3203</v>
      </c>
      <c r="V11" s="2952" t="s">
        <v>3204</v>
      </c>
      <c r="W11" s="2952"/>
      <c r="X11" s="2952"/>
      <c r="Y11" s="2952"/>
      <c r="Z11" s="2952"/>
    </row>
    <row r="12" spans="1:31">
      <c r="B12">
        <v>106</v>
      </c>
      <c r="C12" s="2952" t="s">
        <v>3080</v>
      </c>
      <c r="D12">
        <v>332.51</v>
      </c>
      <c r="G12">
        <v>-157</v>
      </c>
      <c r="H12" s="2952" t="s">
        <v>3082</v>
      </c>
      <c r="I12">
        <v>75.98</v>
      </c>
      <c r="K12" s="2952" t="s">
        <v>3174</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3082</v>
      </c>
      <c r="I13">
        <v>75.98</v>
      </c>
      <c r="L13" s="2963">
        <v>102</v>
      </c>
      <c r="P13" s="2968">
        <v>318.02999999999997</v>
      </c>
      <c r="Q13" s="2963">
        <f t="shared" si="2"/>
        <v>89.34</v>
      </c>
      <c r="R13" s="2963">
        <f t="shared" ref="R13:R18" si="3">P13-Q13</f>
        <v>228.68999999999997</v>
      </c>
    </row>
    <row r="14" spans="1:31">
      <c r="A14" s="2952" t="s">
        <v>3085</v>
      </c>
      <c r="B14">
        <v>104</v>
      </c>
      <c r="C14" s="2952" t="s">
        <v>3080</v>
      </c>
      <c r="D14">
        <v>317.43</v>
      </c>
      <c r="G14">
        <v>-145</v>
      </c>
      <c r="H14" s="2952" t="s">
        <v>3082</v>
      </c>
      <c r="I14">
        <v>75.98</v>
      </c>
      <c r="L14" s="2966">
        <v>103</v>
      </c>
      <c r="P14" s="2952">
        <v>319.3</v>
      </c>
      <c r="Q14">
        <f t="shared" si="2"/>
        <v>89.7</v>
      </c>
      <c r="R14">
        <f t="shared" si="3"/>
        <v>229.60000000000002</v>
      </c>
    </row>
    <row r="15" spans="1:31">
      <c r="B15">
        <v>110</v>
      </c>
      <c r="C15" s="2952" t="s">
        <v>3080</v>
      </c>
      <c r="D15">
        <v>339.9</v>
      </c>
      <c r="G15">
        <v>-146</v>
      </c>
      <c r="H15" s="2952" t="s">
        <v>3082</v>
      </c>
      <c r="I15">
        <v>75.98</v>
      </c>
      <c r="L15" s="2963">
        <v>104</v>
      </c>
      <c r="P15" s="2968">
        <v>362.87</v>
      </c>
      <c r="Q15" s="2963">
        <f t="shared" si="2"/>
        <v>101.94</v>
      </c>
      <c r="R15" s="2963">
        <f t="shared" si="3"/>
        <v>260.93</v>
      </c>
    </row>
    <row r="16" spans="1:31">
      <c r="B16">
        <v>103</v>
      </c>
      <c r="C16" s="2952" t="s">
        <v>3080</v>
      </c>
      <c r="D16">
        <v>317.55</v>
      </c>
      <c r="G16">
        <v>-163</v>
      </c>
      <c r="H16" s="2952" t="s">
        <v>3082</v>
      </c>
      <c r="I16">
        <v>75.98</v>
      </c>
      <c r="L16" s="2963">
        <v>105</v>
      </c>
      <c r="P16" s="2968">
        <v>334.58</v>
      </c>
      <c r="Q16" s="2963">
        <f t="shared" si="2"/>
        <v>93.99</v>
      </c>
      <c r="R16" s="2963">
        <f t="shared" si="3"/>
        <v>240.58999999999997</v>
      </c>
    </row>
    <row r="17" spans="1:22">
      <c r="B17">
        <v>102</v>
      </c>
      <c r="C17" s="2952" t="s">
        <v>3080</v>
      </c>
      <c r="D17">
        <v>317.55</v>
      </c>
      <c r="G17">
        <v>-164</v>
      </c>
      <c r="H17" s="2952" t="s">
        <v>3082</v>
      </c>
      <c r="I17">
        <v>75.98</v>
      </c>
      <c r="L17" s="2966">
        <v>106</v>
      </c>
      <c r="P17" s="2952">
        <v>332.51</v>
      </c>
      <c r="Q17">
        <f t="shared" si="2"/>
        <v>93.41</v>
      </c>
      <c r="R17">
        <f t="shared" si="3"/>
        <v>239.1</v>
      </c>
    </row>
    <row r="18" spans="1:22">
      <c r="B18">
        <v>101</v>
      </c>
      <c r="C18" s="2952" t="s">
        <v>3080</v>
      </c>
      <c r="D18">
        <v>318.83</v>
      </c>
      <c r="G18">
        <v>-165</v>
      </c>
      <c r="H18" s="2952" t="s">
        <v>3082</v>
      </c>
      <c r="I18">
        <v>75.98</v>
      </c>
      <c r="L18" s="2966">
        <v>107</v>
      </c>
      <c r="P18" s="2952">
        <v>333.28</v>
      </c>
      <c r="Q18">
        <f>N12-Q12-Q13-Q14-Q15-Q16-Q17</f>
        <v>93.629999999999967</v>
      </c>
      <c r="R18">
        <f t="shared" si="3"/>
        <v>239.65</v>
      </c>
    </row>
    <row r="19" spans="1:22">
      <c r="B19">
        <v>107</v>
      </c>
      <c r="C19" s="2952" t="s">
        <v>3139</v>
      </c>
      <c r="D19">
        <v>333.96</v>
      </c>
      <c r="G19">
        <v>-166</v>
      </c>
      <c r="H19" s="2952" t="s">
        <v>3082</v>
      </c>
      <c r="I19">
        <v>75.98</v>
      </c>
    </row>
    <row r="20" spans="1:22">
      <c r="D20" s="2963">
        <f>SUM(D14:D19)</f>
        <v>1945.2199999999998</v>
      </c>
      <c r="G20">
        <v>-113</v>
      </c>
      <c r="H20" s="2952" t="s">
        <v>3082</v>
      </c>
      <c r="I20">
        <v>75.98</v>
      </c>
      <c r="K20" s="2952" t="s">
        <v>3165</v>
      </c>
      <c r="L20" s="2952" t="s">
        <v>3166</v>
      </c>
      <c r="M20" s="2952" t="s">
        <v>3169</v>
      </c>
      <c r="N20" s="2952" t="s">
        <v>3167</v>
      </c>
      <c r="O20" s="2952" t="s">
        <v>3171</v>
      </c>
      <c r="P20" s="2952" t="s">
        <v>3170</v>
      </c>
      <c r="Q20" s="2952" t="s">
        <v>3172</v>
      </c>
      <c r="R20" s="2952" t="s">
        <v>3173</v>
      </c>
      <c r="U20" s="2952" t="s">
        <v>3203</v>
      </c>
      <c r="V20" s="2952" t="s">
        <v>3204</v>
      </c>
    </row>
    <row r="21" spans="1:22">
      <c r="A21" s="2952" t="s">
        <v>3140</v>
      </c>
      <c r="B21">
        <v>105</v>
      </c>
      <c r="C21" s="2952" t="s">
        <v>3139</v>
      </c>
      <c r="D21">
        <v>319.02</v>
      </c>
      <c r="G21">
        <v>-114</v>
      </c>
      <c r="H21" s="2952" t="s">
        <v>3082</v>
      </c>
      <c r="I21">
        <v>75.98</v>
      </c>
      <c r="K21" s="2952" t="s">
        <v>3175</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3141</v>
      </c>
      <c r="D22">
        <v>317.86</v>
      </c>
      <c r="G22">
        <v>-115</v>
      </c>
      <c r="H22" s="2952" t="s">
        <v>3082</v>
      </c>
      <c r="I22">
        <v>75.98</v>
      </c>
      <c r="L22" s="2966">
        <v>102</v>
      </c>
      <c r="P22" s="2952">
        <v>317.55</v>
      </c>
      <c r="Q22">
        <f t="shared" ref="Q22:Q29" si="4">ROUND(P22*$O$21,2)</f>
        <v>89.48</v>
      </c>
      <c r="R22">
        <f>P22-Q22</f>
        <v>228.07</v>
      </c>
    </row>
    <row r="23" spans="1:22">
      <c r="B23">
        <v>101</v>
      </c>
      <c r="C23" s="2952" t="s">
        <v>3141</v>
      </c>
      <c r="D23">
        <v>319.14</v>
      </c>
      <c r="G23">
        <v>-116</v>
      </c>
      <c r="H23" s="2952" t="s">
        <v>3082</v>
      </c>
      <c r="I23">
        <v>75.98</v>
      </c>
      <c r="L23" s="2966">
        <v>103</v>
      </c>
      <c r="P23" s="2952">
        <v>317.55</v>
      </c>
      <c r="Q23">
        <f t="shared" si="4"/>
        <v>89.48</v>
      </c>
      <c r="R23">
        <f>P23-Q23</f>
        <v>228.07</v>
      </c>
    </row>
    <row r="24" spans="1:22">
      <c r="B24">
        <v>110</v>
      </c>
      <c r="C24" s="2952" t="s">
        <v>3143</v>
      </c>
      <c r="D24">
        <v>332.99</v>
      </c>
      <c r="G24">
        <v>-117</v>
      </c>
      <c r="H24" s="2952" t="s">
        <v>3082</v>
      </c>
      <c r="I24">
        <v>75.98</v>
      </c>
      <c r="L24" s="2966">
        <v>104</v>
      </c>
      <c r="P24" s="2952">
        <v>317.43</v>
      </c>
      <c r="Q24">
        <f t="shared" si="4"/>
        <v>89.44</v>
      </c>
      <c r="R24">
        <f t="shared" ref="R24:R30" si="5">P24-Q24</f>
        <v>227.99</v>
      </c>
    </row>
    <row r="25" spans="1:22">
      <c r="B25">
        <v>109</v>
      </c>
      <c r="C25" s="2952" t="s">
        <v>3139</v>
      </c>
      <c r="D25">
        <v>332.22</v>
      </c>
      <c r="G25">
        <v>-118</v>
      </c>
      <c r="H25" s="2952" t="s">
        <v>3082</v>
      </c>
      <c r="I25">
        <v>75.98</v>
      </c>
      <c r="L25" s="2963">
        <v>105</v>
      </c>
      <c r="P25" s="2968">
        <v>375.08</v>
      </c>
      <c r="Q25" s="2963">
        <f t="shared" si="4"/>
        <v>105.69</v>
      </c>
      <c r="R25" s="2963">
        <f t="shared" si="5"/>
        <v>269.39</v>
      </c>
    </row>
    <row r="26" spans="1:22">
      <c r="D26" s="2963">
        <f>SUM(D21:D25)</f>
        <v>1621.23</v>
      </c>
      <c r="G26">
        <v>-111</v>
      </c>
      <c r="H26" s="2952" t="s">
        <v>3082</v>
      </c>
      <c r="I26">
        <v>75.98</v>
      </c>
      <c r="L26" s="2963">
        <v>106</v>
      </c>
      <c r="P26" s="2968">
        <v>334.72</v>
      </c>
      <c r="Q26" s="2963">
        <f t="shared" si="4"/>
        <v>94.32</v>
      </c>
      <c r="R26" s="2963">
        <f t="shared" si="5"/>
        <v>240.40000000000003</v>
      </c>
    </row>
    <row r="27" spans="1:22">
      <c r="A27" s="2952" t="s">
        <v>3144</v>
      </c>
      <c r="B27">
        <v>108</v>
      </c>
      <c r="C27" s="2952" t="s">
        <v>3139</v>
      </c>
      <c r="D27">
        <v>339.89</v>
      </c>
      <c r="G27">
        <v>-112</v>
      </c>
      <c r="H27" s="2952" t="s">
        <v>3082</v>
      </c>
      <c r="I27">
        <v>75.98</v>
      </c>
      <c r="L27" s="2966">
        <v>107</v>
      </c>
      <c r="P27" s="2952">
        <v>333.96</v>
      </c>
      <c r="Q27">
        <f t="shared" si="4"/>
        <v>94.1</v>
      </c>
      <c r="R27">
        <f t="shared" si="5"/>
        <v>239.85999999999999</v>
      </c>
    </row>
    <row r="28" spans="1:22">
      <c r="B28">
        <v>104</v>
      </c>
      <c r="C28" s="2952" t="s">
        <v>3139</v>
      </c>
      <c r="D28">
        <v>374.68</v>
      </c>
      <c r="G28">
        <v>-127</v>
      </c>
      <c r="H28" s="2952" t="s">
        <v>3082</v>
      </c>
      <c r="I28">
        <v>75.98</v>
      </c>
      <c r="L28" s="2963">
        <v>108</v>
      </c>
      <c r="P28" s="2968">
        <v>333.96</v>
      </c>
      <c r="Q28" s="2963">
        <f t="shared" si="4"/>
        <v>94.1</v>
      </c>
      <c r="R28" s="2963">
        <f t="shared" si="5"/>
        <v>239.85999999999999</v>
      </c>
    </row>
    <row r="29" spans="1:22">
      <c r="B29">
        <v>105</v>
      </c>
      <c r="C29" s="2952" t="s">
        <v>3139</v>
      </c>
      <c r="D29">
        <v>314.77999999999997</v>
      </c>
      <c r="G29">
        <v>-128</v>
      </c>
      <c r="H29" s="2952" t="s">
        <v>3082</v>
      </c>
      <c r="I29">
        <v>75.98</v>
      </c>
      <c r="L29" s="2963">
        <v>109</v>
      </c>
      <c r="P29" s="2968">
        <v>332.18</v>
      </c>
      <c r="Q29" s="2963">
        <f t="shared" si="4"/>
        <v>93.6</v>
      </c>
      <c r="R29" s="2963">
        <f t="shared" si="5"/>
        <v>238.58</v>
      </c>
    </row>
    <row r="30" spans="1:22">
      <c r="B30">
        <v>101</v>
      </c>
      <c r="C30" s="2952" t="s">
        <v>3139</v>
      </c>
      <c r="D30">
        <v>318.54000000000002</v>
      </c>
      <c r="G30">
        <v>-105</v>
      </c>
      <c r="H30" s="2952" t="s">
        <v>3082</v>
      </c>
      <c r="I30">
        <v>75.98</v>
      </c>
      <c r="L30" s="2966">
        <v>110</v>
      </c>
      <c r="P30" s="2952">
        <v>339.9</v>
      </c>
      <c r="Q30">
        <f>N21-Q21-Q22-Q23-Q24-Q25-Q26-Q27-Q28-Q29</f>
        <v>95.779999999999916</v>
      </c>
      <c r="R30">
        <f t="shared" si="5"/>
        <v>244.12000000000006</v>
      </c>
    </row>
    <row r="31" spans="1:22">
      <c r="D31" s="2963">
        <f>SUM(D27:D30)</f>
        <v>1347.8899999999999</v>
      </c>
      <c r="G31">
        <v>-106</v>
      </c>
      <c r="H31" s="2952" t="s">
        <v>3082</v>
      </c>
      <c r="I31">
        <v>75.98</v>
      </c>
    </row>
    <row r="32" spans="1:22">
      <c r="A32" s="2952" t="s">
        <v>3145</v>
      </c>
      <c r="B32">
        <v>101</v>
      </c>
      <c r="C32" s="2952" t="s">
        <v>3139</v>
      </c>
      <c r="D32">
        <v>374.93</v>
      </c>
      <c r="G32">
        <v>-109</v>
      </c>
      <c r="H32" s="2952" t="s">
        <v>3142</v>
      </c>
      <c r="I32">
        <v>75.98</v>
      </c>
      <c r="K32" s="2952" t="s">
        <v>3165</v>
      </c>
      <c r="L32" s="2952" t="s">
        <v>3166</v>
      </c>
      <c r="M32" s="2952" t="s">
        <v>3169</v>
      </c>
      <c r="N32" s="2952" t="s">
        <v>3167</v>
      </c>
      <c r="O32" s="2952" t="s">
        <v>3171</v>
      </c>
      <c r="P32" s="2952" t="s">
        <v>3170</v>
      </c>
      <c r="Q32" s="2952" t="s">
        <v>3172</v>
      </c>
      <c r="R32" s="2952" t="s">
        <v>3173</v>
      </c>
      <c r="U32" s="2952" t="s">
        <v>3203</v>
      </c>
      <c r="V32" s="2952" t="s">
        <v>3204</v>
      </c>
    </row>
    <row r="33" spans="1:22">
      <c r="D33" s="2963">
        <f>SUM(D32)</f>
        <v>374.93</v>
      </c>
      <c r="G33">
        <v>-110</v>
      </c>
      <c r="H33" s="2952" t="s">
        <v>3142</v>
      </c>
      <c r="I33">
        <v>75.98</v>
      </c>
      <c r="K33" s="2952" t="s">
        <v>3176</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3146</v>
      </c>
      <c r="B34">
        <v>110</v>
      </c>
      <c r="C34" s="2952" t="s">
        <v>3139</v>
      </c>
      <c r="D34">
        <v>339.9</v>
      </c>
      <c r="G34">
        <v>-101</v>
      </c>
      <c r="H34" s="2952" t="s">
        <v>3142</v>
      </c>
      <c r="I34">
        <v>75.98</v>
      </c>
      <c r="L34" s="2968">
        <v>102</v>
      </c>
      <c r="P34" s="2968">
        <v>317.86</v>
      </c>
      <c r="Q34" s="2963">
        <f t="shared" ref="Q34:Q41" si="6">ROUND(P34*$O$33,2)</f>
        <v>90.1</v>
      </c>
      <c r="R34" s="2963">
        <f t="shared" ref="R34:R42" si="7">P34-Q34</f>
        <v>227.76000000000002</v>
      </c>
    </row>
    <row r="35" spans="1:22">
      <c r="B35">
        <v>105</v>
      </c>
      <c r="C35" s="2952" t="s">
        <v>3139</v>
      </c>
      <c r="D35">
        <v>375.08</v>
      </c>
      <c r="G35">
        <v>-102</v>
      </c>
      <c r="H35" s="2952" t="s">
        <v>3142</v>
      </c>
      <c r="I35">
        <v>75.98</v>
      </c>
      <c r="L35" s="2967">
        <v>103</v>
      </c>
      <c r="P35" s="2952">
        <v>317.86</v>
      </c>
      <c r="Q35">
        <f t="shared" si="6"/>
        <v>90.1</v>
      </c>
      <c r="R35">
        <f t="shared" si="7"/>
        <v>227.76000000000002</v>
      </c>
    </row>
    <row r="36" spans="1:22">
      <c r="B36">
        <v>106</v>
      </c>
      <c r="C36" s="2952" t="s">
        <v>3139</v>
      </c>
      <c r="D36">
        <v>334.72</v>
      </c>
      <c r="G36">
        <v>-131</v>
      </c>
      <c r="H36" s="2952" t="s">
        <v>3142</v>
      </c>
      <c r="I36">
        <v>75.98</v>
      </c>
      <c r="L36" s="2968">
        <v>104</v>
      </c>
      <c r="P36" s="2968">
        <v>317.74</v>
      </c>
      <c r="Q36" s="2963">
        <f t="shared" si="6"/>
        <v>90.07</v>
      </c>
      <c r="R36" s="2963">
        <f t="shared" si="7"/>
        <v>227.67000000000002</v>
      </c>
    </row>
    <row r="37" spans="1:22">
      <c r="B37">
        <v>102</v>
      </c>
      <c r="C37" s="2952" t="s">
        <v>3139</v>
      </c>
      <c r="D37">
        <v>317.55</v>
      </c>
      <c r="G37">
        <v>-132</v>
      </c>
      <c r="H37" s="2952" t="s">
        <v>3142</v>
      </c>
      <c r="I37">
        <v>75.98</v>
      </c>
      <c r="L37" s="2967">
        <v>105</v>
      </c>
      <c r="P37" s="2952">
        <v>319.02</v>
      </c>
      <c r="Q37">
        <f t="shared" si="6"/>
        <v>90.43</v>
      </c>
      <c r="R37">
        <f t="shared" si="7"/>
        <v>228.58999999999997</v>
      </c>
    </row>
    <row r="38" spans="1:22">
      <c r="D38" s="2963">
        <f>SUM(D34:D37)</f>
        <v>1367.25</v>
      </c>
      <c r="G38">
        <v>-133</v>
      </c>
      <c r="H38" s="2952" t="s">
        <v>3142</v>
      </c>
      <c r="I38">
        <v>75.98</v>
      </c>
      <c r="L38" s="2968">
        <v>106</v>
      </c>
      <c r="P38" s="2968">
        <v>335.05</v>
      </c>
      <c r="Q38" s="2963">
        <f t="shared" si="6"/>
        <v>94.98</v>
      </c>
      <c r="R38" s="2963">
        <f t="shared" si="7"/>
        <v>240.07</v>
      </c>
    </row>
    <row r="39" spans="1:22">
      <c r="A39" s="2952" t="s">
        <v>3147</v>
      </c>
      <c r="B39">
        <v>107</v>
      </c>
      <c r="C39" s="2952" t="s">
        <v>3139</v>
      </c>
      <c r="D39">
        <v>332.46</v>
      </c>
      <c r="G39">
        <v>-134</v>
      </c>
      <c r="H39" s="2952" t="s">
        <v>3142</v>
      </c>
      <c r="I39">
        <v>75.98</v>
      </c>
      <c r="L39" s="2968">
        <v>107</v>
      </c>
      <c r="P39" s="2968">
        <v>334.29</v>
      </c>
      <c r="Q39" s="2963">
        <f t="shared" si="6"/>
        <v>94.76</v>
      </c>
      <c r="R39" s="2963">
        <f t="shared" si="7"/>
        <v>239.53000000000003</v>
      </c>
    </row>
    <row r="40" spans="1:22">
      <c r="D40" s="2963">
        <f>SUM(D39)</f>
        <v>332.46</v>
      </c>
      <c r="G40">
        <v>-221</v>
      </c>
      <c r="H40" s="2952" t="s">
        <v>3142</v>
      </c>
      <c r="I40">
        <v>75.98</v>
      </c>
      <c r="L40" s="2968">
        <v>108</v>
      </c>
      <c r="P40" s="2968">
        <v>334.29</v>
      </c>
      <c r="Q40" s="2963">
        <f t="shared" si="6"/>
        <v>94.76</v>
      </c>
      <c r="R40" s="2963">
        <f t="shared" si="7"/>
        <v>239.53000000000003</v>
      </c>
    </row>
    <row r="41" spans="1:22">
      <c r="A41" s="2952" t="s">
        <v>3148</v>
      </c>
      <c r="D41">
        <v>0</v>
      </c>
      <c r="G41">
        <v>-222</v>
      </c>
      <c r="H41" s="2952" t="s">
        <v>3142</v>
      </c>
      <c r="I41">
        <v>75.98</v>
      </c>
      <c r="L41" s="2967">
        <v>109</v>
      </c>
      <c r="P41" s="2952">
        <v>332.22</v>
      </c>
      <c r="Q41">
        <f t="shared" si="6"/>
        <v>94.18</v>
      </c>
      <c r="R41">
        <f t="shared" si="7"/>
        <v>238.04000000000002</v>
      </c>
    </row>
    <row r="42" spans="1:22">
      <c r="D42" s="2963">
        <v>0</v>
      </c>
      <c r="G42">
        <v>-219</v>
      </c>
      <c r="H42" s="2952" t="s">
        <v>3142</v>
      </c>
      <c r="I42">
        <v>75.98</v>
      </c>
      <c r="L42" s="2967">
        <v>110</v>
      </c>
      <c r="P42" s="2952">
        <v>332.99</v>
      </c>
      <c r="Q42">
        <f>N33-Q33-Q34-Q35-Q36-Q37-Q38-Q39-Q40-Q41</f>
        <v>94.399999999999977</v>
      </c>
      <c r="R42">
        <f t="shared" si="7"/>
        <v>238.59000000000003</v>
      </c>
    </row>
    <row r="43" spans="1:22">
      <c r="A43" s="2952" t="s">
        <v>3149</v>
      </c>
      <c r="D43">
        <v>0</v>
      </c>
      <c r="G43">
        <v>-220</v>
      </c>
      <c r="H43" s="2952" t="s">
        <v>3142</v>
      </c>
      <c r="I43">
        <v>75.98</v>
      </c>
    </row>
    <row r="44" spans="1:22">
      <c r="D44" s="2963">
        <v>0</v>
      </c>
      <c r="G44">
        <v>-227</v>
      </c>
      <c r="H44" s="2952" t="s">
        <v>3142</v>
      </c>
      <c r="I44">
        <v>75.98</v>
      </c>
      <c r="K44" s="2952" t="s">
        <v>3165</v>
      </c>
      <c r="L44" s="2952" t="s">
        <v>3166</v>
      </c>
      <c r="M44" s="2952" t="s">
        <v>3169</v>
      </c>
      <c r="N44" s="2952" t="s">
        <v>3167</v>
      </c>
      <c r="O44" s="2952" t="s">
        <v>3171</v>
      </c>
      <c r="P44" s="2952" t="s">
        <v>3170</v>
      </c>
      <c r="Q44" s="2952" t="s">
        <v>3172</v>
      </c>
      <c r="R44" s="2952" t="s">
        <v>3173</v>
      </c>
      <c r="U44" s="2952" t="s">
        <v>3203</v>
      </c>
      <c r="V44" s="2952" t="s">
        <v>3204</v>
      </c>
    </row>
    <row r="45" spans="1:22">
      <c r="A45" s="2952" t="s">
        <v>3150</v>
      </c>
      <c r="D45">
        <v>0</v>
      </c>
      <c r="G45">
        <v>-228</v>
      </c>
      <c r="H45" s="2952" t="s">
        <v>3142</v>
      </c>
      <c r="I45">
        <v>75.98</v>
      </c>
      <c r="K45" s="2952" t="s">
        <v>3177</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3142</v>
      </c>
      <c r="I46">
        <v>75.98</v>
      </c>
      <c r="L46" s="2968">
        <v>102</v>
      </c>
      <c r="P46" s="2968">
        <v>317.26</v>
      </c>
      <c r="Q46" s="2963">
        <f t="shared" ref="Q46:Q51" si="8">ROUND(P46*$O$45,2)</f>
        <v>89.84</v>
      </c>
      <c r="R46" s="2963">
        <f t="shared" ref="R46:R52" si="9">P46-Q46</f>
        <v>227.42</v>
      </c>
    </row>
    <row r="47" spans="1:22">
      <c r="A47" s="2952" t="s">
        <v>3151</v>
      </c>
      <c r="D47">
        <v>0</v>
      </c>
      <c r="G47">
        <v>-214</v>
      </c>
      <c r="H47" s="2952" t="s">
        <v>3142</v>
      </c>
      <c r="I47">
        <v>75.98</v>
      </c>
      <c r="L47" s="2968">
        <v>103</v>
      </c>
      <c r="P47" s="2968">
        <v>317.14</v>
      </c>
      <c r="Q47" s="2963">
        <f t="shared" si="8"/>
        <v>89.8</v>
      </c>
      <c r="R47" s="2963">
        <f t="shared" si="9"/>
        <v>227.33999999999997</v>
      </c>
    </row>
    <row r="48" spans="1:22">
      <c r="D48" s="2963">
        <v>0</v>
      </c>
      <c r="G48">
        <v>-205</v>
      </c>
      <c r="H48" s="2952" t="s">
        <v>3142</v>
      </c>
      <c r="I48">
        <v>75.98</v>
      </c>
      <c r="L48" s="2967">
        <v>104</v>
      </c>
      <c r="P48" s="2952">
        <v>374.68</v>
      </c>
      <c r="Q48">
        <f t="shared" si="8"/>
        <v>106.1</v>
      </c>
      <c r="R48">
        <f t="shared" si="9"/>
        <v>268.58000000000004</v>
      </c>
    </row>
    <row r="49" spans="1:22">
      <c r="A49" s="2952" t="s">
        <v>3152</v>
      </c>
      <c r="B49">
        <v>106</v>
      </c>
      <c r="C49" s="2952" t="s">
        <v>3139</v>
      </c>
      <c r="D49">
        <v>314.94</v>
      </c>
      <c r="G49">
        <v>-206</v>
      </c>
      <c r="H49" s="2952" t="s">
        <v>3142</v>
      </c>
      <c r="I49">
        <v>75.98</v>
      </c>
      <c r="L49" s="2967">
        <v>105</v>
      </c>
      <c r="P49" s="2952">
        <v>314.77999999999997</v>
      </c>
      <c r="Q49">
        <f t="shared" si="8"/>
        <v>89.14</v>
      </c>
      <c r="R49">
        <f t="shared" si="9"/>
        <v>225.64</v>
      </c>
    </row>
    <row r="50" spans="1:22">
      <c r="B50">
        <v>102</v>
      </c>
      <c r="C50" s="2952" t="s">
        <v>3139</v>
      </c>
      <c r="D50" s="2964">
        <v>317.27999999999997</v>
      </c>
      <c r="G50">
        <v>-187</v>
      </c>
      <c r="H50" s="2952" t="s">
        <v>3142</v>
      </c>
      <c r="I50">
        <v>75.98</v>
      </c>
      <c r="L50" s="2968">
        <v>106</v>
      </c>
      <c r="P50" s="2968">
        <v>333.65</v>
      </c>
      <c r="Q50" s="2963">
        <f t="shared" si="8"/>
        <v>94.48</v>
      </c>
      <c r="R50" s="2963">
        <f t="shared" si="9"/>
        <v>239.16999999999996</v>
      </c>
    </row>
    <row r="51" spans="1:22">
      <c r="B51">
        <v>101</v>
      </c>
      <c r="C51" s="2952" t="s">
        <v>3139</v>
      </c>
      <c r="D51">
        <v>318.67</v>
      </c>
      <c r="G51">
        <v>-188</v>
      </c>
      <c r="H51" s="2952" t="s">
        <v>3142</v>
      </c>
      <c r="I51">
        <v>75.98</v>
      </c>
      <c r="L51" s="2968">
        <v>107</v>
      </c>
      <c r="P51" s="2968">
        <v>331.59</v>
      </c>
      <c r="Q51" s="2963">
        <f t="shared" si="8"/>
        <v>93.9</v>
      </c>
      <c r="R51" s="2963">
        <f t="shared" si="9"/>
        <v>237.68999999999997</v>
      </c>
    </row>
    <row r="52" spans="1:22">
      <c r="B52">
        <v>103</v>
      </c>
      <c r="C52" s="2952" t="s">
        <v>3153</v>
      </c>
      <c r="D52">
        <v>312.49</v>
      </c>
      <c r="G52">
        <v>-189</v>
      </c>
      <c r="H52" s="2952" t="s">
        <v>3142</v>
      </c>
      <c r="I52">
        <v>75.98</v>
      </c>
      <c r="L52" s="2967">
        <v>108</v>
      </c>
      <c r="P52" s="2952">
        <v>339.89</v>
      </c>
      <c r="Q52">
        <f>N45-Q45-Q46-Q47-Q48-Q49-Q50-Q51</f>
        <v>96.239999999999981</v>
      </c>
      <c r="R52">
        <f t="shared" si="9"/>
        <v>243.65</v>
      </c>
    </row>
    <row r="53" spans="1:22">
      <c r="B53">
        <v>105</v>
      </c>
      <c r="C53" s="2952" t="s">
        <v>3139</v>
      </c>
      <c r="D53">
        <v>312.66000000000003</v>
      </c>
      <c r="G53">
        <v>-190</v>
      </c>
      <c r="H53" s="2952" t="s">
        <v>3142</v>
      </c>
      <c r="I53">
        <v>75.98</v>
      </c>
      <c r="L53" s="2952"/>
      <c r="P53" s="2952"/>
    </row>
    <row r="54" spans="1:22">
      <c r="D54" s="2963">
        <f>SUM(D49:D53)</f>
        <v>1576.0400000000002</v>
      </c>
      <c r="G54">
        <v>-197</v>
      </c>
      <c r="H54" s="2952" t="s">
        <v>3142</v>
      </c>
      <c r="I54">
        <v>75.98</v>
      </c>
      <c r="K54" s="2952" t="s">
        <v>3165</v>
      </c>
      <c r="L54" s="2952" t="s">
        <v>3166</v>
      </c>
      <c r="M54" s="2952" t="s">
        <v>3169</v>
      </c>
      <c r="N54" s="2952" t="s">
        <v>3167</v>
      </c>
      <c r="O54" s="2952" t="s">
        <v>3171</v>
      </c>
      <c r="P54" s="2952" t="s">
        <v>3170</v>
      </c>
      <c r="Q54" s="2952" t="s">
        <v>3172</v>
      </c>
      <c r="R54" s="2952" t="s">
        <v>3173</v>
      </c>
      <c r="U54" s="2952" t="s">
        <v>3203</v>
      </c>
      <c r="V54" s="2952" t="s">
        <v>3204</v>
      </c>
    </row>
    <row r="55" spans="1:22">
      <c r="A55" s="2952" t="s">
        <v>3154</v>
      </c>
      <c r="B55">
        <v>106</v>
      </c>
      <c r="C55" s="2952" t="s">
        <v>3153</v>
      </c>
      <c r="D55">
        <v>333.58</v>
      </c>
      <c r="G55">
        <v>-198</v>
      </c>
      <c r="H55" s="2952" t="s">
        <v>3142</v>
      </c>
      <c r="I55">
        <v>75.98</v>
      </c>
      <c r="K55" s="2952" t="s">
        <v>3178</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3153</v>
      </c>
      <c r="D56">
        <v>317.07</v>
      </c>
      <c r="G56">
        <v>-181</v>
      </c>
      <c r="H56" s="2952" t="s">
        <v>3142</v>
      </c>
      <c r="I56">
        <v>75.98</v>
      </c>
      <c r="L56" s="2968">
        <v>102</v>
      </c>
      <c r="P56" s="2968">
        <v>317.38</v>
      </c>
      <c r="Q56" s="2963">
        <f t="shared" ref="Q56:Q61" si="10">ROUND(P56*$O$55,2)</f>
        <v>89.18</v>
      </c>
      <c r="R56" s="2963">
        <f t="shared" ref="R56:R62" si="11">P56-Q56</f>
        <v>228.2</v>
      </c>
    </row>
    <row r="57" spans="1:22">
      <c r="B57">
        <v>104</v>
      </c>
      <c r="C57" s="2952" t="s">
        <v>3153</v>
      </c>
      <c r="D57">
        <v>318.33999999999997</v>
      </c>
      <c r="G57">
        <v>-182</v>
      </c>
      <c r="H57" s="2952" t="s">
        <v>3142</v>
      </c>
      <c r="I57">
        <v>75.98</v>
      </c>
      <c r="L57" s="2968">
        <v>103</v>
      </c>
      <c r="P57" s="2968">
        <v>317.26</v>
      </c>
      <c r="Q57" s="2963">
        <f t="shared" si="10"/>
        <v>89.15</v>
      </c>
      <c r="R57" s="2963">
        <f t="shared" si="11"/>
        <v>228.10999999999999</v>
      </c>
    </row>
    <row r="58" spans="1:22">
      <c r="B58">
        <v>108</v>
      </c>
      <c r="C58" s="2952" t="s">
        <v>3153</v>
      </c>
      <c r="D58">
        <v>312.64999999999998</v>
      </c>
      <c r="G58">
        <v>-199</v>
      </c>
      <c r="H58" s="2952" t="s">
        <v>3142</v>
      </c>
      <c r="I58">
        <v>75.98</v>
      </c>
      <c r="L58" s="2968">
        <v>104</v>
      </c>
      <c r="P58" s="2968">
        <v>318.52999999999997</v>
      </c>
      <c r="Q58" s="2963">
        <f t="shared" si="10"/>
        <v>89.51</v>
      </c>
      <c r="R58" s="2963">
        <f t="shared" si="11"/>
        <v>229.01999999999998</v>
      </c>
    </row>
    <row r="59" spans="1:22">
      <c r="B59">
        <v>102</v>
      </c>
      <c r="C59" s="2952" t="s">
        <v>3153</v>
      </c>
      <c r="D59">
        <v>317.19</v>
      </c>
      <c r="G59">
        <v>-200</v>
      </c>
      <c r="H59" s="2952" t="s">
        <v>3142</v>
      </c>
      <c r="I59">
        <v>75.98</v>
      </c>
      <c r="L59" s="2968">
        <v>105</v>
      </c>
      <c r="P59" s="2968">
        <v>341.96</v>
      </c>
      <c r="Q59" s="2963">
        <f t="shared" si="10"/>
        <v>96.09</v>
      </c>
      <c r="R59" s="2963">
        <f t="shared" si="11"/>
        <v>245.86999999999998</v>
      </c>
    </row>
    <row r="60" spans="1:22">
      <c r="B60">
        <v>105</v>
      </c>
      <c r="C60" s="2952" t="s">
        <v>3153</v>
      </c>
      <c r="D60">
        <v>341.76</v>
      </c>
      <c r="G60">
        <v>-387</v>
      </c>
      <c r="H60" s="2952" t="s">
        <v>3142</v>
      </c>
      <c r="I60">
        <v>75.98</v>
      </c>
      <c r="L60" s="2968">
        <v>106</v>
      </c>
      <c r="P60" s="2968">
        <v>333.77</v>
      </c>
      <c r="Q60" s="2963">
        <f t="shared" si="10"/>
        <v>93.79</v>
      </c>
      <c r="R60" s="2963">
        <f t="shared" si="11"/>
        <v>239.97999999999996</v>
      </c>
    </row>
    <row r="61" spans="1:22">
      <c r="B61">
        <v>107</v>
      </c>
      <c r="C61" s="2952" t="s">
        <v>3153</v>
      </c>
      <c r="D61">
        <v>331.51</v>
      </c>
      <c r="G61">
        <v>-388</v>
      </c>
      <c r="H61" s="2952" t="s">
        <v>3142</v>
      </c>
      <c r="I61">
        <v>75.98</v>
      </c>
      <c r="L61" s="2968">
        <v>107</v>
      </c>
      <c r="P61" s="2968">
        <v>331.71</v>
      </c>
      <c r="Q61" s="2963">
        <f t="shared" si="10"/>
        <v>93.21</v>
      </c>
      <c r="R61" s="2963">
        <f t="shared" si="11"/>
        <v>238.5</v>
      </c>
    </row>
    <row r="62" spans="1:22">
      <c r="B62">
        <v>101</v>
      </c>
      <c r="C62" s="2952" t="s">
        <v>3153</v>
      </c>
      <c r="D62">
        <v>374.71</v>
      </c>
      <c r="G62">
        <v>-391</v>
      </c>
      <c r="H62" s="2952" t="s">
        <v>3142</v>
      </c>
      <c r="I62">
        <v>75.98</v>
      </c>
      <c r="L62" s="2968">
        <v>108</v>
      </c>
      <c r="P62" s="2968">
        <v>332.47</v>
      </c>
      <c r="Q62" s="2963">
        <f>N55-Q55-Q56-Q57-Q58-Q59-Q60-Q61</f>
        <v>93.420000000000059</v>
      </c>
      <c r="R62" s="2963">
        <f t="shared" si="11"/>
        <v>239.04999999999995</v>
      </c>
    </row>
    <row r="63" spans="1:22">
      <c r="D63" s="2963">
        <f>SUM(D55:D62)</f>
        <v>2646.81</v>
      </c>
      <c r="G63">
        <v>-392</v>
      </c>
      <c r="H63" s="2952" t="s">
        <v>3142</v>
      </c>
      <c r="I63">
        <v>75.98</v>
      </c>
    </row>
    <row r="64" spans="1:22">
      <c r="A64" s="2952" t="s">
        <v>3155</v>
      </c>
      <c r="B64">
        <v>114</v>
      </c>
      <c r="C64" s="2952" t="s">
        <v>3139</v>
      </c>
      <c r="D64">
        <v>313.01</v>
      </c>
      <c r="G64">
        <v>-383</v>
      </c>
      <c r="H64" s="2952" t="s">
        <v>3142</v>
      </c>
      <c r="I64">
        <v>75.98</v>
      </c>
      <c r="K64" s="2952" t="s">
        <v>3165</v>
      </c>
      <c r="L64" s="2952" t="s">
        <v>3166</v>
      </c>
      <c r="M64" s="2952" t="s">
        <v>3169</v>
      </c>
      <c r="N64" s="2952" t="s">
        <v>3167</v>
      </c>
      <c r="O64" s="2952" t="s">
        <v>3171</v>
      </c>
      <c r="P64" s="2952" t="s">
        <v>3170</v>
      </c>
      <c r="Q64" s="2952" t="s">
        <v>3172</v>
      </c>
      <c r="R64" s="2952" t="s">
        <v>3173</v>
      </c>
      <c r="U64" s="2952" t="s">
        <v>3203</v>
      </c>
      <c r="V64" s="2952" t="s">
        <v>3204</v>
      </c>
    </row>
    <row r="65" spans="1:22">
      <c r="B65">
        <v>101</v>
      </c>
      <c r="C65" s="2952" t="s">
        <v>3139</v>
      </c>
      <c r="D65">
        <v>375.16</v>
      </c>
      <c r="G65">
        <v>-384</v>
      </c>
      <c r="H65" s="2952" t="s">
        <v>3142</v>
      </c>
      <c r="I65">
        <v>75.98</v>
      </c>
      <c r="K65" s="2952" t="s">
        <v>3179</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3139</v>
      </c>
      <c r="D66">
        <v>318.72000000000003</v>
      </c>
      <c r="G66">
        <v>-385</v>
      </c>
      <c r="H66" s="2952" t="s">
        <v>3142</v>
      </c>
      <c r="I66">
        <v>75.98</v>
      </c>
      <c r="L66" s="2967">
        <v>102</v>
      </c>
      <c r="P66" s="2952">
        <v>317.55</v>
      </c>
      <c r="Q66">
        <f t="shared" ref="Q66:Q73" si="12">ROUND(P66*$O$65,2)</f>
        <v>89.48</v>
      </c>
      <c r="R66">
        <f t="shared" ref="R66:R74" si="13">P66-Q66</f>
        <v>228.07</v>
      </c>
    </row>
    <row r="67" spans="1:22">
      <c r="B67">
        <v>112</v>
      </c>
      <c r="C67" s="2952" t="s">
        <v>3139</v>
      </c>
      <c r="D67">
        <v>333.98</v>
      </c>
      <c r="G67">
        <v>-386</v>
      </c>
      <c r="H67" s="2952" t="s">
        <v>3142</v>
      </c>
      <c r="I67">
        <v>75.98</v>
      </c>
      <c r="L67" s="2968">
        <v>103</v>
      </c>
      <c r="P67" s="2968">
        <v>317.55</v>
      </c>
      <c r="Q67" s="2963">
        <f t="shared" si="12"/>
        <v>89.48</v>
      </c>
      <c r="R67" s="2963">
        <f t="shared" si="13"/>
        <v>228.07</v>
      </c>
    </row>
    <row r="68" spans="1:22">
      <c r="B68">
        <v>105</v>
      </c>
      <c r="C68" s="2952" t="s">
        <v>3139</v>
      </c>
      <c r="D68">
        <v>317.57</v>
      </c>
      <c r="G68">
        <v>-389</v>
      </c>
      <c r="H68" s="2952" t="s">
        <v>3142</v>
      </c>
      <c r="I68">
        <v>75.98</v>
      </c>
      <c r="L68" s="2968">
        <v>104</v>
      </c>
      <c r="P68" s="2968">
        <v>317.43</v>
      </c>
      <c r="Q68" s="2963">
        <f t="shared" si="12"/>
        <v>89.44</v>
      </c>
      <c r="R68" s="2963">
        <f t="shared" si="13"/>
        <v>227.99</v>
      </c>
    </row>
    <row r="69" spans="1:22">
      <c r="B69">
        <v>111</v>
      </c>
      <c r="C69" s="2952" t="s">
        <v>3139</v>
      </c>
      <c r="D69">
        <v>333.98</v>
      </c>
      <c r="G69">
        <v>-390</v>
      </c>
      <c r="H69" s="2952" t="s">
        <v>3142</v>
      </c>
      <c r="I69">
        <v>75.98</v>
      </c>
      <c r="L69" s="2967">
        <v>105</v>
      </c>
      <c r="P69" s="2952">
        <v>375.08</v>
      </c>
      <c r="Q69">
        <f t="shared" si="12"/>
        <v>105.69</v>
      </c>
      <c r="R69">
        <f t="shared" si="13"/>
        <v>269.39</v>
      </c>
    </row>
    <row r="70" spans="1:22">
      <c r="B70">
        <v>104</v>
      </c>
      <c r="C70" s="2952" t="s">
        <v>3139</v>
      </c>
      <c r="D70">
        <v>317.57</v>
      </c>
      <c r="G70">
        <v>-377</v>
      </c>
      <c r="H70" s="2952" t="s">
        <v>3142</v>
      </c>
      <c r="I70">
        <v>75.98</v>
      </c>
      <c r="L70" s="2967">
        <v>106</v>
      </c>
      <c r="P70" s="2952">
        <v>334.72</v>
      </c>
      <c r="Q70">
        <f t="shared" si="12"/>
        <v>94.32</v>
      </c>
      <c r="R70">
        <f t="shared" si="13"/>
        <v>240.40000000000003</v>
      </c>
    </row>
    <row r="71" spans="1:22">
      <c r="D71" s="2963">
        <f>SUM(D64:D70)</f>
        <v>2309.9900000000002</v>
      </c>
      <c r="G71">
        <v>-378</v>
      </c>
      <c r="H71" s="2952" t="s">
        <v>3142</v>
      </c>
      <c r="I71">
        <v>75.98</v>
      </c>
      <c r="L71" s="2968">
        <v>107</v>
      </c>
      <c r="P71" s="2968">
        <v>333.96</v>
      </c>
      <c r="Q71" s="2963">
        <f t="shared" si="12"/>
        <v>94.1</v>
      </c>
      <c r="R71" s="2963">
        <f t="shared" si="13"/>
        <v>239.85999999999999</v>
      </c>
    </row>
    <row r="72" spans="1:22">
      <c r="A72" s="2952" t="s">
        <v>3156</v>
      </c>
      <c r="B72">
        <v>104</v>
      </c>
      <c r="C72" s="2952" t="s">
        <v>3153</v>
      </c>
      <c r="D72">
        <v>314.91000000000003</v>
      </c>
      <c r="G72">
        <v>-401</v>
      </c>
      <c r="H72" s="2952" t="s">
        <v>3142</v>
      </c>
      <c r="I72">
        <v>75.98</v>
      </c>
      <c r="L72" s="2968">
        <v>108</v>
      </c>
      <c r="P72" s="2968">
        <v>333.96</v>
      </c>
      <c r="Q72" s="2963">
        <f t="shared" si="12"/>
        <v>94.1</v>
      </c>
      <c r="R72" s="2963">
        <f t="shared" si="13"/>
        <v>239.85999999999999</v>
      </c>
    </row>
    <row r="73" spans="1:22">
      <c r="B73">
        <v>101</v>
      </c>
      <c r="C73" s="2952" t="s">
        <v>3153</v>
      </c>
      <c r="D73">
        <v>318.67</v>
      </c>
      <c r="G73">
        <v>-402</v>
      </c>
      <c r="H73" s="2952" t="s">
        <v>3142</v>
      </c>
      <c r="I73">
        <v>75.98</v>
      </c>
      <c r="L73" s="2968">
        <v>109</v>
      </c>
      <c r="P73" s="2968">
        <v>332.18</v>
      </c>
      <c r="Q73" s="2963">
        <f t="shared" si="12"/>
        <v>93.6</v>
      </c>
      <c r="R73" s="2963">
        <f t="shared" si="13"/>
        <v>238.58</v>
      </c>
    </row>
    <row r="74" spans="1:22">
      <c r="B74">
        <v>103</v>
      </c>
      <c r="C74" s="2952" t="s">
        <v>3153</v>
      </c>
      <c r="D74">
        <v>312.49</v>
      </c>
      <c r="G74">
        <v>-397</v>
      </c>
      <c r="H74" s="2952" t="s">
        <v>3142</v>
      </c>
      <c r="I74">
        <v>75.98</v>
      </c>
      <c r="L74" s="2967">
        <v>110</v>
      </c>
      <c r="P74" s="2952">
        <v>339.9</v>
      </c>
      <c r="Q74">
        <f>N65-Q65-Q66-Q67-Q68-Q69-Q70-Q71-Q72-Q73</f>
        <v>95.779999999999916</v>
      </c>
      <c r="R74">
        <f t="shared" si="13"/>
        <v>244.12000000000006</v>
      </c>
    </row>
    <row r="75" spans="1:22">
      <c r="B75">
        <v>102</v>
      </c>
      <c r="C75" s="2952" t="s">
        <v>3153</v>
      </c>
      <c r="D75">
        <v>317.27999999999997</v>
      </c>
      <c r="G75">
        <v>-398</v>
      </c>
      <c r="H75" s="2952" t="s">
        <v>3142</v>
      </c>
      <c r="I75">
        <v>75.98</v>
      </c>
    </row>
    <row r="76" spans="1:22">
      <c r="B76">
        <v>106</v>
      </c>
      <c r="C76" s="2952" t="s">
        <v>3139</v>
      </c>
      <c r="D76">
        <v>314.94</v>
      </c>
      <c r="G76">
        <v>-381</v>
      </c>
      <c r="H76" s="2952" t="s">
        <v>3142</v>
      </c>
      <c r="I76">
        <v>75.98</v>
      </c>
      <c r="K76" s="2952" t="s">
        <v>3165</v>
      </c>
      <c r="L76" s="2952" t="s">
        <v>3166</v>
      </c>
      <c r="M76" s="2952" t="s">
        <v>3169</v>
      </c>
      <c r="N76" s="2952" t="s">
        <v>3167</v>
      </c>
      <c r="O76" s="2952" t="s">
        <v>3171</v>
      </c>
      <c r="P76" s="2952" t="s">
        <v>3170</v>
      </c>
      <c r="Q76" s="2952" t="s">
        <v>3172</v>
      </c>
      <c r="R76" s="2952" t="s">
        <v>3173</v>
      </c>
      <c r="U76" s="2952" t="s">
        <v>3203</v>
      </c>
      <c r="V76" s="2952" t="s">
        <v>3204</v>
      </c>
    </row>
    <row r="77" spans="1:22">
      <c r="D77" s="2963">
        <f>SUM(D72:D76)</f>
        <v>1578.29</v>
      </c>
      <c r="G77">
        <v>-382</v>
      </c>
      <c r="H77" s="2952" t="s">
        <v>3142</v>
      </c>
      <c r="I77">
        <v>75.98</v>
      </c>
      <c r="K77" s="2952" t="s">
        <v>3180</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3157</v>
      </c>
      <c r="B78">
        <v>102</v>
      </c>
      <c r="C78" s="2952" t="s">
        <v>3153</v>
      </c>
      <c r="D78">
        <v>317.22000000000003</v>
      </c>
      <c r="G78">
        <v>-395</v>
      </c>
      <c r="H78" s="2952" t="s">
        <v>3142</v>
      </c>
      <c r="I78">
        <v>75.98</v>
      </c>
      <c r="L78" s="2968">
        <v>102</v>
      </c>
      <c r="P78" s="2968">
        <v>317.37</v>
      </c>
      <c r="Q78" s="2963">
        <f t="shared" si="14"/>
        <v>89.27</v>
      </c>
      <c r="R78" s="2963">
        <f t="shared" ref="R78:R83" si="15">P78-Q78</f>
        <v>228.10000000000002</v>
      </c>
    </row>
    <row r="79" spans="1:22">
      <c r="B79">
        <v>107</v>
      </c>
      <c r="C79" s="2952" t="s">
        <v>3153</v>
      </c>
      <c r="D79">
        <v>313.54000000000002</v>
      </c>
      <c r="G79">
        <v>-396</v>
      </c>
      <c r="H79" s="2952" t="s">
        <v>3142</v>
      </c>
      <c r="I79">
        <v>75.98</v>
      </c>
      <c r="L79" s="2968">
        <v>103</v>
      </c>
      <c r="P79" s="2968">
        <v>317.25</v>
      </c>
      <c r="Q79" s="2963">
        <f t="shared" si="14"/>
        <v>89.24</v>
      </c>
      <c r="R79" s="2963">
        <f t="shared" si="15"/>
        <v>228.01</v>
      </c>
    </row>
    <row r="80" spans="1:22">
      <c r="B80">
        <v>106</v>
      </c>
      <c r="C80" s="2952" t="s">
        <v>3153</v>
      </c>
      <c r="D80">
        <v>333.61</v>
      </c>
      <c r="G80">
        <v>-379</v>
      </c>
      <c r="H80" s="2952" t="s">
        <v>3142</v>
      </c>
      <c r="I80">
        <v>75.98</v>
      </c>
      <c r="L80" s="2968">
        <v>104</v>
      </c>
      <c r="P80" s="2968">
        <v>318.52</v>
      </c>
      <c r="Q80" s="2963">
        <f t="shared" si="14"/>
        <v>89.6</v>
      </c>
      <c r="R80" s="2963">
        <f t="shared" si="15"/>
        <v>228.92</v>
      </c>
    </row>
    <row r="81" spans="1:22">
      <c r="B81">
        <v>103</v>
      </c>
      <c r="C81" s="2952" t="s">
        <v>3153</v>
      </c>
      <c r="D81">
        <v>317.10000000000002</v>
      </c>
      <c r="G81">
        <v>-380</v>
      </c>
      <c r="H81" s="2952" t="s">
        <v>3142</v>
      </c>
      <c r="I81">
        <v>75.98</v>
      </c>
      <c r="L81" s="2968">
        <v>105</v>
      </c>
      <c r="P81" s="2968">
        <v>334.45</v>
      </c>
      <c r="Q81" s="2963">
        <f t="shared" si="14"/>
        <v>94.08</v>
      </c>
      <c r="R81" s="2963">
        <f t="shared" si="15"/>
        <v>240.37</v>
      </c>
    </row>
    <row r="82" spans="1:22">
      <c r="B82">
        <v>108</v>
      </c>
      <c r="C82" s="2952" t="s">
        <v>3153</v>
      </c>
      <c r="D82">
        <v>312.67</v>
      </c>
      <c r="G82">
        <v>-399</v>
      </c>
      <c r="H82" s="2952" t="s">
        <v>3142</v>
      </c>
      <c r="I82">
        <v>75.98</v>
      </c>
      <c r="L82" s="2968">
        <v>106</v>
      </c>
      <c r="P82" s="2968">
        <v>331.7</v>
      </c>
      <c r="Q82" s="2963">
        <f t="shared" si="14"/>
        <v>93.3</v>
      </c>
      <c r="R82" s="2963">
        <f t="shared" si="15"/>
        <v>238.39999999999998</v>
      </c>
    </row>
    <row r="83" spans="1:22">
      <c r="D83" s="2963">
        <f>SUM(D78:D82)</f>
        <v>1594.14</v>
      </c>
      <c r="G83">
        <v>-400</v>
      </c>
      <c r="H83" s="2952" t="s">
        <v>3142</v>
      </c>
      <c r="I83">
        <v>75.98</v>
      </c>
      <c r="L83" s="2967">
        <v>107</v>
      </c>
      <c r="P83" s="2952">
        <v>332.46</v>
      </c>
      <c r="Q83">
        <f>N77-Q77-Q78-Q79-Q80-Q81-Q82</f>
        <v>93.52</v>
      </c>
      <c r="R83">
        <f t="shared" si="15"/>
        <v>238.94</v>
      </c>
    </row>
    <row r="84" spans="1:22">
      <c r="A84" s="2952" t="s">
        <v>3158</v>
      </c>
      <c r="B84">
        <v>106</v>
      </c>
      <c r="C84" s="2952" t="s">
        <v>3139</v>
      </c>
      <c r="D84">
        <v>374.75</v>
      </c>
      <c r="G84">
        <v>-375</v>
      </c>
      <c r="H84" s="2952" t="s">
        <v>3142</v>
      </c>
      <c r="I84">
        <v>75.98</v>
      </c>
      <c r="L84" s="2952"/>
      <c r="P84" s="2952"/>
    </row>
    <row r="85" spans="1:22">
      <c r="B85">
        <v>111</v>
      </c>
      <c r="C85" s="2952" t="s">
        <v>3139</v>
      </c>
      <c r="D85">
        <v>339.79</v>
      </c>
      <c r="G85">
        <v>-376</v>
      </c>
      <c r="H85" s="2952" t="s">
        <v>3142</v>
      </c>
      <c r="I85">
        <v>75.98</v>
      </c>
      <c r="K85" s="2952" t="s">
        <v>3165</v>
      </c>
      <c r="L85" s="2952" t="s">
        <v>3166</v>
      </c>
      <c r="M85" s="2952" t="s">
        <v>3169</v>
      </c>
      <c r="N85" s="2952" t="s">
        <v>3167</v>
      </c>
      <c r="O85" s="2952" t="s">
        <v>3171</v>
      </c>
      <c r="P85" s="2952" t="s">
        <v>3170</v>
      </c>
      <c r="Q85" s="2952" t="s">
        <v>3172</v>
      </c>
      <c r="R85" s="2952" t="s">
        <v>3173</v>
      </c>
      <c r="U85" s="2952" t="s">
        <v>3203</v>
      </c>
      <c r="V85" s="2952" t="s">
        <v>3204</v>
      </c>
    </row>
    <row r="86" spans="1:22">
      <c r="B86">
        <v>103</v>
      </c>
      <c r="C86" s="2952" t="s">
        <v>3139</v>
      </c>
      <c r="D86">
        <v>317.27999999999997</v>
      </c>
      <c r="G86">
        <v>-359</v>
      </c>
      <c r="H86" s="2952" t="s">
        <v>3142</v>
      </c>
      <c r="I86">
        <v>75.98</v>
      </c>
      <c r="K86" s="2952" t="s">
        <v>3181</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3139</v>
      </c>
      <c r="D87">
        <v>317.16000000000003</v>
      </c>
      <c r="G87">
        <v>-360</v>
      </c>
      <c r="H87" s="2952" t="s">
        <v>3142</v>
      </c>
      <c r="I87">
        <v>75.98</v>
      </c>
      <c r="L87" s="2968">
        <v>102</v>
      </c>
      <c r="P87" s="2968">
        <v>317.66000000000003</v>
      </c>
      <c r="Q87" s="2963">
        <f t="shared" ref="Q87:Q96" si="16">ROUND(P87*$O$86,2)</f>
        <v>90.07</v>
      </c>
      <c r="R87" s="2963">
        <f t="shared" ref="R87:R97" si="17">P87-Q87</f>
        <v>227.59000000000003</v>
      </c>
    </row>
    <row r="88" spans="1:22">
      <c r="B88">
        <v>108</v>
      </c>
      <c r="C88" s="2952" t="s">
        <v>3139</v>
      </c>
      <c r="D88">
        <v>333.67</v>
      </c>
      <c r="G88">
        <v>-355</v>
      </c>
      <c r="H88" s="2952" t="s">
        <v>3142</v>
      </c>
      <c r="I88">
        <v>75.98</v>
      </c>
      <c r="L88" s="2968">
        <v>103</v>
      </c>
      <c r="P88" s="2968">
        <v>317.66000000000003</v>
      </c>
      <c r="Q88" s="2963">
        <f t="shared" si="16"/>
        <v>90.07</v>
      </c>
      <c r="R88" s="2963">
        <f t="shared" si="17"/>
        <v>227.59000000000003</v>
      </c>
    </row>
    <row r="89" spans="1:22">
      <c r="B89">
        <v>102</v>
      </c>
      <c r="C89" s="2952" t="s">
        <v>3139</v>
      </c>
      <c r="D89">
        <v>317.27999999999997</v>
      </c>
      <c r="G89">
        <v>-356</v>
      </c>
      <c r="H89" s="2952" t="s">
        <v>3142</v>
      </c>
      <c r="I89">
        <v>75.98</v>
      </c>
      <c r="L89" s="2968">
        <v>104</v>
      </c>
      <c r="P89" s="2968">
        <v>317.66000000000003</v>
      </c>
      <c r="Q89" s="2963">
        <f t="shared" si="16"/>
        <v>90.07</v>
      </c>
      <c r="R89" s="2963">
        <f t="shared" si="17"/>
        <v>227.59000000000003</v>
      </c>
    </row>
    <row r="90" spans="1:22">
      <c r="B90">
        <v>104</v>
      </c>
      <c r="C90" s="2952" t="s">
        <v>3139</v>
      </c>
      <c r="D90">
        <v>317.27999999999997</v>
      </c>
      <c r="G90">
        <v>-361</v>
      </c>
      <c r="H90" s="2952" t="s">
        <v>3142</v>
      </c>
      <c r="I90">
        <v>75.98</v>
      </c>
      <c r="L90" s="2968">
        <v>105</v>
      </c>
      <c r="P90" s="2968">
        <v>317.54000000000002</v>
      </c>
      <c r="Q90" s="2963">
        <f t="shared" si="16"/>
        <v>90.04</v>
      </c>
      <c r="R90" s="2963">
        <f t="shared" si="17"/>
        <v>227.5</v>
      </c>
    </row>
    <row r="91" spans="1:22">
      <c r="B91">
        <v>110</v>
      </c>
      <c r="C91" s="2952" t="s">
        <v>3139</v>
      </c>
      <c r="D91">
        <v>331.61</v>
      </c>
      <c r="G91">
        <v>-362</v>
      </c>
      <c r="H91" s="2952" t="s">
        <v>3142</v>
      </c>
      <c r="I91">
        <v>75.98</v>
      </c>
      <c r="L91" s="2968">
        <v>106</v>
      </c>
      <c r="P91" s="2968">
        <v>312.75</v>
      </c>
      <c r="Q91" s="2963">
        <f t="shared" si="16"/>
        <v>88.68</v>
      </c>
      <c r="R91" s="2963">
        <f t="shared" si="17"/>
        <v>224.07</v>
      </c>
    </row>
    <row r="92" spans="1:22">
      <c r="D92" s="2963">
        <f>SUM(D84:D91)</f>
        <v>2648.82</v>
      </c>
      <c r="G92">
        <v>-347</v>
      </c>
      <c r="H92" s="2952" t="s">
        <v>3142</v>
      </c>
      <c r="I92">
        <v>75.98</v>
      </c>
      <c r="L92" s="2968">
        <v>107</v>
      </c>
      <c r="P92" s="2968">
        <v>342.29</v>
      </c>
      <c r="Q92" s="2963">
        <f t="shared" si="16"/>
        <v>97.06</v>
      </c>
      <c r="R92" s="2963">
        <f t="shared" si="17"/>
        <v>245.23000000000002</v>
      </c>
    </row>
    <row r="93" spans="1:22">
      <c r="A93" s="2952" t="s">
        <v>3159</v>
      </c>
      <c r="D93">
        <v>0</v>
      </c>
      <c r="G93">
        <v>-348</v>
      </c>
      <c r="H93" s="2952" t="s">
        <v>3142</v>
      </c>
      <c r="I93">
        <v>75.98</v>
      </c>
      <c r="L93" s="2968">
        <v>108</v>
      </c>
      <c r="P93" s="2968">
        <v>315</v>
      </c>
      <c r="Q93" s="2963">
        <f t="shared" si="16"/>
        <v>89.32</v>
      </c>
      <c r="R93" s="2963">
        <f t="shared" si="17"/>
        <v>225.68</v>
      </c>
    </row>
    <row r="94" spans="1:22">
      <c r="D94" s="2963">
        <v>0</v>
      </c>
      <c r="G94">
        <v>-365</v>
      </c>
      <c r="H94" s="2952" t="s">
        <v>3142</v>
      </c>
      <c r="I94">
        <v>75.98</v>
      </c>
      <c r="L94" s="2968">
        <v>109</v>
      </c>
      <c r="P94" s="2968">
        <v>334.1</v>
      </c>
      <c r="Q94" s="2963">
        <f t="shared" si="16"/>
        <v>94.74</v>
      </c>
      <c r="R94" s="2963">
        <f t="shared" si="17"/>
        <v>239.36</v>
      </c>
    </row>
    <row r="95" spans="1:22">
      <c r="A95" s="2952" t="s">
        <v>3160</v>
      </c>
      <c r="D95">
        <v>0</v>
      </c>
      <c r="G95">
        <v>-366</v>
      </c>
      <c r="H95" s="2952" t="s">
        <v>3142</v>
      </c>
      <c r="I95">
        <v>75.98</v>
      </c>
      <c r="L95" s="2968">
        <v>110</v>
      </c>
      <c r="P95" s="2968">
        <v>334.1</v>
      </c>
      <c r="Q95" s="2963">
        <f t="shared" si="16"/>
        <v>94.74</v>
      </c>
      <c r="R95" s="2963">
        <f t="shared" si="17"/>
        <v>239.36</v>
      </c>
    </row>
    <row r="96" spans="1:22">
      <c r="D96" s="2963">
        <v>0</v>
      </c>
      <c r="G96">
        <v>-367</v>
      </c>
      <c r="H96" s="2952" t="s">
        <v>3142</v>
      </c>
      <c r="I96">
        <v>75.98</v>
      </c>
      <c r="L96" s="2968">
        <v>111</v>
      </c>
      <c r="P96" s="2968">
        <v>332.03</v>
      </c>
      <c r="Q96" s="2963">
        <f t="shared" si="16"/>
        <v>94.15</v>
      </c>
      <c r="R96" s="2963">
        <f t="shared" si="17"/>
        <v>237.87999999999997</v>
      </c>
    </row>
    <row r="97" spans="1:22">
      <c r="A97" s="2952" t="s">
        <v>3161</v>
      </c>
      <c r="D97">
        <v>0</v>
      </c>
      <c r="G97">
        <v>-368</v>
      </c>
      <c r="H97" s="2952" t="s">
        <v>3142</v>
      </c>
      <c r="I97">
        <v>75.98</v>
      </c>
      <c r="L97" s="2968">
        <v>112</v>
      </c>
      <c r="P97" s="2968">
        <v>340.34</v>
      </c>
      <c r="Q97" s="2963">
        <f>N86-Q86-Q87-Q88-Q89-Q90-Q91-Q92-Q93-Q94-Q95-Q96</f>
        <v>96.509999999999962</v>
      </c>
      <c r="R97" s="2963">
        <f t="shared" si="17"/>
        <v>243.83</v>
      </c>
    </row>
    <row r="98" spans="1:22">
      <c r="D98" s="2963">
        <v>0</v>
      </c>
      <c r="G98">
        <v>-353</v>
      </c>
      <c r="H98" s="2952" t="s">
        <v>3142</v>
      </c>
      <c r="I98">
        <v>75.98</v>
      </c>
    </row>
    <row r="99" spans="1:22">
      <c r="A99" s="2952" t="s">
        <v>3162</v>
      </c>
      <c r="D99">
        <v>0</v>
      </c>
      <c r="G99">
        <v>-354</v>
      </c>
      <c r="H99" s="2952" t="s">
        <v>3142</v>
      </c>
      <c r="I99">
        <v>75.98</v>
      </c>
      <c r="K99" s="2952" t="s">
        <v>3165</v>
      </c>
      <c r="L99" s="2952" t="s">
        <v>3166</v>
      </c>
      <c r="M99" s="2952" t="s">
        <v>3169</v>
      </c>
      <c r="N99" s="2952" t="s">
        <v>3167</v>
      </c>
      <c r="O99" s="2952" t="s">
        <v>3171</v>
      </c>
      <c r="P99" s="2952" t="s">
        <v>3170</v>
      </c>
      <c r="Q99" s="2952" t="s">
        <v>3172</v>
      </c>
      <c r="R99" s="2952" t="s">
        <v>3173</v>
      </c>
      <c r="U99" s="2952" t="s">
        <v>3203</v>
      </c>
      <c r="V99" s="2952" t="s">
        <v>3204</v>
      </c>
    </row>
    <row r="100" spans="1:22">
      <c r="D100" s="2963">
        <v>0</v>
      </c>
      <c r="G100">
        <v>-439</v>
      </c>
      <c r="H100" s="2952" t="s">
        <v>3142</v>
      </c>
      <c r="I100">
        <v>75.98</v>
      </c>
      <c r="K100" s="2952" t="s">
        <v>3182</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3163</v>
      </c>
      <c r="D101">
        <v>0</v>
      </c>
      <c r="G101">
        <v>-440</v>
      </c>
      <c r="H101" s="2952" t="s">
        <v>3142</v>
      </c>
      <c r="I101">
        <v>75.98</v>
      </c>
      <c r="L101" s="2968">
        <v>102</v>
      </c>
      <c r="P101" s="2968">
        <v>317.44</v>
      </c>
      <c r="Q101" s="2963">
        <f t="shared" ref="Q101:Q109" si="18">ROUND(P101*$O$100,2)</f>
        <v>89.22</v>
      </c>
      <c r="R101" s="2963">
        <f t="shared" ref="R101:R110" si="19">P101-Q101</f>
        <v>228.22</v>
      </c>
    </row>
    <row r="102" spans="1:22">
      <c r="D102" s="2963">
        <v>0</v>
      </c>
      <c r="G102">
        <v>-443</v>
      </c>
      <c r="H102" s="2952" t="s">
        <v>3142</v>
      </c>
      <c r="I102">
        <v>75.98</v>
      </c>
      <c r="L102" s="2968">
        <v>103</v>
      </c>
      <c r="P102" s="2968">
        <v>317.44</v>
      </c>
      <c r="Q102" s="2963">
        <f t="shared" si="18"/>
        <v>89.22</v>
      </c>
      <c r="R102" s="2963">
        <f t="shared" si="19"/>
        <v>228.22</v>
      </c>
    </row>
    <row r="103" spans="1:22">
      <c r="A103" s="2952" t="s">
        <v>3164</v>
      </c>
      <c r="D103">
        <v>0</v>
      </c>
      <c r="G103">
        <v>-444</v>
      </c>
      <c r="H103" s="2952" t="s">
        <v>3142</v>
      </c>
      <c r="I103">
        <v>75.98</v>
      </c>
      <c r="L103" s="2968">
        <v>104</v>
      </c>
      <c r="P103" s="2968">
        <v>317.44</v>
      </c>
      <c r="Q103" s="2963">
        <f t="shared" si="18"/>
        <v>89.22</v>
      </c>
      <c r="R103" s="2963">
        <f t="shared" si="19"/>
        <v>228.22</v>
      </c>
    </row>
    <row r="104" spans="1:22">
      <c r="D104" s="2963">
        <v>0</v>
      </c>
      <c r="G104">
        <v>-437</v>
      </c>
      <c r="H104" s="2952" t="s">
        <v>3142</v>
      </c>
      <c r="I104">
        <v>75.98</v>
      </c>
      <c r="L104" s="2968">
        <v>105</v>
      </c>
      <c r="P104" s="2968">
        <v>317.32</v>
      </c>
      <c r="Q104" s="2963">
        <f t="shared" si="18"/>
        <v>89.19</v>
      </c>
      <c r="R104" s="2963">
        <f t="shared" si="19"/>
        <v>228.13</v>
      </c>
    </row>
    <row r="105" spans="1:22">
      <c r="G105">
        <v>-438</v>
      </c>
      <c r="H105" s="2952" t="s">
        <v>3142</v>
      </c>
      <c r="I105">
        <v>75.98</v>
      </c>
      <c r="L105" s="2968">
        <v>106</v>
      </c>
      <c r="P105" s="2968">
        <v>374.89</v>
      </c>
      <c r="Q105" s="2963">
        <f t="shared" si="18"/>
        <v>105.37</v>
      </c>
      <c r="R105" s="2963">
        <f t="shared" si="19"/>
        <v>269.52</v>
      </c>
    </row>
    <row r="106" spans="1:22">
      <c r="G106">
        <v>-433</v>
      </c>
      <c r="H106" s="2952" t="s">
        <v>3142</v>
      </c>
      <c r="I106">
        <v>75.98</v>
      </c>
      <c r="L106" s="2968">
        <v>107</v>
      </c>
      <c r="P106" s="2968">
        <v>334.53</v>
      </c>
      <c r="Q106" s="2963">
        <f t="shared" si="18"/>
        <v>94.03</v>
      </c>
      <c r="R106" s="2963">
        <f t="shared" si="19"/>
        <v>240.49999999999997</v>
      </c>
    </row>
    <row r="107" spans="1:22">
      <c r="G107">
        <v>-434</v>
      </c>
      <c r="H107" s="2952" t="s">
        <v>3142</v>
      </c>
      <c r="I107">
        <v>75.98</v>
      </c>
      <c r="L107" s="2968">
        <v>108</v>
      </c>
      <c r="P107" s="2968">
        <v>333.84</v>
      </c>
      <c r="Q107" s="2963">
        <f t="shared" si="18"/>
        <v>93.83</v>
      </c>
      <c r="R107" s="2963">
        <f t="shared" si="19"/>
        <v>240.01</v>
      </c>
    </row>
    <row r="108" spans="1:22">
      <c r="G108">
        <v>-435</v>
      </c>
      <c r="H108" s="2952" t="s">
        <v>3142</v>
      </c>
      <c r="I108">
        <v>75.98</v>
      </c>
      <c r="L108" s="2968">
        <v>109</v>
      </c>
      <c r="P108" s="2968">
        <v>333.84</v>
      </c>
      <c r="Q108" s="2963">
        <f t="shared" si="18"/>
        <v>93.83</v>
      </c>
      <c r="R108" s="2963">
        <f t="shared" si="19"/>
        <v>240.01</v>
      </c>
    </row>
    <row r="109" spans="1:22">
      <c r="G109">
        <v>-436</v>
      </c>
      <c r="H109" s="2952" t="s">
        <v>3142</v>
      </c>
      <c r="I109">
        <v>75.98</v>
      </c>
      <c r="L109" s="2968">
        <v>110</v>
      </c>
      <c r="P109" s="2968">
        <v>331.78</v>
      </c>
      <c r="Q109" s="2963">
        <f t="shared" si="18"/>
        <v>93.25</v>
      </c>
      <c r="R109" s="2963">
        <f t="shared" si="19"/>
        <v>238.52999999999997</v>
      </c>
    </row>
    <row r="110" spans="1:22">
      <c r="G110">
        <v>-445</v>
      </c>
      <c r="H110" s="2952" t="s">
        <v>3142</v>
      </c>
      <c r="I110">
        <v>75.98</v>
      </c>
      <c r="L110" s="2968">
        <v>111</v>
      </c>
      <c r="P110" s="2968">
        <v>339.97</v>
      </c>
      <c r="Q110" s="2963">
        <f>N100-Q100-Q101-Q102-Q103-Q104-Q105-Q106-Q107-Q108-Q109</f>
        <v>95.579999999999927</v>
      </c>
      <c r="R110" s="2963">
        <f t="shared" si="19"/>
        <v>244.3900000000001</v>
      </c>
    </row>
    <row r="111" spans="1:22">
      <c r="G111">
        <v>-446</v>
      </c>
      <c r="H111" s="2952" t="s">
        <v>3142</v>
      </c>
      <c r="I111">
        <v>75.98</v>
      </c>
      <c r="L111" s="2952"/>
      <c r="P111" s="2952"/>
    </row>
    <row r="112" spans="1:22">
      <c r="G112">
        <v>-427</v>
      </c>
      <c r="H112" s="2952" t="s">
        <v>3142</v>
      </c>
      <c r="I112">
        <v>75.98</v>
      </c>
      <c r="K112" s="2952" t="s">
        <v>3165</v>
      </c>
      <c r="L112" s="2952" t="s">
        <v>3166</v>
      </c>
      <c r="M112" s="2952" t="s">
        <v>3169</v>
      </c>
      <c r="N112" s="2952" t="s">
        <v>3167</v>
      </c>
      <c r="O112" s="2952" t="s">
        <v>3171</v>
      </c>
      <c r="P112" s="2952" t="s">
        <v>3170</v>
      </c>
      <c r="Q112" s="2952" t="s">
        <v>3172</v>
      </c>
      <c r="R112" s="2952" t="s">
        <v>3173</v>
      </c>
      <c r="U112" s="2952" t="s">
        <v>3203</v>
      </c>
      <c r="V112" s="2952" t="s">
        <v>3204</v>
      </c>
    </row>
    <row r="113" spans="7:22">
      <c r="G113">
        <v>-428</v>
      </c>
      <c r="H113" s="2952" t="s">
        <v>3142</v>
      </c>
      <c r="I113">
        <v>75.98</v>
      </c>
      <c r="K113" s="2952" t="s">
        <v>3183</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3142</v>
      </c>
      <c r="I114">
        <v>75.98</v>
      </c>
      <c r="L114" s="2968">
        <v>102</v>
      </c>
      <c r="P114" s="2968">
        <v>317.7</v>
      </c>
      <c r="Q114" s="2963">
        <f t="shared" ref="Q114:Q123" si="20">ROUND(P114*$O$113,2)</f>
        <v>91.09</v>
      </c>
      <c r="R114" s="2963">
        <f t="shared" ref="R114:R123" si="21">P114-Q114</f>
        <v>226.60999999999999</v>
      </c>
    </row>
    <row r="115" spans="7:22">
      <c r="G115">
        <v>-430</v>
      </c>
      <c r="H115" s="2952" t="s">
        <v>3142</v>
      </c>
      <c r="I115">
        <v>75.98</v>
      </c>
      <c r="L115" s="2968">
        <v>103</v>
      </c>
      <c r="P115" s="2968">
        <v>317.7</v>
      </c>
      <c r="Q115" s="2963">
        <f t="shared" si="20"/>
        <v>91.09</v>
      </c>
      <c r="R115" s="2963">
        <f t="shared" si="21"/>
        <v>226.60999999999999</v>
      </c>
    </row>
    <row r="116" spans="7:22">
      <c r="G116">
        <v>-447</v>
      </c>
      <c r="H116" s="2952" t="s">
        <v>3142</v>
      </c>
      <c r="I116">
        <v>75.98</v>
      </c>
      <c r="L116" s="2968">
        <v>104</v>
      </c>
      <c r="P116" s="2968">
        <v>317.7</v>
      </c>
      <c r="Q116" s="2963">
        <f t="shared" si="20"/>
        <v>91.09</v>
      </c>
      <c r="R116" s="2963">
        <f t="shared" si="21"/>
        <v>226.60999999999999</v>
      </c>
    </row>
    <row r="117" spans="7:22">
      <c r="G117">
        <v>-448</v>
      </c>
      <c r="H117" s="2952" t="s">
        <v>3142</v>
      </c>
      <c r="I117">
        <v>75.98</v>
      </c>
      <c r="L117" s="2968">
        <v>105</v>
      </c>
      <c r="P117" s="2968">
        <v>317.58</v>
      </c>
      <c r="Q117" s="2963">
        <f t="shared" si="20"/>
        <v>91.06</v>
      </c>
      <c r="R117" s="2963">
        <f t="shared" si="21"/>
        <v>226.51999999999998</v>
      </c>
    </row>
    <row r="118" spans="7:22">
      <c r="G118">
        <v>-449</v>
      </c>
      <c r="H118" s="2952" t="s">
        <v>3142</v>
      </c>
      <c r="I118">
        <v>75.98</v>
      </c>
      <c r="L118" s="2968">
        <v>106</v>
      </c>
      <c r="P118" s="2968">
        <v>312.85000000000002</v>
      </c>
      <c r="Q118" s="2963">
        <f t="shared" si="20"/>
        <v>89.7</v>
      </c>
      <c r="R118" s="2963">
        <f t="shared" si="21"/>
        <v>223.15000000000003</v>
      </c>
    </row>
    <row r="119" spans="7:22">
      <c r="G119">
        <v>-450</v>
      </c>
      <c r="H119" s="2952" t="s">
        <v>3142</v>
      </c>
      <c r="I119">
        <v>75.98</v>
      </c>
      <c r="L119" s="2968">
        <v>107</v>
      </c>
      <c r="P119" s="2968">
        <v>342.33</v>
      </c>
      <c r="Q119" s="2963">
        <f t="shared" si="20"/>
        <v>98.15</v>
      </c>
      <c r="R119" s="2963">
        <f t="shared" si="21"/>
        <v>244.17999999999998</v>
      </c>
    </row>
    <row r="120" spans="7:22">
      <c r="G120">
        <v>-409</v>
      </c>
      <c r="H120" s="2952" t="s">
        <v>3142</v>
      </c>
      <c r="I120">
        <v>75.98</v>
      </c>
      <c r="L120" s="2968">
        <v>108</v>
      </c>
      <c r="P120" s="2968">
        <v>315.04000000000002</v>
      </c>
      <c r="Q120" s="2963">
        <f t="shared" si="20"/>
        <v>90.33</v>
      </c>
      <c r="R120" s="2963">
        <f t="shared" si="21"/>
        <v>224.71000000000004</v>
      </c>
    </row>
    <row r="121" spans="7:22">
      <c r="G121">
        <v>-410</v>
      </c>
      <c r="H121" s="2952" t="s">
        <v>3142</v>
      </c>
      <c r="I121">
        <v>75.98</v>
      </c>
      <c r="L121" s="2968">
        <v>109</v>
      </c>
      <c r="P121" s="2968">
        <v>315.04000000000002</v>
      </c>
      <c r="Q121" s="2963">
        <f t="shared" si="20"/>
        <v>90.33</v>
      </c>
      <c r="R121" s="2963">
        <f t="shared" si="21"/>
        <v>224.71000000000004</v>
      </c>
    </row>
    <row r="122" spans="7:22">
      <c r="G122">
        <v>-417</v>
      </c>
      <c r="H122" s="2952" t="s">
        <v>3142</v>
      </c>
      <c r="I122">
        <v>75.98</v>
      </c>
      <c r="L122" s="2968">
        <v>110</v>
      </c>
      <c r="P122" s="2968">
        <v>334.14</v>
      </c>
      <c r="Q122" s="2963">
        <f t="shared" si="20"/>
        <v>95.8</v>
      </c>
      <c r="R122" s="2963">
        <f t="shared" si="21"/>
        <v>238.33999999999997</v>
      </c>
    </row>
    <row r="123" spans="7:22">
      <c r="G123">
        <v>-418</v>
      </c>
      <c r="H123" s="2952" t="s">
        <v>3142</v>
      </c>
      <c r="I123">
        <v>75.98</v>
      </c>
      <c r="L123" s="2968">
        <v>111</v>
      </c>
      <c r="P123" s="2968">
        <v>332.07</v>
      </c>
      <c r="Q123" s="2963">
        <f t="shared" si="20"/>
        <v>95.21</v>
      </c>
      <c r="R123" s="2963">
        <f t="shared" si="21"/>
        <v>236.86</v>
      </c>
    </row>
    <row r="124" spans="7:22">
      <c r="G124">
        <v>-405</v>
      </c>
      <c r="H124" s="2952" t="s">
        <v>3142</v>
      </c>
      <c r="I124">
        <v>75.98</v>
      </c>
      <c r="L124" s="2968">
        <v>112</v>
      </c>
      <c r="P124" s="2968">
        <v>315.26</v>
      </c>
      <c r="Q124" s="2963">
        <f>N113-Q113-Q114-Q115-Q116-Q117-Q118-Q119-Q120-Q121-Q122-Q123</f>
        <v>90.399999999999849</v>
      </c>
      <c r="R124" s="2963">
        <f>P124-Q124</f>
        <v>224.86000000000013</v>
      </c>
    </row>
    <row r="125" spans="7:22">
      <c r="G125">
        <v>-406</v>
      </c>
      <c r="H125" s="2952" t="s">
        <v>3142</v>
      </c>
      <c r="I125">
        <v>75.98</v>
      </c>
    </row>
    <row r="126" spans="7:22">
      <c r="G126">
        <v>-411</v>
      </c>
      <c r="H126" s="2952" t="s">
        <v>3142</v>
      </c>
      <c r="I126">
        <v>75.98</v>
      </c>
      <c r="K126" s="2952" t="s">
        <v>3165</v>
      </c>
      <c r="L126" s="2952" t="s">
        <v>3166</v>
      </c>
      <c r="M126" s="2952" t="s">
        <v>3169</v>
      </c>
      <c r="N126" s="2952" t="s">
        <v>3167</v>
      </c>
      <c r="O126" s="2952" t="s">
        <v>3171</v>
      </c>
      <c r="P126" s="2952" t="s">
        <v>3170</v>
      </c>
      <c r="Q126" s="2952" t="s">
        <v>3172</v>
      </c>
      <c r="R126" s="2952" t="s">
        <v>3173</v>
      </c>
      <c r="U126" s="2952" t="s">
        <v>3203</v>
      </c>
      <c r="V126" s="2952" t="s">
        <v>3204</v>
      </c>
    </row>
    <row r="127" spans="7:22">
      <c r="G127">
        <v>-412</v>
      </c>
      <c r="H127" s="2952" t="s">
        <v>3142</v>
      </c>
      <c r="I127">
        <v>75.98</v>
      </c>
      <c r="K127" s="2952" t="s">
        <v>3184</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3142</v>
      </c>
      <c r="I128">
        <v>75.98</v>
      </c>
      <c r="L128" s="2968">
        <v>102</v>
      </c>
      <c r="P128" s="2968">
        <v>317.22000000000003</v>
      </c>
      <c r="Q128" s="2963">
        <f t="shared" ref="Q128:Q134" si="22">ROUND(P128*$O$127,2)</f>
        <v>88.9</v>
      </c>
      <c r="R128" s="2963">
        <f t="shared" ref="R128:R135" si="23">P128-Q128</f>
        <v>228.32000000000002</v>
      </c>
    </row>
    <row r="129" spans="7:22">
      <c r="G129">
        <v>-414</v>
      </c>
      <c r="H129" s="2952" t="s">
        <v>3142</v>
      </c>
      <c r="I129">
        <v>75.98</v>
      </c>
      <c r="L129" s="2968">
        <v>103</v>
      </c>
      <c r="P129" s="2968">
        <v>317.22000000000003</v>
      </c>
      <c r="Q129" s="2963">
        <f t="shared" si="22"/>
        <v>88.9</v>
      </c>
      <c r="R129" s="2963">
        <f t="shared" si="23"/>
        <v>228.32000000000002</v>
      </c>
    </row>
    <row r="130" spans="7:22">
      <c r="G130">
        <v>-421</v>
      </c>
      <c r="H130" s="2952" t="s">
        <v>3142</v>
      </c>
      <c r="I130">
        <v>75.98</v>
      </c>
      <c r="L130" s="2968">
        <v>104</v>
      </c>
      <c r="P130" s="2968">
        <v>317.10000000000002</v>
      </c>
      <c r="Q130" s="2963">
        <f t="shared" si="22"/>
        <v>88.86</v>
      </c>
      <c r="R130" s="2963">
        <f t="shared" si="23"/>
        <v>228.24</v>
      </c>
    </row>
    <row r="131" spans="7:22">
      <c r="G131">
        <v>-422</v>
      </c>
      <c r="H131" s="2952" t="s">
        <v>3142</v>
      </c>
      <c r="I131">
        <v>75.98</v>
      </c>
      <c r="L131" s="2968">
        <v>105</v>
      </c>
      <c r="P131" s="2968">
        <v>374.63</v>
      </c>
      <c r="Q131" s="2963">
        <f t="shared" si="22"/>
        <v>104.99</v>
      </c>
      <c r="R131" s="2963">
        <f t="shared" si="23"/>
        <v>269.64</v>
      </c>
    </row>
    <row r="132" spans="7:22">
      <c r="G132">
        <v>-415</v>
      </c>
      <c r="H132" s="2952" t="s">
        <v>3142</v>
      </c>
      <c r="I132">
        <v>75.98</v>
      </c>
      <c r="L132" s="2968">
        <v>106</v>
      </c>
      <c r="P132" s="2968">
        <v>334.37</v>
      </c>
      <c r="Q132" s="2963">
        <f t="shared" si="22"/>
        <v>93.7</v>
      </c>
      <c r="R132" s="2963">
        <f t="shared" si="23"/>
        <v>240.67000000000002</v>
      </c>
    </row>
    <row r="133" spans="7:22">
      <c r="G133">
        <v>-416</v>
      </c>
      <c r="H133" s="2952" t="s">
        <v>3142</v>
      </c>
      <c r="I133">
        <v>75.98</v>
      </c>
      <c r="L133" s="2968">
        <v>107</v>
      </c>
      <c r="P133" s="2968">
        <v>333.61</v>
      </c>
      <c r="Q133" s="2963">
        <f t="shared" si="22"/>
        <v>93.49</v>
      </c>
      <c r="R133" s="2963">
        <f t="shared" si="23"/>
        <v>240.12</v>
      </c>
    </row>
    <row r="134" spans="7:22">
      <c r="G134">
        <v>-407</v>
      </c>
      <c r="H134" s="2952" t="s">
        <v>3142</v>
      </c>
      <c r="I134">
        <v>75.98</v>
      </c>
      <c r="L134" s="2968">
        <v>108</v>
      </c>
      <c r="P134" s="2968">
        <v>331.54</v>
      </c>
      <c r="Q134" s="2963">
        <f t="shared" si="22"/>
        <v>92.91</v>
      </c>
      <c r="R134" s="2963">
        <f t="shared" si="23"/>
        <v>238.63000000000002</v>
      </c>
    </row>
    <row r="135" spans="7:22">
      <c r="G135">
        <v>-408</v>
      </c>
      <c r="H135" s="2952" t="s">
        <v>3142</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3165</v>
      </c>
      <c r="L137" s="2952" t="s">
        <v>3166</v>
      </c>
      <c r="M137" s="2952" t="s">
        <v>3169</v>
      </c>
      <c r="N137" s="2952" t="s">
        <v>3167</v>
      </c>
      <c r="O137" s="2952" t="s">
        <v>3171</v>
      </c>
      <c r="P137" s="2952" t="s">
        <v>3170</v>
      </c>
      <c r="Q137" s="2952" t="s">
        <v>3172</v>
      </c>
      <c r="R137" s="2952" t="s">
        <v>3173</v>
      </c>
      <c r="U137" s="2952" t="s">
        <v>3203</v>
      </c>
      <c r="V137" s="2952" t="s">
        <v>3204</v>
      </c>
    </row>
    <row r="138" spans="7:22">
      <c r="K138" s="2952" t="s">
        <v>3185</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3165</v>
      </c>
      <c r="L145" s="2952" t="s">
        <v>3166</v>
      </c>
      <c r="M145" s="2952" t="s">
        <v>3169</v>
      </c>
      <c r="N145" s="2952" t="s">
        <v>3167</v>
      </c>
      <c r="O145" s="2952" t="s">
        <v>3171</v>
      </c>
      <c r="P145" s="2952" t="s">
        <v>3170</v>
      </c>
      <c r="Q145" s="2952" t="s">
        <v>3172</v>
      </c>
      <c r="R145" s="2952" t="s">
        <v>3173</v>
      </c>
      <c r="U145" s="2952" t="s">
        <v>3203</v>
      </c>
      <c r="V145" s="2952" t="s">
        <v>3204</v>
      </c>
    </row>
    <row r="146" spans="11:22">
      <c r="K146" s="2952" t="s">
        <v>3186</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3165</v>
      </c>
      <c r="L155" s="2952" t="s">
        <v>3166</v>
      </c>
      <c r="M155" s="2952" t="s">
        <v>3169</v>
      </c>
      <c r="N155" s="2952" t="s">
        <v>3167</v>
      </c>
      <c r="O155" s="2952" t="s">
        <v>3171</v>
      </c>
      <c r="P155" s="2952" t="s">
        <v>3170</v>
      </c>
      <c r="Q155" s="2952" t="s">
        <v>3172</v>
      </c>
      <c r="R155" s="2952" t="s">
        <v>3173</v>
      </c>
      <c r="U155" s="2952" t="s">
        <v>3203</v>
      </c>
      <c r="V155" s="2952" t="s">
        <v>3204</v>
      </c>
    </row>
    <row r="156" spans="11:22">
      <c r="K156" s="2952" t="s">
        <v>3187</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3076</v>
      </c>
      <c r="L171" s="2952" t="s">
        <v>3077</v>
      </c>
      <c r="M171" s="2952" t="s">
        <v>3169</v>
      </c>
      <c r="N171" s="2952" t="s">
        <v>3167</v>
      </c>
      <c r="O171" s="2952" t="s">
        <v>3171</v>
      </c>
      <c r="P171" s="2952" t="s">
        <v>3170</v>
      </c>
      <c r="Q171" s="2952" t="s">
        <v>3172</v>
      </c>
      <c r="R171" s="2952" t="s">
        <v>3173</v>
      </c>
      <c r="U171" s="2952" t="s">
        <v>3203</v>
      </c>
      <c r="V171" s="2952" t="s">
        <v>3204</v>
      </c>
    </row>
    <row r="172" spans="11:22">
      <c r="K172" s="2952" t="s">
        <v>3188</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3076</v>
      </c>
      <c r="L179" s="2952" t="s">
        <v>3077</v>
      </c>
      <c r="M179" s="2952" t="s">
        <v>3169</v>
      </c>
      <c r="N179" s="2952" t="s">
        <v>3167</v>
      </c>
      <c r="O179" s="2952" t="s">
        <v>3171</v>
      </c>
      <c r="P179" s="2952" t="s">
        <v>3170</v>
      </c>
      <c r="Q179" s="2952" t="s">
        <v>3172</v>
      </c>
      <c r="R179" s="2952" t="s">
        <v>3173</v>
      </c>
      <c r="U179" s="2952" t="s">
        <v>3203</v>
      </c>
      <c r="V179" s="2952" t="s">
        <v>3204</v>
      </c>
    </row>
    <row r="180" spans="11:22">
      <c r="K180" s="2952" t="s">
        <v>3189</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3076</v>
      </c>
      <c r="L189" s="2952" t="s">
        <v>3077</v>
      </c>
      <c r="M189" s="2952" t="s">
        <v>3169</v>
      </c>
      <c r="N189" s="2952" t="s">
        <v>3167</v>
      </c>
      <c r="O189" s="2952" t="s">
        <v>3171</v>
      </c>
      <c r="P189" s="2952" t="s">
        <v>3170</v>
      </c>
      <c r="Q189" s="2952" t="s">
        <v>3172</v>
      </c>
      <c r="R189" s="2952" t="s">
        <v>3173</v>
      </c>
      <c r="U189" s="2952" t="s">
        <v>3203</v>
      </c>
      <c r="V189" s="2952" t="s">
        <v>3204</v>
      </c>
    </row>
    <row r="190" spans="11:22">
      <c r="K190" s="2952" t="s">
        <v>3190</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3076</v>
      </c>
      <c r="L202" s="2952" t="s">
        <v>3077</v>
      </c>
      <c r="M202" s="2952" t="s">
        <v>3169</v>
      </c>
      <c r="N202" s="2952" t="s">
        <v>3167</v>
      </c>
      <c r="O202" s="2952" t="s">
        <v>3171</v>
      </c>
      <c r="P202" s="2952" t="s">
        <v>3170</v>
      </c>
      <c r="Q202" s="2952" t="s">
        <v>3172</v>
      </c>
      <c r="R202" s="2952" t="s">
        <v>3173</v>
      </c>
      <c r="U202" s="2952" t="s">
        <v>3203</v>
      </c>
      <c r="V202" s="2952" t="s">
        <v>3204</v>
      </c>
    </row>
    <row r="203" spans="11:22">
      <c r="K203" s="2952" t="s">
        <v>3191</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3076</v>
      </c>
      <c r="L206" s="2952" t="s">
        <v>3077</v>
      </c>
      <c r="M206" s="2952" t="s">
        <v>3169</v>
      </c>
      <c r="N206" s="2952" t="s">
        <v>3167</v>
      </c>
      <c r="O206" s="2952" t="s">
        <v>3171</v>
      </c>
      <c r="P206" s="2952" t="s">
        <v>3170</v>
      </c>
      <c r="Q206" s="2952" t="s">
        <v>3172</v>
      </c>
      <c r="R206" s="2952" t="s">
        <v>3173</v>
      </c>
      <c r="U206" s="2952" t="s">
        <v>3203</v>
      </c>
      <c r="V206" s="2952" t="s">
        <v>3204</v>
      </c>
    </row>
    <row r="207" spans="11:22">
      <c r="K207" s="2952" t="s">
        <v>3192</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3076</v>
      </c>
      <c r="L210" s="2952" t="s">
        <v>3077</v>
      </c>
      <c r="M210" s="2952" t="s">
        <v>3169</v>
      </c>
      <c r="N210" s="2952" t="s">
        <v>3167</v>
      </c>
      <c r="O210" s="2952" t="s">
        <v>3171</v>
      </c>
      <c r="P210" s="2952" t="s">
        <v>3170</v>
      </c>
      <c r="Q210" s="2952" t="s">
        <v>3172</v>
      </c>
      <c r="R210" s="2952" t="s">
        <v>3173</v>
      </c>
      <c r="U210" s="2952" t="s">
        <v>3203</v>
      </c>
      <c r="V210" s="2952" t="s">
        <v>3204</v>
      </c>
    </row>
    <row r="211" spans="11:22">
      <c r="K211" s="2952" t="s">
        <v>3193</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3076</v>
      </c>
      <c r="L214" s="2952" t="s">
        <v>3077</v>
      </c>
      <c r="M214" s="2952" t="s">
        <v>3169</v>
      </c>
      <c r="N214" s="2952" t="s">
        <v>3167</v>
      </c>
      <c r="O214" s="2952" t="s">
        <v>3171</v>
      </c>
      <c r="P214" s="2952" t="s">
        <v>3170</v>
      </c>
      <c r="Q214" s="2952" t="s">
        <v>3172</v>
      </c>
      <c r="R214" s="2952" t="s">
        <v>3173</v>
      </c>
      <c r="U214" s="2952" t="s">
        <v>3203</v>
      </c>
      <c r="V214" s="2952" t="s">
        <v>3204</v>
      </c>
    </row>
    <row r="215" spans="11:22">
      <c r="K215" s="2952" t="s">
        <v>3194</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3076</v>
      </c>
      <c r="L218" s="2952" t="s">
        <v>3077</v>
      </c>
      <c r="M218" s="2952" t="s">
        <v>3169</v>
      </c>
      <c r="N218" s="2952" t="s">
        <v>3167</v>
      </c>
      <c r="O218" s="2952" t="s">
        <v>3171</v>
      </c>
      <c r="P218" s="2952" t="s">
        <v>3170</v>
      </c>
      <c r="Q218" s="2952" t="s">
        <v>3172</v>
      </c>
      <c r="R218" s="2952" t="s">
        <v>3173</v>
      </c>
      <c r="U218" s="2952" t="s">
        <v>3203</v>
      </c>
      <c r="V218" s="2952" t="s">
        <v>3204</v>
      </c>
    </row>
    <row r="219" spans="11:22">
      <c r="K219" s="2952" t="s">
        <v>3202</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3076</v>
      </c>
      <c r="L222" s="2952" t="s">
        <v>3077</v>
      </c>
      <c r="M222" s="2952" t="s">
        <v>3169</v>
      </c>
      <c r="N222" s="2952" t="s">
        <v>3167</v>
      </c>
      <c r="O222" s="2952" t="s">
        <v>3171</v>
      </c>
      <c r="P222" s="2952" t="s">
        <v>3170</v>
      </c>
      <c r="Q222" s="2952" t="s">
        <v>3172</v>
      </c>
      <c r="R222" s="2952" t="s">
        <v>3173</v>
      </c>
      <c r="U222" s="2952" t="s">
        <v>3203</v>
      </c>
      <c r="V222" s="2952" t="s">
        <v>3204</v>
      </c>
    </row>
    <row r="223" spans="11:22">
      <c r="K223" s="2952" t="s">
        <v>3195</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3076</v>
      </c>
      <c r="L232" s="2952" t="s">
        <v>3197</v>
      </c>
      <c r="M232" s="2952" t="s">
        <v>3198</v>
      </c>
      <c r="U232" s="2952" t="s">
        <v>3205</v>
      </c>
      <c r="V232" s="2952" t="s">
        <v>3206</v>
      </c>
    </row>
    <row r="233" spans="11:22">
      <c r="K233" s="2952" t="s">
        <v>3196</v>
      </c>
      <c r="L233" s="2952">
        <v>17931.28</v>
      </c>
      <c r="M233">
        <f>132.5+6133.25-4925.11</f>
        <v>1340.6400000000003</v>
      </c>
      <c r="O233" s="2952" t="s">
        <v>3271</v>
      </c>
      <c r="P233" s="2952" t="s">
        <v>3273</v>
      </c>
      <c r="Q233" s="2952" t="s">
        <v>3274</v>
      </c>
      <c r="U233">
        <f>L233+L234-I136</f>
        <v>18009.650000000031</v>
      </c>
      <c r="V233">
        <f>M233+M234</f>
        <v>1340.6400000000003</v>
      </c>
    </row>
    <row r="234" spans="11:22">
      <c r="K234" s="2952" t="s">
        <v>3199</v>
      </c>
      <c r="L234" s="2952">
        <v>10335.67</v>
      </c>
      <c r="M234">
        <v>0</v>
      </c>
      <c r="O234" s="2952" t="s">
        <v>3272</v>
      </c>
      <c r="P234" s="2952" t="s">
        <v>3275</v>
      </c>
      <c r="Q234">
        <f>236+136-135</f>
        <v>237</v>
      </c>
    </row>
    <row r="235" spans="11:22">
      <c r="L235" s="2952" t="s">
        <v>3209</v>
      </c>
    </row>
    <row r="236" spans="11:22">
      <c r="K236" s="2952" t="s">
        <v>3219</v>
      </c>
      <c r="L236">
        <v>110</v>
      </c>
    </row>
    <row r="237" spans="11:22">
      <c r="L237" s="2952" t="s">
        <v>3222</v>
      </c>
      <c r="M237" s="2952" t="s">
        <v>3223</v>
      </c>
    </row>
    <row r="238" spans="11:22">
      <c r="K238" s="2952" t="s">
        <v>3220</v>
      </c>
      <c r="L238" s="2952">
        <v>150</v>
      </c>
      <c r="M238">
        <v>76.73</v>
      </c>
    </row>
    <row r="239" spans="11:22">
      <c r="K239" s="2952" t="s">
        <v>3221</v>
      </c>
      <c r="L239" s="2952">
        <v>150</v>
      </c>
      <c r="M239">
        <v>145.04</v>
      </c>
    </row>
    <row r="242" spans="11:16">
      <c r="K242" s="2952" t="s">
        <v>3214</v>
      </c>
    </row>
    <row r="243" spans="11:16">
      <c r="K243" s="2952" t="s">
        <v>3076</v>
      </c>
      <c r="L243" s="2952" t="s">
        <v>3208</v>
      </c>
      <c r="M243" s="2952" t="s">
        <v>3209</v>
      </c>
      <c r="N243" s="2952" t="s">
        <v>3210</v>
      </c>
      <c r="O243" s="2952" t="s">
        <v>3211</v>
      </c>
      <c r="P243" s="2952" t="s">
        <v>3212</v>
      </c>
    </row>
    <row r="244" spans="11:16">
      <c r="K244" s="2952" t="s">
        <v>3207</v>
      </c>
      <c r="L244">
        <v>9948.75</v>
      </c>
      <c r="M244">
        <v>1182.21</v>
      </c>
      <c r="N244">
        <v>1130.51</v>
      </c>
      <c r="O244">
        <f>50+50</f>
        <v>100</v>
      </c>
      <c r="P244">
        <f>144+207.46</f>
        <v>351.46000000000004</v>
      </c>
    </row>
    <row r="245" spans="11:16">
      <c r="K245" s="2952" t="s">
        <v>3213</v>
      </c>
      <c r="L245">
        <v>14219.41</v>
      </c>
      <c r="M245">
        <v>2020.85</v>
      </c>
      <c r="N245">
        <v>1622.44</v>
      </c>
      <c r="O245">
        <v>120</v>
      </c>
      <c r="P245">
        <v>260.91000000000003</v>
      </c>
    </row>
    <row r="247" spans="11:16">
      <c r="L247" s="2952" t="s">
        <v>3216</v>
      </c>
    </row>
    <row r="248" spans="11:16">
      <c r="K248" s="2952" t="s">
        <v>3215</v>
      </c>
      <c r="L248">
        <f>7811.24-7226.42</f>
        <v>584.81999999999971</v>
      </c>
    </row>
    <row r="250" spans="11:16">
      <c r="K250" s="2952" t="s">
        <v>3217</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E42" sqref="E42"/>
    </sheetView>
  </sheetViews>
  <sheetFormatPr defaultRowHeight="13.5"/>
  <cols>
    <col min="5" max="5" width="12" customWidth="1"/>
    <col min="6" max="6" width="12.625" customWidth="1"/>
    <col min="7" max="7" width="11.875" customWidth="1"/>
    <col min="8" max="8" width="9.5" bestFit="1" customWidth="1"/>
  </cols>
  <sheetData>
    <row r="1" spans="1:13">
      <c r="A1" s="1636" t="s">
        <v>3278</v>
      </c>
      <c r="B1" s="1636" t="s">
        <v>3279</v>
      </c>
      <c r="C1" s="1636" t="s">
        <v>3280</v>
      </c>
      <c r="D1" s="1636" t="s">
        <v>3281</v>
      </c>
      <c r="E1" s="1636" t="s">
        <v>3282</v>
      </c>
      <c r="F1" s="1636" t="s">
        <v>3283</v>
      </c>
      <c r="G1" s="1636" t="s">
        <v>3284</v>
      </c>
      <c r="H1" s="1636" t="s">
        <v>3285</v>
      </c>
      <c r="I1" s="1636" t="s">
        <v>3286</v>
      </c>
      <c r="J1" s="1636" t="s">
        <v>3287</v>
      </c>
      <c r="K1" s="1636" t="s">
        <v>3288</v>
      </c>
      <c r="L1" s="1636" t="s">
        <v>3289</v>
      </c>
      <c r="M1" s="1636" t="s">
        <v>3290</v>
      </c>
    </row>
    <row r="2" spans="1:13">
      <c r="A2" s="1636" t="s">
        <v>3291</v>
      </c>
      <c r="B2" s="1636" t="s">
        <v>3054</v>
      </c>
      <c r="C2" s="1636" t="s">
        <v>3292</v>
      </c>
      <c r="D2" s="1636">
        <v>36365.370000000003</v>
      </c>
      <c r="E2" s="1636">
        <v>65458</v>
      </c>
      <c r="F2" s="1636">
        <v>1.8</v>
      </c>
      <c r="G2" s="1636" t="s">
        <v>3293</v>
      </c>
      <c r="H2" s="1636" t="s">
        <v>3294</v>
      </c>
      <c r="I2" s="1636">
        <v>180000</v>
      </c>
      <c r="J2" s="1636">
        <v>260000</v>
      </c>
      <c r="K2" s="1636">
        <v>39720.120000000003</v>
      </c>
      <c r="L2" s="1636">
        <v>44.44</v>
      </c>
      <c r="M2" s="1636" t="s">
        <v>3295</v>
      </c>
    </row>
    <row r="3" spans="1:13" s="2966" customFormat="1">
      <c r="A3" s="2992" t="s">
        <v>3296</v>
      </c>
      <c r="B3" s="2992" t="s">
        <v>3054</v>
      </c>
      <c r="C3" s="2992" t="s">
        <v>3297</v>
      </c>
      <c r="D3" s="2992">
        <v>151738.6</v>
      </c>
      <c r="E3" s="2992">
        <v>152374</v>
      </c>
      <c r="F3" s="2992">
        <v>1.004</v>
      </c>
      <c r="G3" s="2992" t="s">
        <v>3293</v>
      </c>
      <c r="H3" s="2992" t="s">
        <v>3298</v>
      </c>
      <c r="I3" s="2992">
        <v>460000</v>
      </c>
      <c r="J3" s="2992">
        <v>685400</v>
      </c>
      <c r="K3" s="2992">
        <v>44981.43</v>
      </c>
      <c r="L3" s="2992">
        <v>49</v>
      </c>
      <c r="M3" s="2992" t="s">
        <v>3299</v>
      </c>
    </row>
    <row r="4" spans="1:13">
      <c r="A4" s="1636" t="s">
        <v>3300</v>
      </c>
      <c r="B4" s="1636" t="s">
        <v>3054</v>
      </c>
      <c r="C4" s="1636" t="s">
        <v>3297</v>
      </c>
      <c r="D4" s="1636">
        <v>132352.79999999999</v>
      </c>
      <c r="E4" s="1636">
        <v>201775</v>
      </c>
      <c r="F4" s="1636">
        <v>1.52</v>
      </c>
      <c r="G4" s="1636" t="s">
        <v>3293</v>
      </c>
      <c r="H4" s="1636" t="s">
        <v>3301</v>
      </c>
      <c r="I4" s="1636">
        <v>365000</v>
      </c>
      <c r="J4" s="1636">
        <v>380000</v>
      </c>
      <c r="K4" s="1636">
        <v>18832.86</v>
      </c>
      <c r="L4" s="1636">
        <v>4.1100000000000003</v>
      </c>
      <c r="M4" s="1636" t="s">
        <v>3302</v>
      </c>
    </row>
    <row r="5" spans="1:13" s="2966" customFormat="1">
      <c r="A5" s="2992" t="s">
        <v>3303</v>
      </c>
      <c r="B5" s="2992" t="s">
        <v>3054</v>
      </c>
      <c r="C5" s="2992" t="s">
        <v>3297</v>
      </c>
      <c r="D5" s="2992">
        <v>65602.95</v>
      </c>
      <c r="E5" s="2992">
        <v>120165</v>
      </c>
      <c r="F5" s="2992">
        <v>1.83</v>
      </c>
      <c r="G5" s="2992" t="s">
        <v>3293</v>
      </c>
      <c r="H5" s="2992" t="s">
        <v>3304</v>
      </c>
      <c r="I5" s="2992">
        <v>330000</v>
      </c>
      <c r="J5" s="2992">
        <v>495000</v>
      </c>
      <c r="K5" s="2992">
        <v>41193.360000000001</v>
      </c>
      <c r="L5" s="2992">
        <v>50</v>
      </c>
      <c r="M5" s="2992" t="s">
        <v>3305</v>
      </c>
    </row>
    <row r="6" spans="1:13">
      <c r="A6" s="1636" t="s">
        <v>3306</v>
      </c>
      <c r="B6" s="1636" t="s">
        <v>3054</v>
      </c>
      <c r="C6" s="1636" t="s">
        <v>3297</v>
      </c>
      <c r="D6" s="1636">
        <v>151051.70000000001</v>
      </c>
      <c r="E6" s="1636">
        <v>274253</v>
      </c>
      <c r="F6" s="1636" t="s">
        <v>3307</v>
      </c>
      <c r="G6" s="1636" t="s">
        <v>3293</v>
      </c>
      <c r="H6" s="1636" t="s">
        <v>3308</v>
      </c>
      <c r="I6" s="1636">
        <v>385000</v>
      </c>
      <c r="J6" s="1636">
        <v>502000</v>
      </c>
      <c r="K6" s="1636">
        <v>18304.27</v>
      </c>
      <c r="L6" s="1636">
        <v>30.39</v>
      </c>
      <c r="M6" s="1636" t="s">
        <v>3299</v>
      </c>
    </row>
    <row r="7" spans="1:13" s="2966" customFormat="1">
      <c r="A7" s="2992" t="s">
        <v>3309</v>
      </c>
      <c r="B7" s="2992" t="s">
        <v>3054</v>
      </c>
      <c r="C7" s="2992" t="s">
        <v>3292</v>
      </c>
      <c r="D7" s="2992">
        <v>155132.79999999999</v>
      </c>
      <c r="E7" s="2992">
        <v>156684</v>
      </c>
      <c r="F7" s="2992">
        <v>1.009999305</v>
      </c>
      <c r="G7" s="2992" t="s">
        <v>3293</v>
      </c>
      <c r="H7" s="2992" t="s">
        <v>3310</v>
      </c>
      <c r="I7" s="2992">
        <v>470000</v>
      </c>
      <c r="J7" s="2992">
        <v>705000</v>
      </c>
      <c r="K7" s="2992">
        <v>44995.01</v>
      </c>
      <c r="L7" s="2992">
        <v>50</v>
      </c>
      <c r="M7" s="2992" t="s">
        <v>3311</v>
      </c>
    </row>
    <row r="8" spans="1:13">
      <c r="A8" s="1636" t="s">
        <v>3312</v>
      </c>
      <c r="B8" s="1636" t="s">
        <v>3054</v>
      </c>
      <c r="C8" s="1636" t="s">
        <v>3292</v>
      </c>
      <c r="D8" s="1636">
        <v>41170.230000000003</v>
      </c>
      <c r="E8" s="1636">
        <v>60109</v>
      </c>
      <c r="F8" s="1636">
        <v>1.46</v>
      </c>
      <c r="G8" s="1636" t="s">
        <v>3293</v>
      </c>
      <c r="H8" s="1636" t="s">
        <v>3313</v>
      </c>
      <c r="I8" s="1636">
        <v>88000</v>
      </c>
      <c r="J8" s="1636">
        <v>121000</v>
      </c>
      <c r="K8" s="1636">
        <v>20130.09</v>
      </c>
      <c r="L8" s="1636">
        <v>37.5</v>
      </c>
      <c r="M8" s="1636" t="s">
        <v>3314</v>
      </c>
    </row>
    <row r="9" spans="1:13">
      <c r="A9" s="1636" t="s">
        <v>3315</v>
      </c>
      <c r="B9" s="1636" t="s">
        <v>3054</v>
      </c>
      <c r="C9" s="1636" t="s">
        <v>3292</v>
      </c>
      <c r="D9" s="1636">
        <v>45104.74</v>
      </c>
      <c r="E9" s="1636">
        <v>112093</v>
      </c>
      <c r="F9" s="1636">
        <v>2.5</v>
      </c>
      <c r="G9" s="1636" t="s">
        <v>3293</v>
      </c>
      <c r="H9" s="1636" t="s">
        <v>3313</v>
      </c>
      <c r="I9" s="1636">
        <v>130000</v>
      </c>
      <c r="J9" s="1636">
        <v>193000</v>
      </c>
      <c r="K9" s="1636">
        <v>17217.84</v>
      </c>
      <c r="L9" s="1636">
        <v>48.46</v>
      </c>
      <c r="M9" s="1636" t="s">
        <v>3316</v>
      </c>
    </row>
    <row r="10" spans="1:13">
      <c r="A10" s="1636" t="s">
        <v>3317</v>
      </c>
      <c r="B10" s="1636" t="s">
        <v>3054</v>
      </c>
      <c r="C10" s="1636" t="s">
        <v>3297</v>
      </c>
      <c r="D10" s="1636">
        <v>17756.68</v>
      </c>
      <c r="E10" s="1636">
        <v>39065</v>
      </c>
      <c r="F10" s="1636">
        <v>2.2000000000000002</v>
      </c>
      <c r="G10" s="1636" t="s">
        <v>3293</v>
      </c>
      <c r="H10" s="1636" t="s">
        <v>3318</v>
      </c>
      <c r="I10" s="1636">
        <v>50000</v>
      </c>
      <c r="J10" s="1636">
        <v>75000</v>
      </c>
      <c r="K10" s="1636">
        <v>19198.77</v>
      </c>
      <c r="L10" s="1636">
        <v>50</v>
      </c>
      <c r="M10" s="1636" t="s">
        <v>3319</v>
      </c>
    </row>
    <row r="11" spans="1:13">
      <c r="A11" s="1636" t="s">
        <v>3320</v>
      </c>
      <c r="B11" s="1636" t="s">
        <v>3054</v>
      </c>
      <c r="C11" s="1636" t="s">
        <v>3297</v>
      </c>
      <c r="D11" s="1636">
        <v>74844.53</v>
      </c>
      <c r="E11" s="1636">
        <v>134689</v>
      </c>
      <c r="F11" s="1636">
        <v>1.8</v>
      </c>
      <c r="G11" s="1636" t="s">
        <v>3293</v>
      </c>
      <c r="H11" s="1636" t="s">
        <v>3321</v>
      </c>
      <c r="I11" s="1636">
        <v>87100</v>
      </c>
      <c r="J11" s="1636">
        <v>126000</v>
      </c>
      <c r="K11" s="1636">
        <v>9354.8700000000008</v>
      </c>
      <c r="L11" s="1636">
        <v>44.66</v>
      </c>
      <c r="M11" s="1636" t="s">
        <v>3322</v>
      </c>
    </row>
    <row r="12" spans="1:13">
      <c r="A12" s="1636" t="s">
        <v>3323</v>
      </c>
      <c r="B12" s="1636" t="s">
        <v>3054</v>
      </c>
      <c r="C12" s="1636" t="s">
        <v>3292</v>
      </c>
      <c r="D12" s="1636">
        <v>118126.9</v>
      </c>
      <c r="E12" s="1636">
        <v>208824</v>
      </c>
      <c r="F12" s="1636">
        <v>1.77</v>
      </c>
      <c r="G12" s="1636" t="s">
        <v>3293</v>
      </c>
      <c r="H12" s="1636" t="s">
        <v>3324</v>
      </c>
      <c r="I12" s="1636">
        <v>176500</v>
      </c>
      <c r="J12" s="1636">
        <v>264750</v>
      </c>
      <c r="K12" s="1636">
        <v>12678.13</v>
      </c>
      <c r="L12" s="1636">
        <v>50</v>
      </c>
      <c r="M12" s="1636" t="s">
        <v>3325</v>
      </c>
    </row>
    <row r="13" spans="1:13">
      <c r="A13" s="1636" t="s">
        <v>3326</v>
      </c>
      <c r="B13" s="1636" t="s">
        <v>3054</v>
      </c>
      <c r="C13" s="1636" t="s">
        <v>3297</v>
      </c>
      <c r="D13" s="1636">
        <v>139657.29999999999</v>
      </c>
      <c r="E13" s="1636">
        <v>204355</v>
      </c>
      <c r="F13" s="1636">
        <v>1.46</v>
      </c>
      <c r="G13" s="1636" t="s">
        <v>3293</v>
      </c>
      <c r="H13" s="1636" t="s">
        <v>3324</v>
      </c>
      <c r="I13" s="1636">
        <v>156100</v>
      </c>
      <c r="J13" s="1636">
        <v>234150</v>
      </c>
      <c r="K13" s="1636">
        <v>11458</v>
      </c>
      <c r="L13" s="1636">
        <v>50</v>
      </c>
      <c r="M13" s="1636" t="s">
        <v>3325</v>
      </c>
    </row>
    <row r="14" spans="1:13">
      <c r="A14" s="1636" t="s">
        <v>3327</v>
      </c>
      <c r="B14" s="1636" t="s">
        <v>3054</v>
      </c>
      <c r="C14" s="1636" t="s">
        <v>3297</v>
      </c>
      <c r="D14" s="1636">
        <v>79821.14</v>
      </c>
      <c r="E14" s="1636">
        <v>142412</v>
      </c>
      <c r="F14" s="1636">
        <v>1.78</v>
      </c>
      <c r="G14" s="1636" t="s">
        <v>3293</v>
      </c>
      <c r="H14" s="1636" t="s">
        <v>3328</v>
      </c>
      <c r="I14" s="1636">
        <v>142300</v>
      </c>
      <c r="J14" s="1636">
        <v>185000</v>
      </c>
      <c r="K14" s="1636">
        <v>12990.47</v>
      </c>
      <c r="L14" s="1636">
        <v>30.01</v>
      </c>
      <c r="M14" s="1636" t="s">
        <v>3329</v>
      </c>
    </row>
    <row r="19" spans="5:11">
      <c r="F19" t="s">
        <v>3383</v>
      </c>
      <c r="G19" t="s">
        <v>3384</v>
      </c>
      <c r="H19" t="s">
        <v>3385</v>
      </c>
      <c r="I19" t="s">
        <v>3386</v>
      </c>
      <c r="J19" t="s">
        <v>3387</v>
      </c>
    </row>
    <row r="20" spans="5:11">
      <c r="E20" t="s">
        <v>3382</v>
      </c>
      <c r="F20">
        <f>100*已售清单!AB2</f>
        <v>1800965.000000003</v>
      </c>
      <c r="G20">
        <f>200*已售清单!AB5</f>
        <v>116963.99999999994</v>
      </c>
      <c r="H20">
        <f>6488*已售清单!AA5</f>
        <v>17861139.599999998</v>
      </c>
      <c r="I20">
        <f>(F20+G20+H20)/10000</f>
        <v>1977.9068600000001</v>
      </c>
      <c r="J20">
        <f>I20*0.015</f>
        <v>29.6686029</v>
      </c>
      <c r="K20">
        <f>I20+J20</f>
        <v>2007.5754629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1641</v>
      </c>
      <c r="B2" s="3018" t="s">
        <v>1642</v>
      </c>
      <c r="C2" s="3018" t="s">
        <v>1643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59428.920000000027</v>
      </c>
      <c r="C4" s="1046">
        <f>项目基本情况!C18</f>
        <v>32289.56</v>
      </c>
      <c r="D4" s="1046">
        <f ca="1">结果表!D118</f>
        <v>226992</v>
      </c>
      <c r="E4" s="1046">
        <f ca="1">结果表!E118</f>
        <v>38196</v>
      </c>
      <c r="F4" s="1046">
        <f ca="1">结果表!F118</f>
        <v>34821</v>
      </c>
      <c r="G4" s="1046">
        <f ca="1">结果表!G118</f>
        <v>5859</v>
      </c>
      <c r="H4" s="1046">
        <f ca="1">结果表!H118</f>
        <v>261813</v>
      </c>
      <c r="I4" s="1046">
        <f ca="1">结果表!I118</f>
        <v>44055</v>
      </c>
    </row>
    <row r="5" spans="1:9" ht="30" customHeight="1">
      <c r="A5" s="3019" t="s">
        <v>1640</v>
      </c>
      <c r="B5" s="3019"/>
      <c r="C5" s="3019"/>
      <c r="D5" s="3020" t="str">
        <f ca="1">结果表!D119</f>
        <v>贰拾贰亿陆仟玖佰玖拾贰万元整</v>
      </c>
      <c r="E5" s="3020"/>
      <c r="F5" s="3020" t="str">
        <f ca="1">结果表!F119</f>
        <v>叁亿肆仟捌佰贰拾壹万元整</v>
      </c>
      <c r="G5" s="3020"/>
      <c r="H5" s="3020" t="str">
        <f ca="1">结果表!H119</f>
        <v>贰拾陆亿壹仟捌佰壹拾叁万元整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1640</v>
      </c>
      <c r="B7" s="3019"/>
      <c r="C7" s="3019"/>
      <c r="D7" s="3022" t="str">
        <f>结果表!D121</f>
        <v>零元整</v>
      </c>
      <c r="E7" s="3023"/>
      <c r="F7" s="3023"/>
      <c r="G7" s="3023"/>
      <c r="H7" s="3023"/>
      <c r="I7" s="3024"/>
    </row>
    <row r="8" spans="1:9" ht="15.75">
      <c r="A8" s="3021" t="str">
        <f>结果表!A122</f>
        <v>房地产抵押价值</v>
      </c>
      <c r="B8" s="3021"/>
      <c r="C8" s="3021"/>
      <c r="D8" s="3021">
        <f ca="1">结果表!D122</f>
        <v>261813</v>
      </c>
      <c r="E8" s="3021"/>
      <c r="F8" s="3021"/>
      <c r="G8" s="3021"/>
      <c r="H8" s="3021"/>
      <c r="I8" s="3021"/>
    </row>
    <row r="9" spans="1:9" ht="15">
      <c r="A9" s="3019" t="s">
        <v>1640</v>
      </c>
      <c r="B9" s="3019"/>
      <c r="C9" s="3019"/>
      <c r="D9" s="3020" t="str">
        <f ca="1">结果表!D123</f>
        <v>贰拾陆亿壹仟捌佰壹拾叁万元整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1640</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1640</v>
      </c>
      <c r="B13" s="3025"/>
      <c r="C13" s="3025"/>
      <c r="D13" s="3026" t="e">
        <f>结果表!D127</f>
        <v>#VALUE!</v>
      </c>
      <c r="E13" s="3026"/>
      <c r="F13" s="3026"/>
      <c r="G13" s="3026"/>
      <c r="H13" s="3026"/>
      <c r="I13" s="3026"/>
    </row>
    <row r="14" spans="1:9" ht="15" thickTop="1">
      <c r="A14" s="3027" t="s">
        <v>1645</v>
      </c>
      <c r="B14" s="3027"/>
      <c r="C14" s="3027"/>
      <c r="D14" s="3027"/>
      <c r="E14" s="3027"/>
      <c r="F14" s="3027"/>
      <c r="G14" s="3027"/>
      <c r="H14" s="3027"/>
      <c r="I14" s="3027"/>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G119" sqref="G119"/>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46" sqref="A4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8" t="s">
        <v>1662</v>
      </c>
      <c r="B1" s="3028"/>
      <c r="C1" s="3028"/>
      <c r="D1" s="3028"/>
    </row>
    <row r="2" spans="1:4" ht="18">
      <c r="A2" s="3029" t="s">
        <v>1646</v>
      </c>
      <c r="B2" s="3029"/>
      <c r="C2" s="3029"/>
      <c r="D2" s="3029"/>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29" t="s">
        <v>1652</v>
      </c>
      <c r="B6" s="3029"/>
      <c r="C6" s="3029"/>
      <c r="D6" s="3029"/>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30" t="s">
        <v>1655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31"/>
      <c r="C15" s="3031"/>
      <c r="D15" s="3031"/>
    </row>
    <row r="16" spans="1:4" ht="30" customHeight="1">
      <c r="A16" s="3034" t="s">
        <v>1656</v>
      </c>
      <c r="B16" s="3034"/>
      <c r="C16" s="3034"/>
      <c r="D16" s="3034"/>
    </row>
    <row r="17" spans="1:4" ht="144" customHeight="1">
      <c r="A17" s="3034" t="s">
        <v>1657</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1658</v>
      </c>
      <c r="B22" s="3036"/>
      <c r="C22" s="3036"/>
      <c r="D22" s="3036"/>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2" t="s">
        <v>1669</v>
      </c>
      <c r="B15" s="3037" t="s">
        <v>136</v>
      </c>
      <c r="C15" s="3038"/>
    </row>
    <row r="16" spans="1:7" ht="13.5">
      <c r="A16" s="3043"/>
      <c r="B16" s="3037" t="s">
        <v>69</v>
      </c>
      <c r="C16" s="3038"/>
    </row>
    <row r="17" spans="1:3" ht="13.5">
      <c r="A17" s="3043"/>
      <c r="B17" s="3040" t="s">
        <v>1670</v>
      </c>
      <c r="C17" s="2001" t="s">
        <v>1669</v>
      </c>
    </row>
    <row r="18" spans="1:3" ht="13.5">
      <c r="A18" s="3043"/>
      <c r="B18" s="3040"/>
      <c r="C18" s="2001" t="s">
        <v>1671</v>
      </c>
    </row>
    <row r="19" spans="1:3" ht="13.5">
      <c r="A19" s="3043"/>
      <c r="B19" s="3040"/>
      <c r="C19" s="2001" t="s">
        <v>1672</v>
      </c>
    </row>
    <row r="20" spans="1:3" ht="13.5">
      <c r="A20" s="3044"/>
      <c r="B20" s="3039" t="s">
        <v>1673</v>
      </c>
      <c r="C20" s="3038"/>
    </row>
    <row r="21" spans="1:3" ht="13.5">
      <c r="A21" s="2002" t="s">
        <v>1674</v>
      </c>
      <c r="B21" s="2003"/>
      <c r="C21" s="2004"/>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1" t="s">
        <v>1680</v>
      </c>
    </row>
    <row r="26" spans="1:3" ht="13.5">
      <c r="A26" s="3041"/>
      <c r="B26" s="3040"/>
      <c r="C26" s="2001" t="s">
        <v>1681</v>
      </c>
    </row>
    <row r="27" spans="1:3" ht="13.5">
      <c r="A27" s="3041"/>
      <c r="B27" s="3040"/>
      <c r="C27" s="2001" t="s">
        <v>1682</v>
      </c>
    </row>
    <row r="28" spans="1:3" ht="13.5">
      <c r="A28" s="3041"/>
      <c r="B28" s="3040"/>
      <c r="C28" s="2001" t="s">
        <v>1683</v>
      </c>
    </row>
    <row r="29" spans="1:3" ht="13.5">
      <c r="A29" s="3041"/>
      <c r="B29" s="3040"/>
      <c r="C29" s="2001" t="s">
        <v>1684</v>
      </c>
    </row>
    <row r="30" spans="1:3" ht="13.5">
      <c r="A30" s="3041"/>
      <c r="B30" s="3040"/>
      <c r="C30" s="2001" t="s">
        <v>1685</v>
      </c>
    </row>
    <row r="31" spans="1:3" ht="13.5">
      <c r="A31" s="3041"/>
      <c r="B31" s="3040"/>
      <c r="C31" s="2001" t="s">
        <v>1686</v>
      </c>
    </row>
    <row r="32" spans="1:3" ht="13.5">
      <c r="A32" s="3041"/>
      <c r="B32" s="3040"/>
      <c r="C32" s="2001" t="s">
        <v>1687</v>
      </c>
    </row>
    <row r="33" spans="1:3" ht="13.5">
      <c r="A33" s="3041"/>
      <c r="B33" s="3040"/>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43305</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3044</v>
      </c>
      <c r="B12" s="1024">
        <v>1120110054</v>
      </c>
      <c r="C12" s="2937">
        <v>43937</v>
      </c>
      <c r="D12" s="1703" t="s">
        <v>3044</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收益法-地下仓储</vt:lpstr>
      <vt:lpstr>已售清单</vt:lpstr>
      <vt:lpstr>抵押物清单</vt:lpstr>
      <vt:lpstr>土地案例</vt:lpstr>
      <vt:lpstr>Sheet3</vt:lpstr>
      <vt:lpstr>Sheet4</vt:lpstr>
      <vt:lpstr>估价师及机构信息!Print_Area</vt:lpstr>
      <vt:lpstr>'收益法 (元)'!Print_Area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2018-07-24T08:36:37Z</dcterms:modified>
</cp:coreProperties>
</file>